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C:\Users\JPSZ\Desktop\STUDIA\doktorat_git\analizy_wynikow\"/>
    </mc:Choice>
  </mc:AlternateContent>
  <xr:revisionPtr revIDLastSave="0" documentId="13_ncr:1_{CB4EBC38-16EC-470D-84B0-5F157D9F0C55}" xr6:coauthVersionLast="47" xr6:coauthVersionMax="47" xr10:uidLastSave="{00000000-0000-0000-0000-000000000000}"/>
  <bookViews>
    <workbookView xWindow="-2140" yWindow="-21710" windowWidth="37690" windowHeight="21820" xr2:uid="{5CDD05D1-B91C-47AD-9058-2B6F85536433}"/>
  </bookViews>
  <sheets>
    <sheet name="Ankiety_analiza(czyszczone)" sheetId="5" r:id="rId1"/>
    <sheet name="TabeleGrup" sheetId="8" r:id="rId2"/>
    <sheet name="PivotCzyste" sheetId="6" r:id="rId3"/>
    <sheet name="PivotNieCzyszczone" sheetId="4" r:id="rId4"/>
    <sheet name="AnkietyNieOczyszczone" sheetId="3" r:id="rId5"/>
    <sheet name="Ankiety_wszystkie" sheetId="1" r:id="rId6"/>
    <sheet name="Ankiety_zakończone" sheetId="2" r:id="rId7"/>
    <sheet name="Zestawienia_ilościowe" sheetId="7" r:id="rId8"/>
  </sheets>
  <calcPr calcId="191029"/>
  <pivotCaches>
    <pivotCache cacheId="0" r:id="rId9"/>
    <pivotCache cacheId="1" r:id="rId10"/>
  </pivotCaches>
</workbook>
</file>

<file path=xl/calcChain.xml><?xml version="1.0" encoding="utf-8"?>
<calcChain xmlns="http://schemas.openxmlformats.org/spreadsheetml/2006/main">
  <c r="J11" i="5" l="1"/>
  <c r="V36" i="5"/>
  <c r="W36" i="5"/>
  <c r="X36" i="5"/>
  <c r="Y36" i="5"/>
  <c r="Z36" i="5"/>
  <c r="AA36" i="5"/>
  <c r="AB36" i="5"/>
  <c r="U36" i="5"/>
  <c r="J3" i="5"/>
  <c r="J4" i="5"/>
  <c r="J5" i="5"/>
  <c r="J6" i="5"/>
  <c r="J7" i="5"/>
  <c r="J8" i="5"/>
  <c r="J9" i="5"/>
  <c r="J10" i="5"/>
  <c r="J12" i="5"/>
  <c r="J13" i="5"/>
  <c r="J14" i="5"/>
  <c r="J15" i="5"/>
  <c r="J16" i="5"/>
  <c r="J17" i="5"/>
  <c r="J18" i="5"/>
  <c r="J19" i="5"/>
  <c r="J20" i="5"/>
  <c r="J21" i="5"/>
  <c r="J22" i="5"/>
  <c r="J23" i="5"/>
  <c r="J24" i="5"/>
  <c r="J25" i="5"/>
  <c r="J26" i="5"/>
  <c r="J27" i="5"/>
  <c r="J28" i="5"/>
  <c r="J29" i="5"/>
  <c r="J30" i="5"/>
  <c r="J31" i="5"/>
  <c r="J32" i="5"/>
  <c r="J33" i="5"/>
  <c r="J34" i="5"/>
  <c r="J35" i="5"/>
  <c r="B34" i="5"/>
  <c r="B35" i="5"/>
  <c r="AG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F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I36" i="5"/>
  <c r="AJ36" i="5"/>
  <c r="AK36" i="5"/>
  <c r="AL36" i="5"/>
  <c r="AM36" i="5"/>
  <c r="AN36" i="5"/>
  <c r="AO36" i="5"/>
  <c r="AP36" i="5"/>
  <c r="AQ36" i="5"/>
  <c r="AR36" i="5"/>
  <c r="AS36" i="5"/>
  <c r="AT36" i="5"/>
  <c r="AU36" i="5"/>
  <c r="AV36" i="5"/>
  <c r="AW36" i="5"/>
  <c r="AX36" i="5"/>
  <c r="AY36" i="5"/>
  <c r="AZ36" i="5"/>
  <c r="BB36" i="5"/>
  <c r="BC36" i="5"/>
  <c r="BD36" i="5"/>
  <c r="BE36" i="5"/>
  <c r="BF36" i="5"/>
  <c r="BG36" i="5"/>
  <c r="BH36" i="5"/>
  <c r="BI36" i="5"/>
  <c r="BJ36" i="5"/>
  <c r="BK36" i="5"/>
  <c r="BL36" i="5"/>
  <c r="BM36" i="5"/>
  <c r="BN36" i="5"/>
  <c r="BO36" i="5"/>
  <c r="BP36" i="5"/>
  <c r="BQ36" i="5"/>
  <c r="BR36" i="5"/>
  <c r="BS36" i="5"/>
  <c r="BT36" i="5"/>
  <c r="BU36" i="5"/>
  <c r="BV36" i="5"/>
  <c r="BW36" i="5"/>
  <c r="BX36" i="5"/>
  <c r="BY36" i="5"/>
  <c r="BZ36" i="5"/>
  <c r="CA36" i="5"/>
  <c r="CB36" i="5"/>
  <c r="CC36" i="5"/>
  <c r="CD36" i="5"/>
  <c r="CE36" i="5"/>
  <c r="CF36" i="5"/>
  <c r="CG36" i="5"/>
  <c r="CH36" i="5"/>
  <c r="CI36" i="5"/>
  <c r="CJ36" i="5"/>
  <c r="CK36" i="5"/>
  <c r="CL36" i="5"/>
  <c r="CM36" i="5"/>
  <c r="CN36" i="5"/>
  <c r="CO36" i="5"/>
  <c r="CP36" i="5"/>
  <c r="CQ36" i="5"/>
  <c r="CR36" i="5"/>
  <c r="CS36" i="5"/>
  <c r="CT36" i="5"/>
  <c r="CU36" i="5"/>
  <c r="CV36" i="5"/>
  <c r="CW36" i="5"/>
  <c r="CX36" i="5"/>
  <c r="CY36" i="5"/>
  <c r="CZ36" i="5"/>
  <c r="DA36" i="5"/>
  <c r="DB36" i="5"/>
  <c r="DC36" i="5"/>
  <c r="DD36" i="5"/>
  <c r="DE36" i="5"/>
  <c r="DF36" i="5"/>
  <c r="DG36" i="5"/>
  <c r="DH36" i="5"/>
  <c r="DI36" i="5"/>
  <c r="DJ36" i="5"/>
  <c r="DK36" i="5"/>
  <c r="DL36" i="5"/>
  <c r="DV36" i="5"/>
  <c r="EF36" i="5"/>
  <c r="FI36" i="5"/>
  <c r="GI36" i="5"/>
  <c r="HT36" i="5"/>
  <c r="HU36" i="5"/>
  <c r="HW36" i="5"/>
  <c r="HX36" i="5"/>
  <c r="HY36" i="5"/>
  <c r="HZ36" i="5"/>
  <c r="IA36" i="5"/>
  <c r="BA34" i="5"/>
  <c r="HV34" i="5"/>
  <c r="BA35" i="5"/>
  <c r="HV35" i="5"/>
  <c r="B8" i="5"/>
  <c r="BA8" i="5"/>
  <c r="HV8" i="5"/>
  <c r="B11" i="5"/>
  <c r="BA11" i="5"/>
  <c r="HV11" i="5"/>
  <c r="C35" i="5" l="1"/>
  <c r="C34" i="5"/>
  <c r="C8" i="5"/>
  <c r="C11" i="5"/>
  <c r="G37" i="5" l="1"/>
  <c r="B31" i="5"/>
  <c r="F655" i="7"/>
  <c r="G655" i="7" s="1"/>
  <c r="F654" i="7"/>
  <c r="F653" i="7"/>
  <c r="G653" i="7" s="1"/>
  <c r="F652" i="7"/>
  <c r="G652" i="7" s="1"/>
  <c r="F651" i="7"/>
  <c r="G651" i="7" s="1"/>
  <c r="F650" i="7"/>
  <c r="G650" i="7" s="1"/>
  <c r="F649" i="7"/>
  <c r="G649" i="7" s="1"/>
  <c r="F648" i="7"/>
  <c r="G648" i="7" s="1"/>
  <c r="F645" i="7"/>
  <c r="F644" i="7"/>
  <c r="G654" i="7" s="1"/>
  <c r="F643" i="7"/>
  <c r="F642" i="7"/>
  <c r="F641" i="7"/>
  <c r="F640" i="7"/>
  <c r="F639" i="7"/>
  <c r="F638" i="7"/>
  <c r="F646" i="7" s="1"/>
  <c r="FH41" i="5"/>
  <c r="FG41" i="5"/>
  <c r="FF41" i="5"/>
  <c r="FE41" i="5"/>
  <c r="FD41" i="5"/>
  <c r="FC41" i="5"/>
  <c r="FB41" i="5"/>
  <c r="EZ41" i="5"/>
  <c r="EY41" i="5"/>
  <c r="EX41" i="5"/>
  <c r="EW41" i="5"/>
  <c r="EV41" i="5"/>
  <c r="EU41" i="5"/>
  <c r="ET41" i="5"/>
  <c r="C628" i="7"/>
  <c r="M494" i="7"/>
  <c r="M495" i="7"/>
  <c r="M496" i="7"/>
  <c r="M497" i="7"/>
  <c r="M498" i="7"/>
  <c r="M499" i="7"/>
  <c r="M493" i="7"/>
  <c r="U500" i="7"/>
  <c r="G324" i="7"/>
  <c r="G325" i="7"/>
  <c r="G326" i="7"/>
  <c r="G327" i="7"/>
  <c r="G328" i="7"/>
  <c r="G329" i="7"/>
  <c r="O330" i="7"/>
  <c r="G323" i="7"/>
  <c r="M211" i="7"/>
  <c r="M212" i="7"/>
  <c r="M213" i="7"/>
  <c r="M214" i="7"/>
  <c r="M215" i="7"/>
  <c r="M216" i="7"/>
  <c r="M210" i="7"/>
  <c r="U217" i="7"/>
  <c r="G174" i="7"/>
  <c r="G175" i="7"/>
  <c r="G176" i="7"/>
  <c r="G177" i="7"/>
  <c r="G178" i="7"/>
  <c r="G179" i="7"/>
  <c r="G173" i="7"/>
  <c r="O180" i="7"/>
  <c r="G134" i="7"/>
  <c r="F51" i="8"/>
  <c r="F50" i="8"/>
  <c r="F49" i="8"/>
  <c r="F48" i="8"/>
  <c r="F47" i="8"/>
  <c r="F46" i="8"/>
  <c r="F45" i="8"/>
  <c r="G140" i="7"/>
  <c r="D50" i="8"/>
  <c r="G139" i="7" s="1"/>
  <c r="D51" i="8"/>
  <c r="O141" i="7"/>
  <c r="F540" i="7"/>
  <c r="L503" i="7"/>
  <c r="F406" i="7"/>
  <c r="F333" i="7"/>
  <c r="F260" i="7"/>
  <c r="L220" i="7"/>
  <c r="F183" i="7"/>
  <c r="D58" i="8"/>
  <c r="E58" i="8"/>
  <c r="F58" i="8"/>
  <c r="G58" i="8"/>
  <c r="H58" i="8"/>
  <c r="I58" i="8"/>
  <c r="J58" i="8"/>
  <c r="D59" i="8"/>
  <c r="E59" i="8"/>
  <c r="F59" i="8"/>
  <c r="G59" i="8"/>
  <c r="H59" i="8"/>
  <c r="I59" i="8"/>
  <c r="J59" i="8"/>
  <c r="D60" i="8"/>
  <c r="E60" i="8"/>
  <c r="F60" i="8"/>
  <c r="G60" i="8"/>
  <c r="H60" i="8"/>
  <c r="I60" i="8"/>
  <c r="J60" i="8"/>
  <c r="D61" i="8"/>
  <c r="E61" i="8"/>
  <c r="F61" i="8"/>
  <c r="G61" i="8"/>
  <c r="H61" i="8"/>
  <c r="I61" i="8"/>
  <c r="J61" i="8"/>
  <c r="D62" i="8"/>
  <c r="E62" i="8"/>
  <c r="F62" i="8"/>
  <c r="G62" i="8"/>
  <c r="H62" i="8"/>
  <c r="I62" i="8"/>
  <c r="J62" i="8"/>
  <c r="D63" i="8"/>
  <c r="E63" i="8"/>
  <c r="F63" i="8"/>
  <c r="G63" i="8"/>
  <c r="H63" i="8"/>
  <c r="I63" i="8"/>
  <c r="J63" i="8"/>
  <c r="D64" i="8"/>
  <c r="E64" i="8"/>
  <c r="F64" i="8"/>
  <c r="G64" i="8"/>
  <c r="H64" i="8"/>
  <c r="I64" i="8"/>
  <c r="J64" i="8"/>
  <c r="D65" i="8"/>
  <c r="E65" i="8"/>
  <c r="F65" i="8"/>
  <c r="G65" i="8"/>
  <c r="H65" i="8"/>
  <c r="I65" i="8"/>
  <c r="J65" i="8"/>
  <c r="D66" i="8"/>
  <c r="E66" i="8"/>
  <c r="F66" i="8"/>
  <c r="G66" i="8"/>
  <c r="H66" i="8"/>
  <c r="I66" i="8"/>
  <c r="J66" i="8"/>
  <c r="D67" i="8"/>
  <c r="E67" i="8"/>
  <c r="F67" i="8"/>
  <c r="G67" i="8"/>
  <c r="H67" i="8"/>
  <c r="I67" i="8"/>
  <c r="J67" i="8"/>
  <c r="D68" i="8"/>
  <c r="E68" i="8"/>
  <c r="F68" i="8"/>
  <c r="G68" i="8"/>
  <c r="H68" i="8"/>
  <c r="I68" i="8"/>
  <c r="J68" i="8"/>
  <c r="D69" i="8"/>
  <c r="E69" i="8"/>
  <c r="F69" i="8"/>
  <c r="G69" i="8"/>
  <c r="H69" i="8"/>
  <c r="I69" i="8"/>
  <c r="J69" i="8"/>
  <c r="D70" i="8"/>
  <c r="E70" i="8"/>
  <c r="F70" i="8"/>
  <c r="G70" i="8"/>
  <c r="H70" i="8"/>
  <c r="I70" i="8"/>
  <c r="J70" i="8"/>
  <c r="D71" i="8"/>
  <c r="E71" i="8"/>
  <c r="F71" i="8"/>
  <c r="G71" i="8"/>
  <c r="H71" i="8"/>
  <c r="I71" i="8"/>
  <c r="J71" i="8"/>
  <c r="D72" i="8"/>
  <c r="E72" i="8"/>
  <c r="F72" i="8"/>
  <c r="G72" i="8"/>
  <c r="H72" i="8"/>
  <c r="I72" i="8"/>
  <c r="J72" i="8"/>
  <c r="D73" i="8"/>
  <c r="E73" i="8"/>
  <c r="F73" i="8"/>
  <c r="G73" i="8"/>
  <c r="H73" i="8"/>
  <c r="I73" i="8"/>
  <c r="J73" i="8"/>
  <c r="D74" i="8"/>
  <c r="E74" i="8"/>
  <c r="F74" i="8"/>
  <c r="G74" i="8"/>
  <c r="H74" i="8"/>
  <c r="I74" i="8"/>
  <c r="J74" i="8"/>
  <c r="D75" i="8"/>
  <c r="E75" i="8"/>
  <c r="F75" i="8"/>
  <c r="G75" i="8"/>
  <c r="H75" i="8"/>
  <c r="I75" i="8"/>
  <c r="J75" i="8"/>
  <c r="D76" i="8"/>
  <c r="E76" i="8"/>
  <c r="F76" i="8"/>
  <c r="G76" i="8"/>
  <c r="H76" i="8"/>
  <c r="I76" i="8"/>
  <c r="J76" i="8"/>
  <c r="D77" i="8"/>
  <c r="E77" i="8"/>
  <c r="F77" i="8"/>
  <c r="G77" i="8"/>
  <c r="H77" i="8"/>
  <c r="I77" i="8"/>
  <c r="J77" i="8"/>
  <c r="D78" i="8"/>
  <c r="E78" i="8"/>
  <c r="F78" i="8"/>
  <c r="G78" i="8"/>
  <c r="H78" i="8"/>
  <c r="I78" i="8"/>
  <c r="J78" i="8"/>
  <c r="D79" i="8"/>
  <c r="E79" i="8"/>
  <c r="F79" i="8"/>
  <c r="G79" i="8"/>
  <c r="H79" i="8"/>
  <c r="I79" i="8"/>
  <c r="J79" i="8"/>
  <c r="D80" i="8"/>
  <c r="E80" i="8"/>
  <c r="F80" i="8"/>
  <c r="G80" i="8"/>
  <c r="H80" i="8"/>
  <c r="I80" i="8"/>
  <c r="J80" i="8"/>
  <c r="D81" i="8"/>
  <c r="E81" i="8"/>
  <c r="F81" i="8"/>
  <c r="G81" i="8"/>
  <c r="H81" i="8"/>
  <c r="I81" i="8"/>
  <c r="J81" i="8"/>
  <c r="D82" i="8"/>
  <c r="E82" i="8"/>
  <c r="F82" i="8"/>
  <c r="G82" i="8"/>
  <c r="H82" i="8"/>
  <c r="I82" i="8"/>
  <c r="J82" i="8"/>
  <c r="D83" i="8"/>
  <c r="E83" i="8"/>
  <c r="F83" i="8"/>
  <c r="G83" i="8"/>
  <c r="H83" i="8"/>
  <c r="I83" i="8"/>
  <c r="J83" i="8"/>
  <c r="D84" i="8"/>
  <c r="E84" i="8"/>
  <c r="F84" i="8"/>
  <c r="G84" i="8"/>
  <c r="H84" i="8"/>
  <c r="I84" i="8"/>
  <c r="J84" i="8"/>
  <c r="D85" i="8"/>
  <c r="E85" i="8"/>
  <c r="F85" i="8"/>
  <c r="G85" i="8"/>
  <c r="H85" i="8"/>
  <c r="I85" i="8"/>
  <c r="J85" i="8"/>
  <c r="D86" i="8"/>
  <c r="E86" i="8"/>
  <c r="F86" i="8"/>
  <c r="G86" i="8"/>
  <c r="H86" i="8"/>
  <c r="I86" i="8"/>
  <c r="J86" i="8"/>
  <c r="D87" i="8"/>
  <c r="E87" i="8"/>
  <c r="F87" i="8"/>
  <c r="G87" i="8"/>
  <c r="H87" i="8"/>
  <c r="I87" i="8"/>
  <c r="J87" i="8"/>
  <c r="D88" i="8"/>
  <c r="E88" i="8"/>
  <c r="F88" i="8"/>
  <c r="G88" i="8"/>
  <c r="H88" i="8"/>
  <c r="I88" i="8"/>
  <c r="J88" i="8"/>
  <c r="D89" i="8"/>
  <c r="E89" i="8"/>
  <c r="F89" i="8"/>
  <c r="G89" i="8"/>
  <c r="H89" i="8"/>
  <c r="I89" i="8"/>
  <c r="J89" i="8"/>
  <c r="D90" i="8"/>
  <c r="E90" i="8"/>
  <c r="F90" i="8"/>
  <c r="G90" i="8"/>
  <c r="H90" i="8"/>
  <c r="I90" i="8"/>
  <c r="J90" i="8"/>
  <c r="D91" i="8"/>
  <c r="E91" i="8"/>
  <c r="F91" i="8"/>
  <c r="G91" i="8"/>
  <c r="H91" i="8"/>
  <c r="I91" i="8"/>
  <c r="J91" i="8"/>
  <c r="D92" i="8"/>
  <c r="E92" i="8"/>
  <c r="F92" i="8"/>
  <c r="G92" i="8"/>
  <c r="H92" i="8"/>
  <c r="I92" i="8"/>
  <c r="J92" i="8"/>
  <c r="D93" i="8"/>
  <c r="E93" i="8"/>
  <c r="F93" i="8"/>
  <c r="G93" i="8"/>
  <c r="H93" i="8"/>
  <c r="I93" i="8"/>
  <c r="J93" i="8"/>
  <c r="D94" i="8"/>
  <c r="E94" i="8"/>
  <c r="F94" i="8"/>
  <c r="G94" i="8"/>
  <c r="H94" i="8"/>
  <c r="I94" i="8"/>
  <c r="J94" i="8"/>
  <c r="D95" i="8"/>
  <c r="E95" i="8"/>
  <c r="F95" i="8"/>
  <c r="G95" i="8"/>
  <c r="H95" i="8"/>
  <c r="I95" i="8"/>
  <c r="J95" i="8"/>
  <c r="D96" i="8"/>
  <c r="E96" i="8"/>
  <c r="F96" i="8"/>
  <c r="G96" i="8"/>
  <c r="H96" i="8"/>
  <c r="I96" i="8"/>
  <c r="J96" i="8"/>
  <c r="D97" i="8"/>
  <c r="E97" i="8"/>
  <c r="F97" i="8"/>
  <c r="G97" i="8"/>
  <c r="H97" i="8"/>
  <c r="I97" i="8"/>
  <c r="J97" i="8"/>
  <c r="D98" i="8"/>
  <c r="E98" i="8"/>
  <c r="F98" i="8"/>
  <c r="G98" i="8"/>
  <c r="H98" i="8"/>
  <c r="I98" i="8"/>
  <c r="J98" i="8"/>
  <c r="D99" i="8"/>
  <c r="E99" i="8"/>
  <c r="F99" i="8"/>
  <c r="G99" i="8"/>
  <c r="H99" i="8"/>
  <c r="I99" i="8"/>
  <c r="J99" i="8"/>
  <c r="D100" i="8"/>
  <c r="E100" i="8"/>
  <c r="F100" i="8"/>
  <c r="G100" i="8"/>
  <c r="H100" i="8"/>
  <c r="I100" i="8"/>
  <c r="J100" i="8"/>
  <c r="D101" i="8"/>
  <c r="E101" i="8"/>
  <c r="F101" i="8"/>
  <c r="G101" i="8"/>
  <c r="H101" i="8"/>
  <c r="I101" i="8"/>
  <c r="J101" i="8"/>
  <c r="D102" i="8"/>
  <c r="E102" i="8"/>
  <c r="F102" i="8"/>
  <c r="G102" i="8"/>
  <c r="H102" i="8"/>
  <c r="I102" i="8"/>
  <c r="J102" i="8"/>
  <c r="D103" i="8"/>
  <c r="E103" i="8"/>
  <c r="F103" i="8"/>
  <c r="G103" i="8"/>
  <c r="H103" i="8"/>
  <c r="I103" i="8"/>
  <c r="J103" i="8"/>
  <c r="D104" i="8"/>
  <c r="E104" i="8"/>
  <c r="F104" i="8"/>
  <c r="G104" i="8"/>
  <c r="H104" i="8"/>
  <c r="I104" i="8"/>
  <c r="J104" i="8"/>
  <c r="D105" i="8"/>
  <c r="E105" i="8"/>
  <c r="F105" i="8"/>
  <c r="G105" i="8"/>
  <c r="H105" i="8"/>
  <c r="I105" i="8"/>
  <c r="J105" i="8"/>
  <c r="D106" i="8"/>
  <c r="E106" i="8"/>
  <c r="F106" i="8"/>
  <c r="G106" i="8"/>
  <c r="H106" i="8"/>
  <c r="I106" i="8"/>
  <c r="J106" i="8"/>
  <c r="D107" i="8"/>
  <c r="E107" i="8"/>
  <c r="F107" i="8"/>
  <c r="G107" i="8"/>
  <c r="H107" i="8"/>
  <c r="I107" i="8"/>
  <c r="J107" i="8"/>
  <c r="D108" i="8"/>
  <c r="E108" i="8"/>
  <c r="F108" i="8"/>
  <c r="G108" i="8"/>
  <c r="H108" i="8"/>
  <c r="I108" i="8"/>
  <c r="J108" i="8"/>
  <c r="D109" i="8"/>
  <c r="E109" i="8"/>
  <c r="F109" i="8"/>
  <c r="G109" i="8"/>
  <c r="H109" i="8"/>
  <c r="I109" i="8"/>
  <c r="J109" i="8"/>
  <c r="D110" i="8"/>
  <c r="E110" i="8"/>
  <c r="F110" i="8"/>
  <c r="G110" i="8"/>
  <c r="H110" i="8"/>
  <c r="I110" i="8"/>
  <c r="J110" i="8"/>
  <c r="D111" i="8"/>
  <c r="E111" i="8"/>
  <c r="F111" i="8"/>
  <c r="G111" i="8"/>
  <c r="H111" i="8"/>
  <c r="I111" i="8"/>
  <c r="J111" i="8"/>
  <c r="D112" i="8"/>
  <c r="E112" i="8"/>
  <c r="F112" i="8"/>
  <c r="G112" i="8"/>
  <c r="H112" i="8"/>
  <c r="I112" i="8"/>
  <c r="J112" i="8"/>
  <c r="D113" i="8"/>
  <c r="E113" i="8"/>
  <c r="F113" i="8"/>
  <c r="G113" i="8"/>
  <c r="H113" i="8"/>
  <c r="I113" i="8"/>
  <c r="J113" i="8"/>
  <c r="D114" i="8"/>
  <c r="E114" i="8"/>
  <c r="F114" i="8"/>
  <c r="G114" i="8"/>
  <c r="H114" i="8"/>
  <c r="I114" i="8"/>
  <c r="J114" i="8"/>
  <c r="D115" i="8"/>
  <c r="E115" i="8"/>
  <c r="F115" i="8"/>
  <c r="G115" i="8"/>
  <c r="H115" i="8"/>
  <c r="I115" i="8"/>
  <c r="J115" i="8"/>
  <c r="D116" i="8"/>
  <c r="E116" i="8"/>
  <c r="F116" i="8"/>
  <c r="G116" i="8"/>
  <c r="H116" i="8"/>
  <c r="I116" i="8"/>
  <c r="J116" i="8"/>
  <c r="D117" i="8"/>
  <c r="E117" i="8"/>
  <c r="F117" i="8"/>
  <c r="G117" i="8"/>
  <c r="H117" i="8"/>
  <c r="I117" i="8"/>
  <c r="J117" i="8"/>
  <c r="D118" i="8"/>
  <c r="E118" i="8"/>
  <c r="F118" i="8"/>
  <c r="G118" i="8"/>
  <c r="H118" i="8"/>
  <c r="I118" i="8"/>
  <c r="J118" i="8"/>
  <c r="D119" i="8"/>
  <c r="E119" i="8"/>
  <c r="F119" i="8"/>
  <c r="G119" i="8"/>
  <c r="H119" i="8"/>
  <c r="I119" i="8"/>
  <c r="J119" i="8"/>
  <c r="D120" i="8"/>
  <c r="E120" i="8"/>
  <c r="F120" i="8"/>
  <c r="G120" i="8"/>
  <c r="H120" i="8"/>
  <c r="I120" i="8"/>
  <c r="J120" i="8"/>
  <c r="D121" i="8"/>
  <c r="E121" i="8"/>
  <c r="F121" i="8"/>
  <c r="G121" i="8"/>
  <c r="H121" i="8"/>
  <c r="I121" i="8"/>
  <c r="J121" i="8"/>
  <c r="D122" i="8"/>
  <c r="E122" i="8"/>
  <c r="F122" i="8"/>
  <c r="G122" i="8"/>
  <c r="H122" i="8"/>
  <c r="I122" i="8"/>
  <c r="J122" i="8"/>
  <c r="D123" i="8"/>
  <c r="E123" i="8"/>
  <c r="F123" i="8"/>
  <c r="G123" i="8"/>
  <c r="H123" i="8"/>
  <c r="I123" i="8"/>
  <c r="J123" i="8"/>
  <c r="D124" i="8"/>
  <c r="E124" i="8"/>
  <c r="F124" i="8"/>
  <c r="G124" i="8"/>
  <c r="H124" i="8"/>
  <c r="I124" i="8"/>
  <c r="J124" i="8"/>
  <c r="D125" i="8"/>
  <c r="E125" i="8"/>
  <c r="F125" i="8"/>
  <c r="G125" i="8"/>
  <c r="H125" i="8"/>
  <c r="I125" i="8"/>
  <c r="J125" i="8"/>
  <c r="D126" i="8"/>
  <c r="E126" i="8"/>
  <c r="F126" i="8"/>
  <c r="G126" i="8"/>
  <c r="H126" i="8"/>
  <c r="I126" i="8"/>
  <c r="J126" i="8"/>
  <c r="D127" i="8"/>
  <c r="E127" i="8"/>
  <c r="F127" i="8"/>
  <c r="G127" i="8"/>
  <c r="H127" i="8"/>
  <c r="I127" i="8"/>
  <c r="J127" i="8"/>
  <c r="D128" i="8"/>
  <c r="E128" i="8"/>
  <c r="F128" i="8"/>
  <c r="G128" i="8"/>
  <c r="H128" i="8"/>
  <c r="I128" i="8"/>
  <c r="J128" i="8"/>
  <c r="D129" i="8"/>
  <c r="E129" i="8"/>
  <c r="F129" i="8"/>
  <c r="G129" i="8"/>
  <c r="H129" i="8"/>
  <c r="I129" i="8"/>
  <c r="J129" i="8"/>
  <c r="D130" i="8"/>
  <c r="E130" i="8"/>
  <c r="F130" i="8"/>
  <c r="G130" i="8"/>
  <c r="H130" i="8"/>
  <c r="I130" i="8"/>
  <c r="J130" i="8"/>
  <c r="D131" i="8"/>
  <c r="E131" i="8"/>
  <c r="F131" i="8"/>
  <c r="G131" i="8"/>
  <c r="H131" i="8"/>
  <c r="I131" i="8"/>
  <c r="J131" i="8"/>
  <c r="D132" i="8"/>
  <c r="E132" i="8"/>
  <c r="F132" i="8"/>
  <c r="G132" i="8"/>
  <c r="H132" i="8"/>
  <c r="I132" i="8"/>
  <c r="J132" i="8"/>
  <c r="D133" i="8"/>
  <c r="E133" i="8"/>
  <c r="F133" i="8"/>
  <c r="G133" i="8"/>
  <c r="H133" i="8"/>
  <c r="I133" i="8"/>
  <c r="J133" i="8"/>
  <c r="D134" i="8"/>
  <c r="E134" i="8"/>
  <c r="F134" i="8"/>
  <c r="G134" i="8"/>
  <c r="H134" i="8"/>
  <c r="I134" i="8"/>
  <c r="J134" i="8"/>
  <c r="D135" i="8"/>
  <c r="E135" i="8"/>
  <c r="F135" i="8"/>
  <c r="G135" i="8"/>
  <c r="H135" i="8"/>
  <c r="I135" i="8"/>
  <c r="J135" i="8"/>
  <c r="D136" i="8"/>
  <c r="E136" i="8"/>
  <c r="F136" i="8"/>
  <c r="G136" i="8"/>
  <c r="H136" i="8"/>
  <c r="I136" i="8"/>
  <c r="J136" i="8"/>
  <c r="D137" i="8"/>
  <c r="E137" i="8"/>
  <c r="F137" i="8"/>
  <c r="G137" i="8"/>
  <c r="H137" i="8"/>
  <c r="I137" i="8"/>
  <c r="J137" i="8"/>
  <c r="D138" i="8"/>
  <c r="E138" i="8"/>
  <c r="F138" i="8"/>
  <c r="G138" i="8"/>
  <c r="H138" i="8"/>
  <c r="I138" i="8"/>
  <c r="J138" i="8"/>
  <c r="D139" i="8"/>
  <c r="E139" i="8"/>
  <c r="F139" i="8"/>
  <c r="G139" i="8"/>
  <c r="H139" i="8"/>
  <c r="I139" i="8"/>
  <c r="J139" i="8"/>
  <c r="D140" i="8"/>
  <c r="E140" i="8"/>
  <c r="F140" i="8"/>
  <c r="G140" i="8"/>
  <c r="H140" i="8"/>
  <c r="I140" i="8"/>
  <c r="J140" i="8"/>
  <c r="D141" i="8"/>
  <c r="E141" i="8"/>
  <c r="F141" i="8"/>
  <c r="G141" i="8"/>
  <c r="H141" i="8"/>
  <c r="I141" i="8"/>
  <c r="J141" i="8"/>
  <c r="D142" i="8"/>
  <c r="E142" i="8"/>
  <c r="F142" i="8"/>
  <c r="G142" i="8"/>
  <c r="H142" i="8"/>
  <c r="I142" i="8"/>
  <c r="J142" i="8"/>
  <c r="D143" i="8"/>
  <c r="E143" i="8"/>
  <c r="F143" i="8"/>
  <c r="G143" i="8"/>
  <c r="H143" i="8"/>
  <c r="I143" i="8"/>
  <c r="J143" i="8"/>
  <c r="D144" i="8"/>
  <c r="E144" i="8"/>
  <c r="F144" i="8"/>
  <c r="G144" i="8"/>
  <c r="H144" i="8"/>
  <c r="I144" i="8"/>
  <c r="J144" i="8"/>
  <c r="D145" i="8"/>
  <c r="E145" i="8"/>
  <c r="F145" i="8"/>
  <c r="G145" i="8"/>
  <c r="H145" i="8"/>
  <c r="I145" i="8"/>
  <c r="J145" i="8"/>
  <c r="D146" i="8"/>
  <c r="E146" i="8"/>
  <c r="F146" i="8"/>
  <c r="G146" i="8"/>
  <c r="H146" i="8"/>
  <c r="I146" i="8"/>
  <c r="J146" i="8"/>
  <c r="D147" i="8"/>
  <c r="E147" i="8"/>
  <c r="F147" i="8"/>
  <c r="G147" i="8"/>
  <c r="H147" i="8"/>
  <c r="I147" i="8"/>
  <c r="J147" i="8"/>
  <c r="D148" i="8"/>
  <c r="E148" i="8"/>
  <c r="F148" i="8"/>
  <c r="G148" i="8"/>
  <c r="H148" i="8"/>
  <c r="I148" i="8"/>
  <c r="J148" i="8"/>
  <c r="D149" i="8"/>
  <c r="E149" i="8"/>
  <c r="F149" i="8"/>
  <c r="G149" i="8"/>
  <c r="H149" i="8"/>
  <c r="I149" i="8"/>
  <c r="J149" i="8"/>
  <c r="D150" i="8"/>
  <c r="E150" i="8"/>
  <c r="F150" i="8"/>
  <c r="G150" i="8"/>
  <c r="H150" i="8"/>
  <c r="I150" i="8"/>
  <c r="J150" i="8"/>
  <c r="D151" i="8"/>
  <c r="E151" i="8"/>
  <c r="F151" i="8"/>
  <c r="G151" i="8"/>
  <c r="H151" i="8"/>
  <c r="I151" i="8"/>
  <c r="J151" i="8"/>
  <c r="D152" i="8"/>
  <c r="E152" i="8"/>
  <c r="F152" i="8"/>
  <c r="G152" i="8"/>
  <c r="H152" i="8"/>
  <c r="I152" i="8"/>
  <c r="J152" i="8"/>
  <c r="D153" i="8"/>
  <c r="E153" i="8"/>
  <c r="F153" i="8"/>
  <c r="G153" i="8"/>
  <c r="H153" i="8"/>
  <c r="I153" i="8"/>
  <c r="J153" i="8"/>
  <c r="D154" i="8"/>
  <c r="E154" i="8"/>
  <c r="F154" i="8"/>
  <c r="G154" i="8"/>
  <c r="H154" i="8"/>
  <c r="I154" i="8"/>
  <c r="J154" i="8"/>
  <c r="D155" i="8"/>
  <c r="E155" i="8"/>
  <c r="F155" i="8"/>
  <c r="G155" i="8"/>
  <c r="H155" i="8"/>
  <c r="I155" i="8"/>
  <c r="J155" i="8"/>
  <c r="D156" i="8"/>
  <c r="E156" i="8"/>
  <c r="F156" i="8"/>
  <c r="G156" i="8"/>
  <c r="H156" i="8"/>
  <c r="I156" i="8"/>
  <c r="J156" i="8"/>
  <c r="D157" i="8"/>
  <c r="E157" i="8"/>
  <c r="F157" i="8"/>
  <c r="G157" i="8"/>
  <c r="H157" i="8"/>
  <c r="I157" i="8"/>
  <c r="J157" i="8"/>
  <c r="D158" i="8"/>
  <c r="E158" i="8"/>
  <c r="F158" i="8"/>
  <c r="G158" i="8"/>
  <c r="H158" i="8"/>
  <c r="I158" i="8"/>
  <c r="J158" i="8"/>
  <c r="D159" i="8"/>
  <c r="E159" i="8"/>
  <c r="F159" i="8"/>
  <c r="G159" i="8"/>
  <c r="H159" i="8"/>
  <c r="I159" i="8"/>
  <c r="J159" i="8"/>
  <c r="D160" i="8"/>
  <c r="E160" i="8"/>
  <c r="F160" i="8"/>
  <c r="G160" i="8"/>
  <c r="H160" i="8"/>
  <c r="I160" i="8"/>
  <c r="J160" i="8"/>
  <c r="D161" i="8"/>
  <c r="E161" i="8"/>
  <c r="F161" i="8"/>
  <c r="G161" i="8"/>
  <c r="H161" i="8"/>
  <c r="I161" i="8"/>
  <c r="J161" i="8"/>
  <c r="D162" i="8"/>
  <c r="E162" i="8"/>
  <c r="F162" i="8"/>
  <c r="G162" i="8"/>
  <c r="H162" i="8"/>
  <c r="I162" i="8"/>
  <c r="J162" i="8"/>
  <c r="D163" i="8"/>
  <c r="E163" i="8"/>
  <c r="F163" i="8"/>
  <c r="G163" i="8"/>
  <c r="H163" i="8"/>
  <c r="I163" i="8"/>
  <c r="J163" i="8"/>
  <c r="D164" i="8"/>
  <c r="E164" i="8"/>
  <c r="F164" i="8"/>
  <c r="G164" i="8"/>
  <c r="H164" i="8"/>
  <c r="I164" i="8"/>
  <c r="J164" i="8"/>
  <c r="D165" i="8"/>
  <c r="E165" i="8"/>
  <c r="F165" i="8"/>
  <c r="G165" i="8"/>
  <c r="H165" i="8"/>
  <c r="I165" i="8"/>
  <c r="J165" i="8"/>
  <c r="D166" i="8"/>
  <c r="E166" i="8"/>
  <c r="F166" i="8"/>
  <c r="G166" i="8"/>
  <c r="H166" i="8"/>
  <c r="I166" i="8"/>
  <c r="J166" i="8"/>
  <c r="D167" i="8"/>
  <c r="E167" i="8"/>
  <c r="F167" i="8"/>
  <c r="G167" i="8"/>
  <c r="H167" i="8"/>
  <c r="I167" i="8"/>
  <c r="J167" i="8"/>
  <c r="D168" i="8"/>
  <c r="E168" i="8"/>
  <c r="F168" i="8"/>
  <c r="G168" i="8"/>
  <c r="H168" i="8"/>
  <c r="I168" i="8"/>
  <c r="J168" i="8"/>
  <c r="D169" i="8"/>
  <c r="E169" i="8"/>
  <c r="F169" i="8"/>
  <c r="G169" i="8"/>
  <c r="H169" i="8"/>
  <c r="I169" i="8"/>
  <c r="J169" i="8"/>
  <c r="D170" i="8"/>
  <c r="E170" i="8"/>
  <c r="F170" i="8"/>
  <c r="G170" i="8"/>
  <c r="H170" i="8"/>
  <c r="I170" i="8"/>
  <c r="J170" i="8"/>
  <c r="D171" i="8"/>
  <c r="E171" i="8"/>
  <c r="F171" i="8"/>
  <c r="G171" i="8"/>
  <c r="H171" i="8"/>
  <c r="I171" i="8"/>
  <c r="J171" i="8"/>
  <c r="D172" i="8"/>
  <c r="E172" i="8"/>
  <c r="F172" i="8"/>
  <c r="G172" i="8"/>
  <c r="H172" i="8"/>
  <c r="I172" i="8"/>
  <c r="J172" i="8"/>
  <c r="D173" i="8"/>
  <c r="E173" i="8"/>
  <c r="F173" i="8"/>
  <c r="G173" i="8"/>
  <c r="H173" i="8"/>
  <c r="I173" i="8"/>
  <c r="J173" i="8"/>
  <c r="D174" i="8"/>
  <c r="E174" i="8"/>
  <c r="F174" i="8"/>
  <c r="G174" i="8"/>
  <c r="H174" i="8"/>
  <c r="I174" i="8"/>
  <c r="J174" i="8"/>
  <c r="D175" i="8"/>
  <c r="E175" i="8"/>
  <c r="F175" i="8"/>
  <c r="G175" i="8"/>
  <c r="H175" i="8"/>
  <c r="I175" i="8"/>
  <c r="J175" i="8"/>
  <c r="D176" i="8"/>
  <c r="E176" i="8"/>
  <c r="F176" i="8"/>
  <c r="G176" i="8"/>
  <c r="H176" i="8"/>
  <c r="I176" i="8"/>
  <c r="J176" i="8"/>
  <c r="E57" i="8"/>
  <c r="F57" i="8"/>
  <c r="G57" i="8"/>
  <c r="H57" i="8"/>
  <c r="I57" i="8"/>
  <c r="J57" i="8"/>
  <c r="D57" i="8"/>
  <c r="F144" i="7"/>
  <c r="C531" i="7"/>
  <c r="C532" i="7"/>
  <c r="C533" i="7"/>
  <c r="C534" i="7"/>
  <c r="C535" i="7"/>
  <c r="C536" i="7"/>
  <c r="C537" i="7"/>
  <c r="D537" i="7" s="1"/>
  <c r="C530" i="7"/>
  <c r="C605" i="7"/>
  <c r="C606" i="7"/>
  <c r="C607" i="7"/>
  <c r="C608" i="7"/>
  <c r="C609" i="7"/>
  <c r="C610" i="7"/>
  <c r="C611" i="7"/>
  <c r="D611" i="7" s="1"/>
  <c r="C604" i="7"/>
  <c r="C593" i="7"/>
  <c r="C594" i="7"/>
  <c r="C595" i="7"/>
  <c r="C596" i="7"/>
  <c r="C597" i="7"/>
  <c r="C598" i="7"/>
  <c r="C599" i="7"/>
  <c r="D599" i="7" s="1"/>
  <c r="C592" i="7"/>
  <c r="C581" i="7"/>
  <c r="C582" i="7"/>
  <c r="C583" i="7"/>
  <c r="C584" i="7"/>
  <c r="C585" i="7"/>
  <c r="C586" i="7"/>
  <c r="C587" i="7"/>
  <c r="D587" i="7" s="1"/>
  <c r="C580" i="7"/>
  <c r="C569" i="7"/>
  <c r="C570" i="7"/>
  <c r="C571" i="7"/>
  <c r="C572" i="7"/>
  <c r="C573" i="7"/>
  <c r="C574" i="7"/>
  <c r="C575" i="7"/>
  <c r="D575" i="7" s="1"/>
  <c r="C568" i="7"/>
  <c r="C557" i="7"/>
  <c r="C558" i="7"/>
  <c r="C559" i="7"/>
  <c r="C560" i="7"/>
  <c r="C561" i="7"/>
  <c r="C562" i="7"/>
  <c r="C563" i="7"/>
  <c r="D563" i="7" s="1"/>
  <c r="C556" i="7"/>
  <c r="E507" i="7"/>
  <c r="E508" i="7"/>
  <c r="I508" i="7" s="1"/>
  <c r="E509" i="7"/>
  <c r="I509" i="7" s="1"/>
  <c r="E510" i="7"/>
  <c r="E511" i="7"/>
  <c r="I511" i="7" s="1"/>
  <c r="E512" i="7"/>
  <c r="I512" i="7" s="1"/>
  <c r="E513" i="7"/>
  <c r="I513" i="7" s="1"/>
  <c r="E506" i="7"/>
  <c r="I506" i="7" s="1"/>
  <c r="D506" i="7"/>
  <c r="H506" i="7" s="1"/>
  <c r="C519" i="7"/>
  <c r="G519" i="7" s="1"/>
  <c r="D519" i="7"/>
  <c r="E519" i="7"/>
  <c r="I519" i="7" s="1"/>
  <c r="C520" i="7"/>
  <c r="G520" i="7" s="1"/>
  <c r="D520" i="7"/>
  <c r="H520" i="7" s="1"/>
  <c r="E520" i="7"/>
  <c r="I520" i="7" s="1"/>
  <c r="C521" i="7"/>
  <c r="G521" i="7" s="1"/>
  <c r="D521" i="7"/>
  <c r="H521" i="7" s="1"/>
  <c r="E521" i="7"/>
  <c r="I521" i="7" s="1"/>
  <c r="C522" i="7"/>
  <c r="G522" i="7" s="1"/>
  <c r="D522" i="7"/>
  <c r="H522" i="7" s="1"/>
  <c r="E522" i="7"/>
  <c r="C523" i="7"/>
  <c r="G523" i="7" s="1"/>
  <c r="D523" i="7"/>
  <c r="H523" i="7" s="1"/>
  <c r="E523" i="7"/>
  <c r="C524" i="7"/>
  <c r="G524" i="7" s="1"/>
  <c r="D524" i="7"/>
  <c r="H524" i="7" s="1"/>
  <c r="E524" i="7"/>
  <c r="I524" i="7" s="1"/>
  <c r="C525" i="7"/>
  <c r="G525" i="7" s="1"/>
  <c r="D525" i="7"/>
  <c r="H525" i="7" s="1"/>
  <c r="E525" i="7"/>
  <c r="I525" i="7" s="1"/>
  <c r="E518" i="7"/>
  <c r="I518" i="7" s="1"/>
  <c r="D518" i="7"/>
  <c r="C518" i="7"/>
  <c r="D507" i="7"/>
  <c r="H507" i="7" s="1"/>
  <c r="D508" i="7"/>
  <c r="H508" i="7" s="1"/>
  <c r="D509" i="7"/>
  <c r="H509" i="7" s="1"/>
  <c r="D510" i="7"/>
  <c r="H510" i="7" s="1"/>
  <c r="D511" i="7"/>
  <c r="H511" i="7" s="1"/>
  <c r="D512" i="7"/>
  <c r="H512" i="7" s="1"/>
  <c r="D513" i="7"/>
  <c r="H513" i="7" s="1"/>
  <c r="C507" i="7"/>
  <c r="G507" i="7" s="1"/>
  <c r="C508" i="7"/>
  <c r="G508" i="7" s="1"/>
  <c r="C509" i="7"/>
  <c r="G509" i="7" s="1"/>
  <c r="C510" i="7"/>
  <c r="G510" i="7" s="1"/>
  <c r="C511" i="7"/>
  <c r="G511" i="7" s="1"/>
  <c r="C512" i="7"/>
  <c r="G512" i="7" s="1"/>
  <c r="C513" i="7"/>
  <c r="G513" i="7" s="1"/>
  <c r="C506" i="7"/>
  <c r="E494" i="7"/>
  <c r="E495" i="7"/>
  <c r="I495" i="7" s="1"/>
  <c r="E496" i="7"/>
  <c r="I496" i="7" s="1"/>
  <c r="E497" i="7"/>
  <c r="I497" i="7" s="1"/>
  <c r="E498" i="7"/>
  <c r="I498" i="7" s="1"/>
  <c r="E499" i="7"/>
  <c r="I499" i="7" s="1"/>
  <c r="E500" i="7"/>
  <c r="I500" i="7" s="1"/>
  <c r="E493" i="7"/>
  <c r="D494" i="7"/>
  <c r="H494" i="7" s="1"/>
  <c r="D495" i="7"/>
  <c r="H495" i="7" s="1"/>
  <c r="D496" i="7"/>
  <c r="H496" i="7" s="1"/>
  <c r="D497" i="7"/>
  <c r="H497" i="7" s="1"/>
  <c r="D498" i="7"/>
  <c r="H498" i="7" s="1"/>
  <c r="D499" i="7"/>
  <c r="H499" i="7" s="1"/>
  <c r="D500" i="7"/>
  <c r="H500" i="7" s="1"/>
  <c r="D493" i="7"/>
  <c r="C494" i="7"/>
  <c r="G494" i="7" s="1"/>
  <c r="C495" i="7"/>
  <c r="G495" i="7" s="1"/>
  <c r="C496" i="7"/>
  <c r="G496" i="7" s="1"/>
  <c r="C497" i="7"/>
  <c r="F497" i="7" s="1"/>
  <c r="C498" i="7"/>
  <c r="G498" i="7" s="1"/>
  <c r="C499" i="7"/>
  <c r="G499" i="7" s="1"/>
  <c r="C500" i="7"/>
  <c r="G500" i="7" s="1"/>
  <c r="C493" i="7"/>
  <c r="G493" i="7" s="1"/>
  <c r="C470" i="7"/>
  <c r="C471" i="7"/>
  <c r="C472" i="7"/>
  <c r="C473" i="7"/>
  <c r="C474" i="7"/>
  <c r="C475" i="7"/>
  <c r="C476" i="7"/>
  <c r="D476" i="7" s="1"/>
  <c r="C469" i="7"/>
  <c r="C458" i="7"/>
  <c r="C459" i="7"/>
  <c r="C460" i="7"/>
  <c r="C461" i="7"/>
  <c r="C462" i="7"/>
  <c r="C463" i="7"/>
  <c r="C464" i="7"/>
  <c r="D464" i="7" s="1"/>
  <c r="C457" i="7"/>
  <c r="C446" i="7"/>
  <c r="C447" i="7"/>
  <c r="C448" i="7"/>
  <c r="C449" i="7"/>
  <c r="C450" i="7"/>
  <c r="C451" i="7"/>
  <c r="C452" i="7"/>
  <c r="D452" i="7" s="1"/>
  <c r="C445" i="7"/>
  <c r="C434" i="7"/>
  <c r="C435" i="7"/>
  <c r="C436" i="7"/>
  <c r="C437" i="7"/>
  <c r="C438" i="7"/>
  <c r="C439" i="7"/>
  <c r="C440" i="7"/>
  <c r="D440" i="7" s="1"/>
  <c r="C433" i="7"/>
  <c r="C422" i="7"/>
  <c r="C423" i="7"/>
  <c r="C424" i="7"/>
  <c r="C425" i="7"/>
  <c r="C426" i="7"/>
  <c r="C427" i="7"/>
  <c r="C428" i="7"/>
  <c r="D428" i="7" s="1"/>
  <c r="C421" i="7"/>
  <c r="C410" i="7"/>
  <c r="C411" i="7"/>
  <c r="C412" i="7"/>
  <c r="D412" i="7" s="1"/>
  <c r="C413" i="7"/>
  <c r="C414" i="7"/>
  <c r="D414" i="7" s="1"/>
  <c r="C415" i="7"/>
  <c r="C416" i="7"/>
  <c r="D416" i="7" s="1"/>
  <c r="C409" i="7"/>
  <c r="C397" i="7"/>
  <c r="C398" i="7"/>
  <c r="C399" i="7"/>
  <c r="C400" i="7"/>
  <c r="D400" i="7" s="1"/>
  <c r="C401" i="7"/>
  <c r="C402" i="7"/>
  <c r="D402" i="7" s="1"/>
  <c r="C403" i="7"/>
  <c r="D403" i="7" s="1"/>
  <c r="C396" i="7"/>
  <c r="C385" i="7"/>
  <c r="C386" i="7"/>
  <c r="C387" i="7"/>
  <c r="D387" i="7" s="1"/>
  <c r="C388" i="7"/>
  <c r="C389" i="7"/>
  <c r="D389" i="7" s="1"/>
  <c r="C390" i="7"/>
  <c r="C391" i="7"/>
  <c r="D391" i="7" s="1"/>
  <c r="C384" i="7"/>
  <c r="C373" i="7"/>
  <c r="C374" i="7"/>
  <c r="C375" i="7"/>
  <c r="C376" i="7"/>
  <c r="C377" i="7"/>
  <c r="C378" i="7"/>
  <c r="C379" i="7"/>
  <c r="D379" i="7" s="1"/>
  <c r="C372" i="7"/>
  <c r="C361" i="7"/>
  <c r="C362" i="7"/>
  <c r="C363" i="7"/>
  <c r="D363" i="7" s="1"/>
  <c r="C364" i="7"/>
  <c r="C365" i="7"/>
  <c r="D365" i="7" s="1"/>
  <c r="C366" i="7"/>
  <c r="C367" i="7"/>
  <c r="D367" i="7" s="1"/>
  <c r="C360" i="7"/>
  <c r="C349" i="7"/>
  <c r="C350" i="7"/>
  <c r="C351" i="7"/>
  <c r="C352" i="7"/>
  <c r="C353" i="7"/>
  <c r="C354" i="7"/>
  <c r="C355" i="7"/>
  <c r="D355" i="7" s="1"/>
  <c r="C348" i="7"/>
  <c r="C337" i="7"/>
  <c r="C338" i="7"/>
  <c r="C339" i="7"/>
  <c r="C340" i="7"/>
  <c r="C341" i="7"/>
  <c r="C342" i="7"/>
  <c r="C343" i="7"/>
  <c r="D343" i="7" s="1"/>
  <c r="C336" i="7"/>
  <c r="C312" i="7"/>
  <c r="C313" i="7"/>
  <c r="C314" i="7"/>
  <c r="C315" i="7"/>
  <c r="C316" i="7"/>
  <c r="C317" i="7"/>
  <c r="C318" i="7"/>
  <c r="D318" i="7" s="1"/>
  <c r="C311" i="7"/>
  <c r="C300" i="7"/>
  <c r="C301" i="7"/>
  <c r="C302" i="7"/>
  <c r="C303" i="7"/>
  <c r="C304" i="7"/>
  <c r="C305" i="7"/>
  <c r="C306" i="7"/>
  <c r="D306" i="7" s="1"/>
  <c r="C299" i="7"/>
  <c r="C288" i="7"/>
  <c r="C289" i="7"/>
  <c r="C290" i="7"/>
  <c r="C291" i="7"/>
  <c r="C292" i="7"/>
  <c r="C293" i="7"/>
  <c r="C294" i="7"/>
  <c r="D294" i="7" s="1"/>
  <c r="C287" i="7"/>
  <c r="C276" i="7"/>
  <c r="D276" i="7" s="1"/>
  <c r="C277" i="7"/>
  <c r="C278" i="7"/>
  <c r="D278" i="7" s="1"/>
  <c r="C279" i="7"/>
  <c r="C280" i="7"/>
  <c r="D280" i="7" s="1"/>
  <c r="C281" i="7"/>
  <c r="C282" i="7"/>
  <c r="D282" i="7" s="1"/>
  <c r="C275" i="7"/>
  <c r="C264" i="7"/>
  <c r="C265" i="7"/>
  <c r="C266" i="7"/>
  <c r="C267" i="7"/>
  <c r="C268" i="7"/>
  <c r="C269" i="7"/>
  <c r="C263" i="7"/>
  <c r="C270" i="7"/>
  <c r="D270" i="7" s="1"/>
  <c r="E211" i="7"/>
  <c r="I211" i="7" s="1"/>
  <c r="E212" i="7"/>
  <c r="I212" i="7" s="1"/>
  <c r="E213" i="7"/>
  <c r="I213" i="7" s="1"/>
  <c r="E214" i="7"/>
  <c r="I214" i="7" s="1"/>
  <c r="E215" i="7"/>
  <c r="I215" i="7" s="1"/>
  <c r="E216" i="7"/>
  <c r="I216" i="7" s="1"/>
  <c r="E217" i="7"/>
  <c r="I217" i="7" s="1"/>
  <c r="E210" i="7"/>
  <c r="I210" i="7" s="1"/>
  <c r="E224" i="7"/>
  <c r="I224" i="7" s="1"/>
  <c r="E225" i="7"/>
  <c r="I225" i="7" s="1"/>
  <c r="E226" i="7"/>
  <c r="I226" i="7" s="1"/>
  <c r="E227" i="7"/>
  <c r="I227" i="7" s="1"/>
  <c r="E228" i="7"/>
  <c r="I228" i="7" s="1"/>
  <c r="E229" i="7"/>
  <c r="I229" i="7" s="1"/>
  <c r="E230" i="7"/>
  <c r="I230" i="7" s="1"/>
  <c r="E223" i="7"/>
  <c r="I223" i="7" s="1"/>
  <c r="E236" i="7"/>
  <c r="I236" i="7" s="1"/>
  <c r="E237" i="7"/>
  <c r="I237" i="7" s="1"/>
  <c r="E238" i="7"/>
  <c r="I238" i="7" s="1"/>
  <c r="E239" i="7"/>
  <c r="I239" i="7" s="1"/>
  <c r="E240" i="7"/>
  <c r="I240" i="7" s="1"/>
  <c r="E241" i="7"/>
  <c r="I241" i="7" s="1"/>
  <c r="E242" i="7"/>
  <c r="I242" i="7" s="1"/>
  <c r="E235" i="7"/>
  <c r="I235" i="7" s="1"/>
  <c r="D236" i="7"/>
  <c r="H236" i="7" s="1"/>
  <c r="D237" i="7"/>
  <c r="H237" i="7" s="1"/>
  <c r="D238" i="7"/>
  <c r="H238" i="7" s="1"/>
  <c r="D239" i="7"/>
  <c r="H239" i="7" s="1"/>
  <c r="D240" i="7"/>
  <c r="H240" i="7" s="1"/>
  <c r="D241" i="7"/>
  <c r="H241" i="7" s="1"/>
  <c r="D242" i="7"/>
  <c r="H242" i="7" s="1"/>
  <c r="D235" i="7"/>
  <c r="H235" i="7" s="1"/>
  <c r="C236" i="7"/>
  <c r="G236" i="7" s="1"/>
  <c r="C237" i="7"/>
  <c r="G237" i="7" s="1"/>
  <c r="C238" i="7"/>
  <c r="G238" i="7" s="1"/>
  <c r="C239" i="7"/>
  <c r="G239" i="7" s="1"/>
  <c r="C240" i="7"/>
  <c r="G240" i="7" s="1"/>
  <c r="C241" i="7"/>
  <c r="G241" i="7" s="1"/>
  <c r="C242" i="7"/>
  <c r="G242" i="7" s="1"/>
  <c r="C235" i="7"/>
  <c r="G235" i="7" s="1"/>
  <c r="D224" i="7"/>
  <c r="H224" i="7" s="1"/>
  <c r="D225" i="7"/>
  <c r="H225" i="7" s="1"/>
  <c r="D226" i="7"/>
  <c r="H226" i="7" s="1"/>
  <c r="D227" i="7"/>
  <c r="H227" i="7" s="1"/>
  <c r="D228" i="7"/>
  <c r="H228" i="7" s="1"/>
  <c r="D229" i="7"/>
  <c r="H229" i="7" s="1"/>
  <c r="D230" i="7"/>
  <c r="H230" i="7" s="1"/>
  <c r="D223" i="7"/>
  <c r="H223" i="7" s="1"/>
  <c r="C224" i="7"/>
  <c r="G224" i="7" s="1"/>
  <c r="C225" i="7"/>
  <c r="G225" i="7" s="1"/>
  <c r="C226" i="7"/>
  <c r="C227" i="7"/>
  <c r="G227" i="7" s="1"/>
  <c r="C228" i="7"/>
  <c r="G228" i="7" s="1"/>
  <c r="C229" i="7"/>
  <c r="G229" i="7" s="1"/>
  <c r="C230" i="7"/>
  <c r="G230" i="7" s="1"/>
  <c r="C223" i="7"/>
  <c r="G223" i="7" s="1"/>
  <c r="D211" i="7"/>
  <c r="H211" i="7" s="1"/>
  <c r="D212" i="7"/>
  <c r="H212" i="7" s="1"/>
  <c r="D213" i="7"/>
  <c r="H213" i="7" s="1"/>
  <c r="D214" i="7"/>
  <c r="H214" i="7" s="1"/>
  <c r="D215" i="7"/>
  <c r="H215" i="7" s="1"/>
  <c r="D216" i="7"/>
  <c r="H216" i="7" s="1"/>
  <c r="D217" i="7"/>
  <c r="H217" i="7" s="1"/>
  <c r="D210" i="7"/>
  <c r="H210" i="7" s="1"/>
  <c r="BU40" i="5"/>
  <c r="C199" i="7"/>
  <c r="C200" i="7"/>
  <c r="C201" i="7"/>
  <c r="C202" i="7"/>
  <c r="C203" i="7"/>
  <c r="C204" i="7"/>
  <c r="C205" i="7"/>
  <c r="D205" i="7" s="1"/>
  <c r="C198" i="7"/>
  <c r="C187" i="7"/>
  <c r="C188" i="7"/>
  <c r="D188" i="7" s="1"/>
  <c r="C189" i="7"/>
  <c r="C190" i="7"/>
  <c r="D190" i="7" s="1"/>
  <c r="C191" i="7"/>
  <c r="C192" i="7"/>
  <c r="D192" i="7" s="1"/>
  <c r="C193" i="7"/>
  <c r="D193" i="7" s="1"/>
  <c r="C186" i="7"/>
  <c r="D186" i="7" s="1"/>
  <c r="C160" i="7"/>
  <c r="C161" i="7"/>
  <c r="D161" i="7" s="1"/>
  <c r="C162" i="7"/>
  <c r="C163" i="7"/>
  <c r="D163" i="7" s="1"/>
  <c r="C164" i="7"/>
  <c r="C165" i="7"/>
  <c r="D165" i="7" s="1"/>
  <c r="C166" i="7"/>
  <c r="D166" i="7" s="1"/>
  <c r="C159" i="7"/>
  <c r="C148" i="7"/>
  <c r="C149" i="7"/>
  <c r="D149" i="7" s="1"/>
  <c r="C150" i="7"/>
  <c r="C151" i="7"/>
  <c r="D151" i="7" s="1"/>
  <c r="C152" i="7"/>
  <c r="C153" i="7"/>
  <c r="D153" i="7" s="1"/>
  <c r="C154" i="7"/>
  <c r="D154" i="7" s="1"/>
  <c r="C147" i="7"/>
  <c r="D147" i="7" s="1"/>
  <c r="C545" i="7"/>
  <c r="C546" i="7"/>
  <c r="D546" i="7" s="1"/>
  <c r="C547" i="7"/>
  <c r="C548" i="7"/>
  <c r="D548" i="7" s="1"/>
  <c r="C549" i="7"/>
  <c r="C550" i="7"/>
  <c r="D550" i="7" s="1"/>
  <c r="C551" i="7"/>
  <c r="D551" i="7" s="1"/>
  <c r="C544" i="7"/>
  <c r="D544" i="7" s="1"/>
  <c r="C482" i="7"/>
  <c r="C483" i="7"/>
  <c r="D483" i="7" s="1"/>
  <c r="C484" i="7"/>
  <c r="C485" i="7"/>
  <c r="D485" i="7" s="1"/>
  <c r="C486" i="7"/>
  <c r="C487" i="7"/>
  <c r="C488" i="7"/>
  <c r="D488" i="7" s="1"/>
  <c r="C481" i="7"/>
  <c r="C324" i="7"/>
  <c r="C325" i="7"/>
  <c r="D325" i="7" s="1"/>
  <c r="C326" i="7"/>
  <c r="C327" i="7"/>
  <c r="D327" i="7" s="1"/>
  <c r="C328" i="7"/>
  <c r="C329" i="7"/>
  <c r="D329" i="7" s="1"/>
  <c r="C330" i="7"/>
  <c r="D330" i="7" s="1"/>
  <c r="C323" i="7"/>
  <c r="C251" i="7"/>
  <c r="C252" i="7"/>
  <c r="D252" i="7" s="1"/>
  <c r="C253" i="7"/>
  <c r="C254" i="7"/>
  <c r="D254" i="7" s="1"/>
  <c r="C255" i="7"/>
  <c r="C256" i="7"/>
  <c r="D256" i="7" s="1"/>
  <c r="C257" i="7"/>
  <c r="D257" i="7" s="1"/>
  <c r="C250" i="7"/>
  <c r="C211" i="7"/>
  <c r="C212" i="7"/>
  <c r="G212" i="7" s="1"/>
  <c r="C213" i="7"/>
  <c r="G213" i="7" s="1"/>
  <c r="C214" i="7"/>
  <c r="G214" i="7" s="1"/>
  <c r="C215" i="7"/>
  <c r="G215" i="7" s="1"/>
  <c r="C216" i="7"/>
  <c r="G216" i="7" s="1"/>
  <c r="C217" i="7"/>
  <c r="G217" i="7" s="1"/>
  <c r="C210" i="7"/>
  <c r="G210" i="7" s="1"/>
  <c r="C174" i="7"/>
  <c r="C175" i="7"/>
  <c r="D175" i="7" s="1"/>
  <c r="C176" i="7"/>
  <c r="C177" i="7"/>
  <c r="D177" i="7" s="1"/>
  <c r="C178" i="7"/>
  <c r="C179" i="7"/>
  <c r="D179" i="7" s="1"/>
  <c r="C180" i="7"/>
  <c r="D180" i="7" s="1"/>
  <c r="C173" i="7"/>
  <c r="D173" i="7" s="1"/>
  <c r="C135" i="7"/>
  <c r="D135" i="7" s="1"/>
  <c r="C136" i="7"/>
  <c r="D136" i="7" s="1"/>
  <c r="C137" i="7"/>
  <c r="D137" i="7" s="1"/>
  <c r="C138" i="7"/>
  <c r="D138" i="7" s="1"/>
  <c r="C139" i="7"/>
  <c r="D139" i="7" s="1"/>
  <c r="C140" i="7"/>
  <c r="D140" i="7" s="1"/>
  <c r="C141" i="7"/>
  <c r="D141" i="7" s="1"/>
  <c r="C134" i="7"/>
  <c r="A9" i="7"/>
  <c r="A6" i="7"/>
  <c r="A47" i="7"/>
  <c r="A48" i="7"/>
  <c r="A49" i="7"/>
  <c r="A50" i="7"/>
  <c r="A51" i="7"/>
  <c r="A46" i="7"/>
  <c r="O279" i="1"/>
  <c r="O276" i="1"/>
  <c r="A30" i="7"/>
  <c r="A29" i="7"/>
  <c r="A73" i="7"/>
  <c r="C73" i="7" s="1"/>
  <c r="A72" i="7"/>
  <c r="C72" i="7" s="1"/>
  <c r="BA3" i="5"/>
  <c r="BA30" i="5"/>
  <c r="BA24" i="5"/>
  <c r="BA7" i="5"/>
  <c r="BA23" i="5"/>
  <c r="BA13" i="5"/>
  <c r="BA27" i="5"/>
  <c r="BA32" i="5"/>
  <c r="BA5" i="5"/>
  <c r="BA29" i="5"/>
  <c r="BA9" i="5"/>
  <c r="BA15" i="5"/>
  <c r="BA22" i="5"/>
  <c r="BA6" i="5"/>
  <c r="BA18" i="5"/>
  <c r="BA17" i="5"/>
  <c r="BA20" i="5"/>
  <c r="BA19" i="5"/>
  <c r="BA14" i="5"/>
  <c r="BA28" i="5"/>
  <c r="BA16" i="5"/>
  <c r="BA4" i="5"/>
  <c r="BA31" i="5"/>
  <c r="BA33" i="5"/>
  <c r="BA21" i="5"/>
  <c r="BA25" i="5"/>
  <c r="BA26" i="5"/>
  <c r="BA10" i="5"/>
  <c r="BA12" i="5"/>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87" i="7"/>
  <c r="HV13" i="5"/>
  <c r="HV27" i="5"/>
  <c r="HV16" i="5"/>
  <c r="HV24" i="5"/>
  <c r="HV32" i="5"/>
  <c r="HV7" i="5"/>
  <c r="HV3" i="5"/>
  <c r="HV4" i="5"/>
  <c r="HV30" i="5"/>
  <c r="HV31" i="5"/>
  <c r="HV5" i="5"/>
  <c r="HV29" i="5"/>
  <c r="HV33" i="5"/>
  <c r="HV23" i="5"/>
  <c r="HV21" i="5"/>
  <c r="HV25" i="5"/>
  <c r="HV22" i="5"/>
  <c r="HV26" i="5"/>
  <c r="HV9" i="5"/>
  <c r="HV10" i="5"/>
  <c r="HV15" i="5"/>
  <c r="HV28" i="5"/>
  <c r="HV6" i="5"/>
  <c r="HV14" i="5"/>
  <c r="HV18" i="5"/>
  <c r="HV17" i="5"/>
  <c r="HV20" i="5"/>
  <c r="HV19" i="5"/>
  <c r="HV12" i="5"/>
  <c r="B66" i="7"/>
  <c r="A66" i="7" s="1"/>
  <c r="B65" i="7"/>
  <c r="A65" i="7" s="1"/>
  <c r="B64" i="7"/>
  <c r="A64" i="7" s="1"/>
  <c r="B63" i="7"/>
  <c r="A63" i="7" s="1"/>
  <c r="B62" i="7"/>
  <c r="A62" i="7" s="1"/>
  <c r="B61" i="7"/>
  <c r="A61" i="7" s="1"/>
  <c r="A60" i="7"/>
  <c r="A25" i="7"/>
  <c r="A24" i="7"/>
  <c r="A23" i="7"/>
  <c r="A22" i="7"/>
  <c r="A21" i="7"/>
  <c r="A20" i="7"/>
  <c r="A19" i="7"/>
  <c r="A17" i="7"/>
  <c r="A18" i="7"/>
  <c r="B59" i="7"/>
  <c r="A59" i="7" s="1"/>
  <c r="GI40" i="5"/>
  <c r="GH40" i="5"/>
  <c r="GG40" i="5"/>
  <c r="GF40" i="5"/>
  <c r="GE40" i="5"/>
  <c r="GD40" i="5"/>
  <c r="GC40" i="5"/>
  <c r="GB40" i="5"/>
  <c r="GA40" i="5"/>
  <c r="FZ40" i="5"/>
  <c r="FY40" i="5"/>
  <c r="FX40" i="5"/>
  <c r="FW40" i="5"/>
  <c r="FV40" i="5"/>
  <c r="FU40" i="5"/>
  <c r="FT40" i="5"/>
  <c r="FS40" i="5"/>
  <c r="FR40" i="5"/>
  <c r="FQ40" i="5"/>
  <c r="FP40" i="5"/>
  <c r="FO40" i="5"/>
  <c r="FN40" i="5"/>
  <c r="FM40" i="5"/>
  <c r="FL40" i="5"/>
  <c r="FK40" i="5"/>
  <c r="FI40" i="5"/>
  <c r="FH40" i="5"/>
  <c r="FG40" i="5"/>
  <c r="FF40" i="5"/>
  <c r="FE40" i="5"/>
  <c r="FD40" i="5"/>
  <c r="FC40" i="5"/>
  <c r="FB40" i="5"/>
  <c r="FA40" i="5"/>
  <c r="EZ40" i="5"/>
  <c r="EY40" i="5"/>
  <c r="EX40" i="5"/>
  <c r="EW40" i="5"/>
  <c r="EV40" i="5"/>
  <c r="EU40" i="5"/>
  <c r="ET40" i="5"/>
  <c r="ES40" i="5"/>
  <c r="ER40" i="5"/>
  <c r="EQ40" i="5"/>
  <c r="EP40" i="5"/>
  <c r="EO40" i="5"/>
  <c r="EN40" i="5"/>
  <c r="EM40" i="5"/>
  <c r="EL40" i="5"/>
  <c r="EK40" i="5"/>
  <c r="EJ40" i="5"/>
  <c r="EI40" i="5"/>
  <c r="EH40" i="5"/>
  <c r="EF40" i="5"/>
  <c r="EE40" i="5"/>
  <c r="ED40" i="5"/>
  <c r="EC40" i="5"/>
  <c r="EB40" i="5"/>
  <c r="EA40" i="5"/>
  <c r="DZ40" i="5"/>
  <c r="DY40" i="5"/>
  <c r="DX40" i="5"/>
  <c r="DV40" i="5"/>
  <c r="DU40" i="5"/>
  <c r="DT40" i="5"/>
  <c r="DS40" i="5"/>
  <c r="DR40" i="5"/>
  <c r="DQ40" i="5"/>
  <c r="DP40" i="5"/>
  <c r="DO40" i="5"/>
  <c r="DN40" i="5"/>
  <c r="DL40" i="5"/>
  <c r="DK40" i="5"/>
  <c r="DJ40" i="5"/>
  <c r="DI40" i="5"/>
  <c r="DH40" i="5"/>
  <c r="DG40" i="5"/>
  <c r="DF40" i="5"/>
  <c r="DE40" i="5"/>
  <c r="DD40" i="5"/>
  <c r="DC40" i="5"/>
  <c r="DB40" i="5"/>
  <c r="DA40" i="5"/>
  <c r="CZ40" i="5"/>
  <c r="CY40" i="5"/>
  <c r="CX40" i="5"/>
  <c r="CW40" i="5"/>
  <c r="CV40" i="5"/>
  <c r="CU40" i="5"/>
  <c r="CT40" i="5"/>
  <c r="CS40" i="5"/>
  <c r="CR40" i="5"/>
  <c r="CQ40" i="5"/>
  <c r="CP40" i="5"/>
  <c r="CO40" i="5"/>
  <c r="CN40" i="5"/>
  <c r="CM40" i="5"/>
  <c r="CL40" i="5"/>
  <c r="CK40" i="5"/>
  <c r="CJ40" i="5"/>
  <c r="CI40" i="5"/>
  <c r="CH40" i="5"/>
  <c r="CG40" i="5"/>
  <c r="CF40" i="5"/>
  <c r="CE40" i="5"/>
  <c r="CD40" i="5"/>
  <c r="CC40" i="5"/>
  <c r="CB40" i="5"/>
  <c r="CA40" i="5"/>
  <c r="BZ40" i="5"/>
  <c r="BY40" i="5"/>
  <c r="BX40" i="5"/>
  <c r="BW40" i="5"/>
  <c r="BV40" i="5"/>
  <c r="BT40" i="5"/>
  <c r="BR40" i="5"/>
  <c r="BQ40" i="5"/>
  <c r="BP40" i="5"/>
  <c r="BO40" i="5"/>
  <c r="BN40" i="5"/>
  <c r="BM40" i="5"/>
  <c r="BL40" i="5"/>
  <c r="BK40" i="5"/>
  <c r="BJ40" i="5"/>
  <c r="BI40" i="5"/>
  <c r="BH40" i="5"/>
  <c r="BG40" i="5"/>
  <c r="BF40" i="5"/>
  <c r="BE40" i="5"/>
  <c r="BD40" i="5"/>
  <c r="BC40" i="5"/>
  <c r="BA40" i="5"/>
  <c r="AY40" i="5"/>
  <c r="AX40" i="5"/>
  <c r="AW40" i="5"/>
  <c r="AV40" i="5"/>
  <c r="AU40" i="5"/>
  <c r="AT40" i="5"/>
  <c r="AS40" i="5"/>
  <c r="AR40" i="5"/>
  <c r="AQ40" i="5"/>
  <c r="AP40" i="5"/>
  <c r="AO40" i="5"/>
  <c r="AN40" i="5"/>
  <c r="AM40" i="5"/>
  <c r="AL40" i="5"/>
  <c r="AK40" i="5"/>
  <c r="HX39" i="5"/>
  <c r="HV39" i="5"/>
  <c r="HU39" i="5"/>
  <c r="HT39" i="5"/>
  <c r="HS39" i="5"/>
  <c r="HR39" i="5"/>
  <c r="HQ39" i="5"/>
  <c r="HP39" i="5"/>
  <c r="HO39" i="5"/>
  <c r="HN39" i="5"/>
  <c r="HM39" i="5"/>
  <c r="HL39" i="5"/>
  <c r="HK39" i="5"/>
  <c r="HJ39" i="5"/>
  <c r="HI39" i="5"/>
  <c r="HH39" i="5"/>
  <c r="HG39" i="5"/>
  <c r="HF39" i="5"/>
  <c r="HE39" i="5"/>
  <c r="HD39" i="5"/>
  <c r="HC39" i="5"/>
  <c r="HB39" i="5"/>
  <c r="HA39" i="5"/>
  <c r="GZ39" i="5"/>
  <c r="GY39" i="5"/>
  <c r="GX39" i="5"/>
  <c r="GW39" i="5"/>
  <c r="GV39" i="5"/>
  <c r="GU39" i="5"/>
  <c r="GT39" i="5"/>
  <c r="GS39" i="5"/>
  <c r="GR39" i="5"/>
  <c r="GQ39" i="5"/>
  <c r="GP39" i="5"/>
  <c r="GO39" i="5"/>
  <c r="GN39" i="5"/>
  <c r="GM39" i="5"/>
  <c r="GL39" i="5"/>
  <c r="GK39" i="5"/>
  <c r="GJ39" i="5"/>
  <c r="FJ39" i="5"/>
  <c r="EG39" i="5"/>
  <c r="DW39" i="5"/>
  <c r="DM39" i="5"/>
  <c r="BS39" i="5"/>
  <c r="AZ39" i="5"/>
  <c r="AJ39" i="5"/>
  <c r="HX38" i="5"/>
  <c r="HV38" i="5"/>
  <c r="HU38" i="5"/>
  <c r="HT38" i="5"/>
  <c r="HS38" i="5"/>
  <c r="HR38" i="5"/>
  <c r="HQ38" i="5"/>
  <c r="HP38" i="5"/>
  <c r="HO38" i="5"/>
  <c r="HN38" i="5"/>
  <c r="HM38" i="5"/>
  <c r="HL38" i="5"/>
  <c r="HK38" i="5"/>
  <c r="HJ38" i="5"/>
  <c r="HI38" i="5"/>
  <c r="HH38" i="5"/>
  <c r="HG38" i="5"/>
  <c r="HF38" i="5"/>
  <c r="HE38" i="5"/>
  <c r="HD38" i="5"/>
  <c r="HC38" i="5"/>
  <c r="HB38" i="5"/>
  <c r="HA38" i="5"/>
  <c r="GZ38" i="5"/>
  <c r="GY38" i="5"/>
  <c r="GX38" i="5"/>
  <c r="GW38" i="5"/>
  <c r="GV38" i="5"/>
  <c r="GU38" i="5"/>
  <c r="GT38" i="5"/>
  <c r="GS38" i="5"/>
  <c r="GR38" i="5"/>
  <c r="GQ38" i="5"/>
  <c r="GP38" i="5"/>
  <c r="GO38" i="5"/>
  <c r="GN38" i="5"/>
  <c r="GM38" i="5"/>
  <c r="GL38" i="5"/>
  <c r="GK38" i="5"/>
  <c r="GJ38" i="5"/>
  <c r="FJ38" i="5"/>
  <c r="EG38" i="5"/>
  <c r="DW38" i="5"/>
  <c r="DM38" i="5"/>
  <c r="BS38" i="5"/>
  <c r="AZ38" i="5"/>
  <c r="AJ38" i="5"/>
  <c r="HX37" i="5"/>
  <c r="HV37" i="5"/>
  <c r="HU37" i="5"/>
  <c r="HT37" i="5"/>
  <c r="HS37" i="5"/>
  <c r="HR37" i="5"/>
  <c r="HQ37" i="5"/>
  <c r="HP37" i="5"/>
  <c r="HO37" i="5"/>
  <c r="HN37" i="5"/>
  <c r="HM37" i="5"/>
  <c r="HL37" i="5"/>
  <c r="HK37" i="5"/>
  <c r="HJ37" i="5"/>
  <c r="HI37" i="5"/>
  <c r="HH37" i="5"/>
  <c r="HG37" i="5"/>
  <c r="HF37" i="5"/>
  <c r="HE37" i="5"/>
  <c r="HD37" i="5"/>
  <c r="HC37" i="5"/>
  <c r="HB37" i="5"/>
  <c r="HA37" i="5"/>
  <c r="GZ37" i="5"/>
  <c r="GY37" i="5"/>
  <c r="GX37" i="5"/>
  <c r="GW37" i="5"/>
  <c r="GV37" i="5"/>
  <c r="GU37" i="5"/>
  <c r="GT37" i="5"/>
  <c r="GS37" i="5"/>
  <c r="GR37" i="5"/>
  <c r="GQ37" i="5"/>
  <c r="GP37" i="5"/>
  <c r="GO37" i="5"/>
  <c r="GN37" i="5"/>
  <c r="GM37" i="5"/>
  <c r="GL37" i="5"/>
  <c r="GK37" i="5"/>
  <c r="GJ37" i="5"/>
  <c r="FJ37" i="5"/>
  <c r="EG37" i="5"/>
  <c r="DW37" i="5"/>
  <c r="DM37" i="5"/>
  <c r="BS37" i="5"/>
  <c r="AZ37" i="5"/>
  <c r="AJ37" i="5"/>
  <c r="B26" i="5"/>
  <c r="B25" i="5"/>
  <c r="B21" i="5"/>
  <c r="B22" i="5"/>
  <c r="B28" i="5"/>
  <c r="B14" i="5"/>
  <c r="B3" i="5"/>
  <c r="B16" i="5"/>
  <c r="B6" i="5"/>
  <c r="B33" i="5"/>
  <c r="B10" i="5"/>
  <c r="B5" i="5"/>
  <c r="B12" i="5"/>
  <c r="B19" i="5"/>
  <c r="B27" i="5"/>
  <c r="B20" i="5"/>
  <c r="B18" i="5"/>
  <c r="B17" i="5"/>
  <c r="B15" i="5"/>
  <c r="B4" i="5"/>
  <c r="B32" i="5"/>
  <c r="B9" i="5"/>
  <c r="B29" i="5"/>
  <c r="B13" i="5"/>
  <c r="B23" i="5"/>
  <c r="B7" i="5"/>
  <c r="B30" i="5"/>
  <c r="B24" i="5"/>
  <c r="HB161" i="3"/>
  <c r="HB162" i="3"/>
  <c r="HB163" i="3"/>
  <c r="GZ162" i="3"/>
  <c r="GZ161" i="3"/>
  <c r="FP161" i="3"/>
  <c r="FQ161" i="3"/>
  <c r="FR161" i="3"/>
  <c r="FS161" i="3"/>
  <c r="FT161" i="3"/>
  <c r="FU161" i="3"/>
  <c r="FV161" i="3"/>
  <c r="FW161" i="3"/>
  <c r="FX161" i="3"/>
  <c r="FY161" i="3"/>
  <c r="FZ161" i="3"/>
  <c r="GA161" i="3"/>
  <c r="GB161" i="3"/>
  <c r="GC161" i="3"/>
  <c r="GD161" i="3"/>
  <c r="GE161" i="3"/>
  <c r="GF161" i="3"/>
  <c r="GG161" i="3"/>
  <c r="GH161" i="3"/>
  <c r="GI161" i="3"/>
  <c r="GJ161" i="3"/>
  <c r="GK161" i="3"/>
  <c r="GL161" i="3"/>
  <c r="GM161" i="3"/>
  <c r="GN161" i="3"/>
  <c r="GO161" i="3"/>
  <c r="GP161" i="3"/>
  <c r="GQ161" i="3"/>
  <c r="GR161" i="3"/>
  <c r="GS161" i="3"/>
  <c r="GT161" i="3"/>
  <c r="GU161" i="3"/>
  <c r="GV161" i="3"/>
  <c r="GW161" i="3"/>
  <c r="GX161" i="3"/>
  <c r="GY161" i="3"/>
  <c r="HA161" i="3"/>
  <c r="FP162" i="3"/>
  <c r="FQ162" i="3"/>
  <c r="FR162" i="3"/>
  <c r="FS162" i="3"/>
  <c r="FT162" i="3"/>
  <c r="FU162" i="3"/>
  <c r="FV162" i="3"/>
  <c r="FW162" i="3"/>
  <c r="FX162" i="3"/>
  <c r="FY162" i="3"/>
  <c r="FZ162" i="3"/>
  <c r="GA162" i="3"/>
  <c r="GB162" i="3"/>
  <c r="GC162" i="3"/>
  <c r="GD162" i="3"/>
  <c r="GE162" i="3"/>
  <c r="GF162" i="3"/>
  <c r="GG162" i="3"/>
  <c r="GH162" i="3"/>
  <c r="GI162" i="3"/>
  <c r="GJ162" i="3"/>
  <c r="GK162" i="3"/>
  <c r="GL162" i="3"/>
  <c r="GM162" i="3"/>
  <c r="GN162" i="3"/>
  <c r="GO162" i="3"/>
  <c r="GP162" i="3"/>
  <c r="GQ162" i="3"/>
  <c r="GR162" i="3"/>
  <c r="GS162" i="3"/>
  <c r="GT162" i="3"/>
  <c r="GU162" i="3"/>
  <c r="GV162" i="3"/>
  <c r="GW162" i="3"/>
  <c r="GX162" i="3"/>
  <c r="GY162" i="3"/>
  <c r="HA162" i="3"/>
  <c r="FP163" i="3"/>
  <c r="FQ163" i="3"/>
  <c r="FR163" i="3"/>
  <c r="FS163" i="3"/>
  <c r="FT163" i="3"/>
  <c r="FU163" i="3"/>
  <c r="FV163" i="3"/>
  <c r="FW163" i="3"/>
  <c r="FX163" i="3"/>
  <c r="FY163" i="3"/>
  <c r="FZ163" i="3"/>
  <c r="GA163" i="3"/>
  <c r="GB163" i="3"/>
  <c r="GC163" i="3"/>
  <c r="GD163" i="3"/>
  <c r="GE163" i="3"/>
  <c r="GF163" i="3"/>
  <c r="GG163" i="3"/>
  <c r="GH163" i="3"/>
  <c r="GI163" i="3"/>
  <c r="GJ163" i="3"/>
  <c r="GK163" i="3"/>
  <c r="GL163" i="3"/>
  <c r="GM163" i="3"/>
  <c r="GN163" i="3"/>
  <c r="GO163" i="3"/>
  <c r="GP163" i="3"/>
  <c r="GQ163" i="3"/>
  <c r="GR163" i="3"/>
  <c r="GS163" i="3"/>
  <c r="GT163" i="3"/>
  <c r="GU163" i="3"/>
  <c r="GV163" i="3"/>
  <c r="GW163" i="3"/>
  <c r="GX163" i="3"/>
  <c r="GY163" i="3"/>
  <c r="GZ163" i="3"/>
  <c r="HA163" i="3"/>
  <c r="AY160" i="3"/>
  <c r="AZ160" i="3"/>
  <c r="BA160" i="3"/>
  <c r="BB160" i="3"/>
  <c r="BC160" i="3"/>
  <c r="BD160" i="3"/>
  <c r="BE160" i="3"/>
  <c r="BF160" i="3"/>
  <c r="BG160" i="3"/>
  <c r="BH160" i="3"/>
  <c r="BI160" i="3"/>
  <c r="BJ160" i="3"/>
  <c r="BK160" i="3"/>
  <c r="BL160" i="3"/>
  <c r="BM160" i="3"/>
  <c r="BN160" i="3"/>
  <c r="BO160" i="3"/>
  <c r="BP160" i="3"/>
  <c r="BQ160" i="3"/>
  <c r="BR160" i="3"/>
  <c r="BS160" i="3"/>
  <c r="BT160" i="3"/>
  <c r="BU160" i="3"/>
  <c r="BV160" i="3"/>
  <c r="BW160" i="3"/>
  <c r="BX160" i="3"/>
  <c r="BY160" i="3"/>
  <c r="BZ160" i="3"/>
  <c r="CA160" i="3"/>
  <c r="CB160" i="3"/>
  <c r="CC160" i="3"/>
  <c r="CD160" i="3"/>
  <c r="CE160" i="3"/>
  <c r="CF160" i="3"/>
  <c r="CG160" i="3"/>
  <c r="CH160" i="3"/>
  <c r="CI160" i="3"/>
  <c r="CJ160" i="3"/>
  <c r="CK160" i="3"/>
  <c r="CL160" i="3"/>
  <c r="CM160" i="3"/>
  <c r="CN160" i="3"/>
  <c r="CO160" i="3"/>
  <c r="CP160" i="3"/>
  <c r="CQ160" i="3"/>
  <c r="AG160" i="3"/>
  <c r="AH160" i="3"/>
  <c r="AI160" i="3"/>
  <c r="AJ160" i="3"/>
  <c r="AK160" i="3"/>
  <c r="AL160" i="3"/>
  <c r="AM160" i="3"/>
  <c r="AN160" i="3"/>
  <c r="AO160" i="3"/>
  <c r="AP160" i="3"/>
  <c r="AQ160" i="3"/>
  <c r="AR160" i="3"/>
  <c r="AS160" i="3"/>
  <c r="AT160" i="3"/>
  <c r="AU160" i="3"/>
  <c r="AV160" i="3"/>
  <c r="AW160" i="3"/>
  <c r="C3" i="3"/>
  <c r="C4" i="3"/>
  <c r="C5" i="3"/>
  <c r="C6" i="3"/>
  <c r="C7" i="3"/>
  <c r="C8" i="3"/>
  <c r="C9" i="3"/>
  <c r="C10" i="3"/>
  <c r="C11" i="3"/>
  <c r="C12" i="3"/>
  <c r="C13" i="3"/>
  <c r="C15" i="3"/>
  <c r="C16" i="3"/>
  <c r="C17" i="3"/>
  <c r="C18" i="3"/>
  <c r="C19" i="3"/>
  <c r="C45" i="3"/>
  <c r="C20" i="3"/>
  <c r="C92" i="3"/>
  <c r="C76" i="3"/>
  <c r="C53" i="3"/>
  <c r="C24" i="3"/>
  <c r="C61" i="3"/>
  <c r="C25" i="3"/>
  <c r="C139" i="3"/>
  <c r="C26" i="3"/>
  <c r="C143" i="3"/>
  <c r="C36" i="3"/>
  <c r="C22" i="3"/>
  <c r="C21" i="3"/>
  <c r="C29" i="3"/>
  <c r="C30" i="3"/>
  <c r="C27" i="3"/>
  <c r="C28" i="3"/>
  <c r="C23" i="3"/>
  <c r="C31" i="3"/>
  <c r="C32" i="3"/>
  <c r="C34" i="3"/>
  <c r="C35" i="3"/>
  <c r="C153" i="3"/>
  <c r="C154" i="3"/>
  <c r="C37" i="3"/>
  <c r="C113" i="3"/>
  <c r="C38" i="3"/>
  <c r="C39" i="3"/>
  <c r="C40" i="3"/>
  <c r="C41" i="3"/>
  <c r="C33" i="3"/>
  <c r="C42" i="3"/>
  <c r="C43" i="3"/>
  <c r="C44" i="3"/>
  <c r="C46" i="3"/>
  <c r="C47" i="3"/>
  <c r="C48" i="3"/>
  <c r="C14" i="3"/>
  <c r="C49" i="3"/>
  <c r="C50" i="3"/>
  <c r="C51" i="3"/>
  <c r="C52" i="3"/>
  <c r="C54" i="3"/>
  <c r="C55" i="3"/>
  <c r="C56" i="3"/>
  <c r="C57" i="3"/>
  <c r="C58" i="3"/>
  <c r="C59" i="3"/>
  <c r="C60" i="3"/>
  <c r="C62" i="3"/>
  <c r="C63" i="3"/>
  <c r="C64" i="3"/>
  <c r="C65" i="3"/>
  <c r="C66" i="3"/>
  <c r="C67" i="3"/>
  <c r="C68" i="3"/>
  <c r="C69" i="3"/>
  <c r="C70" i="3"/>
  <c r="C71" i="3"/>
  <c r="C73" i="3"/>
  <c r="C72" i="3"/>
  <c r="C74" i="3"/>
  <c r="C75" i="3"/>
  <c r="C77" i="3"/>
  <c r="C78" i="3"/>
  <c r="C79" i="3"/>
  <c r="C80" i="3"/>
  <c r="C81" i="3"/>
  <c r="C82" i="3"/>
  <c r="C83" i="3"/>
  <c r="C84" i="3"/>
  <c r="C85" i="3"/>
  <c r="C86" i="3"/>
  <c r="C87" i="3"/>
  <c r="C88" i="3"/>
  <c r="C89" i="3"/>
  <c r="C90" i="3"/>
  <c r="C93" i="3"/>
  <c r="C94" i="3"/>
  <c r="C95" i="3"/>
  <c r="C96" i="3"/>
  <c r="C97" i="3"/>
  <c r="C98" i="3"/>
  <c r="C99" i="3"/>
  <c r="C100" i="3"/>
  <c r="C101" i="3"/>
  <c r="C102" i="3"/>
  <c r="C103" i="3"/>
  <c r="C104" i="3"/>
  <c r="C105" i="3"/>
  <c r="C106" i="3"/>
  <c r="C108" i="3"/>
  <c r="C107" i="3"/>
  <c r="C109" i="3"/>
  <c r="C110" i="3"/>
  <c r="C111" i="3"/>
  <c r="C112" i="3"/>
  <c r="C114" i="3"/>
  <c r="C117" i="3"/>
  <c r="C118" i="3"/>
  <c r="C116" i="3"/>
  <c r="C115" i="3"/>
  <c r="C122" i="3"/>
  <c r="C119" i="3"/>
  <c r="C123" i="3"/>
  <c r="C124" i="3"/>
  <c r="C121" i="3"/>
  <c r="C125" i="3"/>
  <c r="C120" i="3"/>
  <c r="C126" i="3"/>
  <c r="C127" i="3"/>
  <c r="C128" i="3"/>
  <c r="C130" i="3"/>
  <c r="C129" i="3"/>
  <c r="C131" i="3"/>
  <c r="C132" i="3"/>
  <c r="C133" i="3"/>
  <c r="C134" i="3"/>
  <c r="C135" i="3"/>
  <c r="C136" i="3"/>
  <c r="C137" i="3"/>
  <c r="C138" i="3"/>
  <c r="C140" i="3"/>
  <c r="C141" i="3"/>
  <c r="C91" i="3"/>
  <c r="C142" i="3"/>
  <c r="C144" i="3"/>
  <c r="C145" i="3"/>
  <c r="C146" i="3"/>
  <c r="C147" i="3"/>
  <c r="C148" i="3"/>
  <c r="C149" i="3"/>
  <c r="C150" i="3"/>
  <c r="C151" i="3"/>
  <c r="C152" i="3"/>
  <c r="C155" i="3"/>
  <c r="C156" i="3"/>
  <c r="C157" i="3"/>
  <c r="C158" i="3"/>
  <c r="C159" i="3"/>
  <c r="HF160" i="3"/>
  <c r="HE160" i="3"/>
  <c r="HD160" i="3"/>
  <c r="HC160" i="3"/>
  <c r="HB160" i="3"/>
  <c r="HA160" i="3"/>
  <c r="GZ160" i="3"/>
  <c r="FO160" i="3"/>
  <c r="EO160" i="3"/>
  <c r="DL160" i="3"/>
  <c r="DB160" i="3"/>
  <c r="CR160" i="3"/>
  <c r="AX160" i="3"/>
  <c r="AF160" i="3"/>
  <c r="AE160" i="3"/>
  <c r="AD160" i="3"/>
  <c r="Q160" i="3"/>
  <c r="R160" i="3"/>
  <c r="S160" i="3"/>
  <c r="T160" i="3"/>
  <c r="U160" i="3"/>
  <c r="V160" i="3"/>
  <c r="W160" i="3"/>
  <c r="X160" i="3"/>
  <c r="Y160" i="3"/>
  <c r="Z160" i="3"/>
  <c r="AA160" i="3"/>
  <c r="AB160" i="3"/>
  <c r="AC160" i="3"/>
  <c r="P160" i="3"/>
  <c r="O160" i="3"/>
  <c r="FN164" i="3"/>
  <c r="FM164" i="3"/>
  <c r="FL164" i="3"/>
  <c r="FK164" i="3"/>
  <c r="FJ164" i="3"/>
  <c r="FI164" i="3"/>
  <c r="FH164" i="3"/>
  <c r="FG164" i="3"/>
  <c r="FF164" i="3"/>
  <c r="FE164" i="3"/>
  <c r="FD164" i="3"/>
  <c r="FC164" i="3"/>
  <c r="FB164" i="3"/>
  <c r="FA164" i="3"/>
  <c r="EZ164" i="3"/>
  <c r="EY164" i="3"/>
  <c r="EX164" i="3"/>
  <c r="EW164" i="3"/>
  <c r="EV164" i="3"/>
  <c r="EU164" i="3"/>
  <c r="ET164" i="3"/>
  <c r="ES164" i="3"/>
  <c r="ER164" i="3"/>
  <c r="EQ164" i="3"/>
  <c r="EP164" i="3"/>
  <c r="EN164" i="3"/>
  <c r="EM164" i="3"/>
  <c r="EL164" i="3"/>
  <c r="EK164" i="3"/>
  <c r="EJ164" i="3"/>
  <c r="EI164" i="3"/>
  <c r="EH164" i="3"/>
  <c r="EG164" i="3"/>
  <c r="EF164" i="3"/>
  <c r="EE164" i="3"/>
  <c r="ED164" i="3"/>
  <c r="EC164" i="3"/>
  <c r="EB164" i="3"/>
  <c r="EA164" i="3"/>
  <c r="DZ164" i="3"/>
  <c r="DY164" i="3"/>
  <c r="DX164" i="3"/>
  <c r="DW164" i="3"/>
  <c r="DV164" i="3"/>
  <c r="DU164" i="3"/>
  <c r="DT164" i="3"/>
  <c r="DS164" i="3"/>
  <c r="DR164" i="3"/>
  <c r="DQ164" i="3"/>
  <c r="DP164" i="3"/>
  <c r="DO164" i="3"/>
  <c r="DN164" i="3"/>
  <c r="DM164" i="3"/>
  <c r="DK164" i="3"/>
  <c r="DJ164" i="3"/>
  <c r="DI164" i="3"/>
  <c r="DH164" i="3"/>
  <c r="DG164" i="3"/>
  <c r="DF164" i="3"/>
  <c r="DE164" i="3"/>
  <c r="DD164" i="3"/>
  <c r="DC164" i="3"/>
  <c r="DA164" i="3"/>
  <c r="CZ164" i="3"/>
  <c r="CY164" i="3"/>
  <c r="CX164" i="3"/>
  <c r="CW164" i="3"/>
  <c r="CV164" i="3"/>
  <c r="CU164" i="3"/>
  <c r="CT164" i="3"/>
  <c r="CS164" i="3"/>
  <c r="CQ164" i="3"/>
  <c r="CP164" i="3"/>
  <c r="CO164" i="3"/>
  <c r="CN164" i="3"/>
  <c r="CM164" i="3"/>
  <c r="CL164" i="3"/>
  <c r="CK164" i="3"/>
  <c r="CJ164" i="3"/>
  <c r="CI164" i="3"/>
  <c r="CH164" i="3"/>
  <c r="CG164" i="3"/>
  <c r="CF164" i="3"/>
  <c r="CE164" i="3"/>
  <c r="CD164" i="3"/>
  <c r="CC164" i="3"/>
  <c r="CB164" i="3"/>
  <c r="CA164" i="3"/>
  <c r="BZ164" i="3"/>
  <c r="BY164" i="3"/>
  <c r="BX164" i="3"/>
  <c r="BW164" i="3"/>
  <c r="BV164" i="3"/>
  <c r="BU164" i="3"/>
  <c r="BT164" i="3"/>
  <c r="BS164" i="3"/>
  <c r="BR164" i="3"/>
  <c r="BQ164" i="3"/>
  <c r="BP164" i="3"/>
  <c r="BO164" i="3"/>
  <c r="BN164" i="3"/>
  <c r="BM164" i="3"/>
  <c r="BL164" i="3"/>
  <c r="BK164" i="3"/>
  <c r="BJ164" i="3"/>
  <c r="BI164" i="3"/>
  <c r="BH164" i="3"/>
  <c r="BG164" i="3"/>
  <c r="BF164" i="3"/>
  <c r="BE164" i="3"/>
  <c r="BD164" i="3"/>
  <c r="BC164" i="3"/>
  <c r="BB164" i="3"/>
  <c r="BA164" i="3"/>
  <c r="AZ164" i="3"/>
  <c r="AY164" i="3"/>
  <c r="AW164" i="3"/>
  <c r="AV164" i="3"/>
  <c r="AU164" i="3"/>
  <c r="AT164" i="3"/>
  <c r="AS164" i="3"/>
  <c r="AR164" i="3"/>
  <c r="AQ164" i="3"/>
  <c r="AP164" i="3"/>
  <c r="AO164" i="3"/>
  <c r="AN164" i="3"/>
  <c r="AM164" i="3"/>
  <c r="AL164" i="3"/>
  <c r="AK164" i="3"/>
  <c r="AJ164" i="3"/>
  <c r="AI164" i="3"/>
  <c r="AH164" i="3"/>
  <c r="AG164" i="3"/>
  <c r="AE164" i="3"/>
  <c r="AD164" i="3"/>
  <c r="AC164" i="3"/>
  <c r="AB164" i="3"/>
  <c r="AA164" i="3"/>
  <c r="Z164" i="3"/>
  <c r="Y164" i="3"/>
  <c r="X164" i="3"/>
  <c r="W164" i="3"/>
  <c r="V164" i="3"/>
  <c r="U164" i="3"/>
  <c r="T164" i="3"/>
  <c r="S164" i="3"/>
  <c r="R164" i="3"/>
  <c r="Q164" i="3"/>
  <c r="FO163" i="3"/>
  <c r="EO163" i="3"/>
  <c r="DL163" i="3"/>
  <c r="DB163" i="3"/>
  <c r="CR163" i="3"/>
  <c r="AX163" i="3"/>
  <c r="AF163" i="3"/>
  <c r="P163" i="3"/>
  <c r="O163" i="3"/>
  <c r="FO162" i="3"/>
  <c r="EO162" i="3"/>
  <c r="DL162" i="3"/>
  <c r="DB162" i="3"/>
  <c r="CR162" i="3"/>
  <c r="AX162" i="3"/>
  <c r="AF162" i="3"/>
  <c r="P162" i="3"/>
  <c r="O162" i="3"/>
  <c r="FO161" i="3"/>
  <c r="EO161" i="3"/>
  <c r="DL161" i="3"/>
  <c r="DB161" i="3"/>
  <c r="CR161" i="3"/>
  <c r="AX161" i="3"/>
  <c r="AF161" i="3"/>
  <c r="P161" i="3"/>
  <c r="O161" i="3"/>
  <c r="B159" i="3"/>
  <c r="B158" i="3"/>
  <c r="B157" i="3"/>
  <c r="B156" i="3"/>
  <c r="B155" i="3"/>
  <c r="B154" i="3"/>
  <c r="B153" i="3"/>
  <c r="B152" i="3"/>
  <c r="B151" i="3"/>
  <c r="B150" i="3"/>
  <c r="B149" i="3"/>
  <c r="B148" i="3"/>
  <c r="B147" i="3"/>
  <c r="B146" i="3"/>
  <c r="B145" i="3"/>
  <c r="B144" i="3"/>
  <c r="B143" i="3"/>
  <c r="B142" i="3"/>
  <c r="B91" i="3"/>
  <c r="B141" i="3"/>
  <c r="B140" i="3"/>
  <c r="B139" i="3"/>
  <c r="B138" i="3"/>
  <c r="B137" i="3"/>
  <c r="B136" i="3"/>
  <c r="B135" i="3"/>
  <c r="B134" i="3"/>
  <c r="B133" i="3"/>
  <c r="B132" i="3"/>
  <c r="B131" i="3"/>
  <c r="B129" i="3"/>
  <c r="B130" i="3"/>
  <c r="B128" i="3"/>
  <c r="B127" i="3"/>
  <c r="B126" i="3"/>
  <c r="B120" i="3"/>
  <c r="B125" i="3"/>
  <c r="B121" i="3"/>
  <c r="B124" i="3"/>
  <c r="B123" i="3"/>
  <c r="B119" i="3"/>
  <c r="B122" i="3"/>
  <c r="B115" i="3"/>
  <c r="B116" i="3"/>
  <c r="B118" i="3"/>
  <c r="B117" i="3"/>
  <c r="B114" i="3"/>
  <c r="B113" i="3"/>
  <c r="B112" i="3"/>
  <c r="B111" i="3"/>
  <c r="B110" i="3"/>
  <c r="B109" i="3"/>
  <c r="B107" i="3"/>
  <c r="B108" i="3"/>
  <c r="B106" i="3"/>
  <c r="B105" i="3"/>
  <c r="B104" i="3"/>
  <c r="B103" i="3"/>
  <c r="B102" i="3"/>
  <c r="B101" i="3"/>
  <c r="B100" i="3"/>
  <c r="B99" i="3"/>
  <c r="B98" i="3"/>
  <c r="B97" i="3"/>
  <c r="B96" i="3"/>
  <c r="B95" i="3"/>
  <c r="B94" i="3"/>
  <c r="B93" i="3"/>
  <c r="B92" i="3"/>
  <c r="B90" i="3"/>
  <c r="B89" i="3"/>
  <c r="B88" i="3"/>
  <c r="B87" i="3"/>
  <c r="B86" i="3"/>
  <c r="B85" i="3"/>
  <c r="B84" i="3"/>
  <c r="B83" i="3"/>
  <c r="B82" i="3"/>
  <c r="B81" i="3"/>
  <c r="B80" i="3"/>
  <c r="B79" i="3"/>
  <c r="B78" i="3"/>
  <c r="B77" i="3"/>
  <c r="B75" i="3"/>
  <c r="B76" i="3"/>
  <c r="B74" i="3"/>
  <c r="B72" i="3"/>
  <c r="B73" i="3"/>
  <c r="B71" i="3"/>
  <c r="B70" i="3"/>
  <c r="B69" i="3"/>
  <c r="B68" i="3"/>
  <c r="B67" i="3"/>
  <c r="B66" i="3"/>
  <c r="B65" i="3"/>
  <c r="B64" i="3"/>
  <c r="B63" i="3"/>
  <c r="B62" i="3"/>
  <c r="B61" i="3"/>
  <c r="B60" i="3"/>
  <c r="B59" i="3"/>
  <c r="B58" i="3"/>
  <c r="B57" i="3"/>
  <c r="B56" i="3"/>
  <c r="B55" i="3"/>
  <c r="B54" i="3"/>
  <c r="B53" i="3"/>
  <c r="B52" i="3"/>
  <c r="B51" i="3"/>
  <c r="B50" i="3"/>
  <c r="B49" i="3"/>
  <c r="B14" i="3"/>
  <c r="B48" i="3"/>
  <c r="B47" i="3"/>
  <c r="B46" i="3"/>
  <c r="B45" i="3"/>
  <c r="B44" i="3"/>
  <c r="B43" i="3"/>
  <c r="B42" i="3"/>
  <c r="B33" i="3"/>
  <c r="B41" i="3"/>
  <c r="B40" i="3"/>
  <c r="B39" i="3"/>
  <c r="B38" i="3"/>
  <c r="B37" i="3"/>
  <c r="B36" i="3"/>
  <c r="B35" i="3"/>
  <c r="B34" i="3"/>
  <c r="B32" i="3"/>
  <c r="B31" i="3"/>
  <c r="B30" i="3"/>
  <c r="B29" i="3"/>
  <c r="B21" i="3"/>
  <c r="B23" i="3"/>
  <c r="B28" i="3"/>
  <c r="B27" i="3"/>
  <c r="B26" i="3"/>
  <c r="B25" i="3"/>
  <c r="B24" i="3"/>
  <c r="B22" i="3"/>
  <c r="B20" i="3"/>
  <c r="B19" i="3"/>
  <c r="B18" i="3"/>
  <c r="B17" i="3"/>
  <c r="B16" i="3"/>
  <c r="B15" i="3"/>
  <c r="B13" i="3"/>
  <c r="B12" i="3"/>
  <c r="B11" i="3"/>
  <c r="B10" i="3"/>
  <c r="B9" i="3"/>
  <c r="B8" i="3"/>
  <c r="B7" i="3"/>
  <c r="B6" i="3"/>
  <c r="B5" i="3"/>
  <c r="B4" i="3"/>
  <c r="B3" i="3"/>
  <c r="N266" i="1"/>
  <c r="N264" i="1"/>
  <c r="N267" i="1"/>
  <c r="N265" i="1"/>
  <c r="DL268" i="1"/>
  <c r="DM268" i="1"/>
  <c r="DN268" i="1"/>
  <c r="DO268" i="1"/>
  <c r="DP268" i="1"/>
  <c r="DQ268" i="1"/>
  <c r="DR268" i="1"/>
  <c r="DS268" i="1"/>
  <c r="DT268" i="1"/>
  <c r="DU268" i="1"/>
  <c r="DV268" i="1"/>
  <c r="DW268" i="1"/>
  <c r="DX268" i="1"/>
  <c r="DY268" i="1"/>
  <c r="DZ268" i="1"/>
  <c r="EA268" i="1"/>
  <c r="EB268" i="1"/>
  <c r="EC268" i="1"/>
  <c r="ED268" i="1"/>
  <c r="EE268" i="1"/>
  <c r="EF268" i="1"/>
  <c r="EG268" i="1"/>
  <c r="EH268" i="1"/>
  <c r="EI268" i="1"/>
  <c r="EJ268" i="1"/>
  <c r="EK268" i="1"/>
  <c r="EL268" i="1"/>
  <c r="EM268" i="1"/>
  <c r="EO268" i="1"/>
  <c r="EP268" i="1"/>
  <c r="EQ268" i="1"/>
  <c r="ER268" i="1"/>
  <c r="ES268" i="1"/>
  <c r="ET268" i="1"/>
  <c r="EU268" i="1"/>
  <c r="EV268" i="1"/>
  <c r="EW268" i="1"/>
  <c r="EX268" i="1"/>
  <c r="EY268" i="1"/>
  <c r="EZ268" i="1"/>
  <c r="FA268" i="1"/>
  <c r="FB268" i="1"/>
  <c r="FC268" i="1"/>
  <c r="FD268" i="1"/>
  <c r="FE268" i="1"/>
  <c r="FF268" i="1"/>
  <c r="FG268" i="1"/>
  <c r="FH268" i="1"/>
  <c r="FI268" i="1"/>
  <c r="FJ268" i="1"/>
  <c r="FK268" i="1"/>
  <c r="FL268" i="1"/>
  <c r="FM268" i="1"/>
  <c r="P268" i="1"/>
  <c r="Q268" i="1"/>
  <c r="R268" i="1"/>
  <c r="S268" i="1"/>
  <c r="T268" i="1"/>
  <c r="U268" i="1"/>
  <c r="V268" i="1"/>
  <c r="W268" i="1"/>
  <c r="X268" i="1"/>
  <c r="Y268" i="1"/>
  <c r="Z268" i="1"/>
  <c r="AA268" i="1"/>
  <c r="AB268" i="1"/>
  <c r="AC268" i="1"/>
  <c r="AD268" i="1"/>
  <c r="AF268" i="1"/>
  <c r="AG268" i="1"/>
  <c r="AH268" i="1"/>
  <c r="AI268" i="1"/>
  <c r="AJ268" i="1"/>
  <c r="AK268" i="1"/>
  <c r="AL268" i="1"/>
  <c r="AM268" i="1"/>
  <c r="AN268" i="1"/>
  <c r="AO268" i="1"/>
  <c r="AP268" i="1"/>
  <c r="AQ268" i="1"/>
  <c r="AR268" i="1"/>
  <c r="AS268" i="1"/>
  <c r="AT268" i="1"/>
  <c r="AU268" i="1"/>
  <c r="AV268" i="1"/>
  <c r="AX268" i="1"/>
  <c r="AY268" i="1"/>
  <c r="AZ268" i="1"/>
  <c r="BA268" i="1"/>
  <c r="BB268" i="1"/>
  <c r="BC268" i="1"/>
  <c r="BD268" i="1"/>
  <c r="BE268" i="1"/>
  <c r="BF268" i="1"/>
  <c r="BG268" i="1"/>
  <c r="BH268" i="1"/>
  <c r="BI268" i="1"/>
  <c r="BJ268" i="1"/>
  <c r="BK268" i="1"/>
  <c r="BL268" i="1"/>
  <c r="BM268" i="1"/>
  <c r="BN268" i="1"/>
  <c r="BO268" i="1"/>
  <c r="BP268" i="1"/>
  <c r="BQ268" i="1"/>
  <c r="BR268" i="1"/>
  <c r="BS268" i="1"/>
  <c r="BT268" i="1"/>
  <c r="BU268" i="1"/>
  <c r="BV268" i="1"/>
  <c r="BW268" i="1"/>
  <c r="BX268" i="1"/>
  <c r="BY268" i="1"/>
  <c r="BZ268" i="1"/>
  <c r="CA268" i="1"/>
  <c r="CB268" i="1"/>
  <c r="CC268" i="1"/>
  <c r="CD268" i="1"/>
  <c r="CE268" i="1"/>
  <c r="CF268" i="1"/>
  <c r="CG268" i="1"/>
  <c r="CH268" i="1"/>
  <c r="CI268" i="1"/>
  <c r="CJ268" i="1"/>
  <c r="CK268" i="1"/>
  <c r="CL268" i="1"/>
  <c r="CM268" i="1"/>
  <c r="CN268" i="1"/>
  <c r="CO268" i="1"/>
  <c r="CP268" i="1"/>
  <c r="CR268" i="1"/>
  <c r="CS268" i="1"/>
  <c r="CT268" i="1"/>
  <c r="CU268" i="1"/>
  <c r="CV268" i="1"/>
  <c r="CW268" i="1"/>
  <c r="CX268" i="1"/>
  <c r="CY268" i="1"/>
  <c r="CZ268" i="1"/>
  <c r="DB268" i="1"/>
  <c r="DC268" i="1"/>
  <c r="DD268" i="1"/>
  <c r="DE268" i="1"/>
  <c r="DF268" i="1"/>
  <c r="DG268" i="1"/>
  <c r="DH268" i="1"/>
  <c r="DI268" i="1"/>
  <c r="DJ268" i="1"/>
  <c r="FN264" i="1"/>
  <c r="EN264" i="1"/>
  <c r="DK264" i="1"/>
  <c r="DA264" i="1"/>
  <c r="CQ264" i="1"/>
  <c r="AW264" i="1"/>
  <c r="AE264" i="1"/>
  <c r="O264" i="1"/>
  <c r="FN265" i="1"/>
  <c r="EN265" i="1"/>
  <c r="DK265" i="1"/>
  <c r="DA265" i="1"/>
  <c r="CQ265" i="1"/>
  <c r="AW265" i="1"/>
  <c r="AE265" i="1"/>
  <c r="O265" i="1"/>
  <c r="FN266" i="1"/>
  <c r="EN266" i="1"/>
  <c r="DK266" i="1"/>
  <c r="DA266" i="1"/>
  <c r="CQ266" i="1"/>
  <c r="AW266" i="1"/>
  <c r="O266" i="1"/>
  <c r="AE266" i="1"/>
  <c r="FN267" i="1"/>
  <c r="EN267" i="1"/>
  <c r="DK267" i="1"/>
  <c r="DA267" i="1"/>
  <c r="CQ267" i="1"/>
  <c r="AW267" i="1"/>
  <c r="AE267" i="1"/>
  <c r="O267"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F656" i="7" l="1"/>
  <c r="FJ40" i="5"/>
  <c r="GQ40" i="5"/>
  <c r="GY40" i="5"/>
  <c r="HG40" i="5"/>
  <c r="GN40" i="5"/>
  <c r="GV40" i="5"/>
  <c r="HL40" i="5"/>
  <c r="GM40" i="5"/>
  <c r="HC40" i="5"/>
  <c r="HK40" i="5"/>
  <c r="HO40" i="5"/>
  <c r="DW40" i="5"/>
  <c r="GO40" i="5"/>
  <c r="GW40" i="5"/>
  <c r="HM40" i="5"/>
  <c r="GX40" i="5"/>
  <c r="HF40" i="5"/>
  <c r="HN40" i="5"/>
  <c r="GJ40" i="5"/>
  <c r="GR40" i="5"/>
  <c r="GZ40" i="5"/>
  <c r="HH40" i="5"/>
  <c r="HP40" i="5"/>
  <c r="HI40" i="5"/>
  <c r="GL40" i="5"/>
  <c r="GT40" i="5"/>
  <c r="HB40" i="5"/>
  <c r="HA40" i="5"/>
  <c r="GK40" i="5"/>
  <c r="GS40" i="5"/>
  <c r="A81" i="7"/>
  <c r="BS40" i="5"/>
  <c r="HQ40" i="5"/>
  <c r="HD40" i="5"/>
  <c r="DM40" i="5"/>
  <c r="HE40" i="5"/>
  <c r="EG40" i="5"/>
  <c r="FA41" i="5"/>
  <c r="ET42" i="5" s="1"/>
  <c r="FI41" i="5"/>
  <c r="D49" i="8"/>
  <c r="F519" i="7"/>
  <c r="H519" i="7"/>
  <c r="J519" i="7" s="1"/>
  <c r="D526" i="7"/>
  <c r="D527" i="7" s="1"/>
  <c r="F523" i="7"/>
  <c r="D531" i="7"/>
  <c r="D533" i="7"/>
  <c r="C538" i="7"/>
  <c r="C539" i="7" s="1"/>
  <c r="K540" i="7" s="1"/>
  <c r="D535" i="7"/>
  <c r="D530" i="7"/>
  <c r="D532" i="7"/>
  <c r="D534" i="7"/>
  <c r="D536" i="7"/>
  <c r="D605" i="7"/>
  <c r="D607" i="7"/>
  <c r="D609" i="7"/>
  <c r="C612" i="7"/>
  <c r="C613" i="7" s="1"/>
  <c r="D604" i="7"/>
  <c r="D606" i="7"/>
  <c r="D608" i="7"/>
  <c r="D610" i="7"/>
  <c r="C600" i="7"/>
  <c r="C601" i="7" s="1"/>
  <c r="D593" i="7"/>
  <c r="D595" i="7"/>
  <c r="D597" i="7"/>
  <c r="D592" i="7"/>
  <c r="D594" i="7"/>
  <c r="D596" i="7"/>
  <c r="D598" i="7"/>
  <c r="D581" i="7"/>
  <c r="D583" i="7"/>
  <c r="C588" i="7"/>
  <c r="C589" i="7" s="1"/>
  <c r="D585" i="7"/>
  <c r="D580" i="7"/>
  <c r="D582" i="7"/>
  <c r="D584" i="7"/>
  <c r="D586" i="7"/>
  <c r="C576" i="7"/>
  <c r="C577" i="7" s="1"/>
  <c r="D569" i="7"/>
  <c r="D571" i="7"/>
  <c r="D573" i="7"/>
  <c r="D568" i="7"/>
  <c r="D570" i="7"/>
  <c r="D572" i="7"/>
  <c r="D574" i="7"/>
  <c r="C564" i="7"/>
  <c r="C565" i="7" s="1"/>
  <c r="D557" i="7"/>
  <c r="D559" i="7"/>
  <c r="D561" i="7"/>
  <c r="D556" i="7"/>
  <c r="D558" i="7"/>
  <c r="D560" i="7"/>
  <c r="D562" i="7"/>
  <c r="F498" i="7"/>
  <c r="F510" i="7"/>
  <c r="G497" i="7"/>
  <c r="J497" i="7" s="1"/>
  <c r="F522" i="7"/>
  <c r="E526" i="7"/>
  <c r="E527" i="7" s="1"/>
  <c r="I522" i="7"/>
  <c r="J522" i="7" s="1"/>
  <c r="J524" i="7"/>
  <c r="I523" i="7"/>
  <c r="J523" i="7" s="1"/>
  <c r="J525" i="7"/>
  <c r="J520" i="7"/>
  <c r="H518" i="7"/>
  <c r="F518" i="7"/>
  <c r="G518" i="7"/>
  <c r="J521" i="7"/>
  <c r="C526" i="7"/>
  <c r="F520" i="7"/>
  <c r="F524" i="7"/>
  <c r="F521" i="7"/>
  <c r="F525" i="7"/>
  <c r="E514" i="7"/>
  <c r="E515" i="7" s="1"/>
  <c r="I510" i="7"/>
  <c r="J510" i="7" s="1"/>
  <c r="F506" i="7"/>
  <c r="F511" i="7"/>
  <c r="J513" i="7"/>
  <c r="J509" i="7"/>
  <c r="J512" i="7"/>
  <c r="D514" i="7"/>
  <c r="D515" i="7" s="1"/>
  <c r="F507" i="7"/>
  <c r="G506" i="7"/>
  <c r="J506" i="7" s="1"/>
  <c r="J508" i="7"/>
  <c r="J511" i="7"/>
  <c r="C514" i="7"/>
  <c r="F508" i="7"/>
  <c r="F512" i="7"/>
  <c r="I507" i="7"/>
  <c r="J507" i="7" s="1"/>
  <c r="F509" i="7"/>
  <c r="F513" i="7"/>
  <c r="F494" i="7"/>
  <c r="E501" i="7"/>
  <c r="E502" i="7" s="1"/>
  <c r="F493" i="7"/>
  <c r="J499" i="7"/>
  <c r="H493" i="7"/>
  <c r="J495" i="7"/>
  <c r="I493" i="7"/>
  <c r="D501" i="7"/>
  <c r="D502" i="7" s="1"/>
  <c r="J496" i="7"/>
  <c r="J500" i="7"/>
  <c r="J498" i="7"/>
  <c r="C501" i="7"/>
  <c r="F495" i="7"/>
  <c r="F499" i="7"/>
  <c r="I494" i="7"/>
  <c r="J494" i="7" s="1"/>
  <c r="F496" i="7"/>
  <c r="F500" i="7"/>
  <c r="D470" i="7"/>
  <c r="D472" i="7"/>
  <c r="C477" i="7"/>
  <c r="C478" i="7" s="1"/>
  <c r="D474" i="7"/>
  <c r="D469" i="7"/>
  <c r="D471" i="7"/>
  <c r="D473" i="7"/>
  <c r="D475" i="7"/>
  <c r="D458" i="7"/>
  <c r="D460" i="7"/>
  <c r="D462" i="7"/>
  <c r="C465" i="7"/>
  <c r="C466" i="7" s="1"/>
  <c r="D457" i="7"/>
  <c r="D459" i="7"/>
  <c r="D461" i="7"/>
  <c r="D463" i="7"/>
  <c r="D446" i="7"/>
  <c r="D448" i="7"/>
  <c r="D450" i="7"/>
  <c r="C453" i="7"/>
  <c r="C454" i="7" s="1"/>
  <c r="D445" i="7"/>
  <c r="D447" i="7"/>
  <c r="D449" i="7"/>
  <c r="D451" i="7"/>
  <c r="C441" i="7"/>
  <c r="C442" i="7" s="1"/>
  <c r="D434" i="7"/>
  <c r="D436" i="7"/>
  <c r="D438" i="7"/>
  <c r="D433" i="7"/>
  <c r="D435" i="7"/>
  <c r="D437" i="7"/>
  <c r="D439" i="7"/>
  <c r="D422" i="7"/>
  <c r="D424" i="7"/>
  <c r="D426" i="7"/>
  <c r="C429" i="7"/>
  <c r="C430" i="7" s="1"/>
  <c r="D421" i="7"/>
  <c r="D423" i="7"/>
  <c r="D425" i="7"/>
  <c r="D427" i="7"/>
  <c r="D410" i="7"/>
  <c r="C417" i="7"/>
  <c r="C418" i="7" s="1"/>
  <c r="D409" i="7"/>
  <c r="D411" i="7"/>
  <c r="D413" i="7"/>
  <c r="D415" i="7"/>
  <c r="D385" i="7"/>
  <c r="C392" i="7"/>
  <c r="C393" i="7" s="1"/>
  <c r="D384" i="7"/>
  <c r="D386" i="7"/>
  <c r="D388" i="7"/>
  <c r="D390" i="7"/>
  <c r="D373" i="7"/>
  <c r="D375" i="7"/>
  <c r="D377" i="7"/>
  <c r="C380" i="7"/>
  <c r="C381" i="7" s="1"/>
  <c r="D372" i="7"/>
  <c r="D374" i="7"/>
  <c r="D376" i="7"/>
  <c r="D378" i="7"/>
  <c r="D361" i="7"/>
  <c r="C368" i="7"/>
  <c r="C369" i="7" s="1"/>
  <c r="D360" i="7"/>
  <c r="D362" i="7"/>
  <c r="D364" i="7"/>
  <c r="D366" i="7"/>
  <c r="C356" i="7"/>
  <c r="C357" i="7" s="1"/>
  <c r="D349" i="7"/>
  <c r="D351" i="7"/>
  <c r="D353" i="7"/>
  <c r="D348" i="7"/>
  <c r="D350" i="7"/>
  <c r="D352" i="7"/>
  <c r="D354" i="7"/>
  <c r="D337" i="7"/>
  <c r="D339" i="7"/>
  <c r="D341" i="7"/>
  <c r="C344" i="7"/>
  <c r="C345" i="7" s="1"/>
  <c r="D336" i="7"/>
  <c r="D338" i="7"/>
  <c r="D340" i="7"/>
  <c r="D342" i="7"/>
  <c r="D312" i="7"/>
  <c r="D314" i="7"/>
  <c r="D316" i="7"/>
  <c r="C319" i="7"/>
  <c r="C320" i="7" s="1"/>
  <c r="D311" i="7"/>
  <c r="D313" i="7"/>
  <c r="D315" i="7"/>
  <c r="D317" i="7"/>
  <c r="F226" i="7"/>
  <c r="D302" i="7"/>
  <c r="C307" i="7"/>
  <c r="C308" i="7" s="1"/>
  <c r="D300" i="7"/>
  <c r="D304" i="7"/>
  <c r="D299" i="7"/>
  <c r="D301" i="7"/>
  <c r="D303" i="7"/>
  <c r="D305" i="7"/>
  <c r="D288" i="7"/>
  <c r="D290" i="7"/>
  <c r="D292" i="7"/>
  <c r="C295" i="7"/>
  <c r="C296" i="7" s="1"/>
  <c r="D287" i="7"/>
  <c r="D289" i="7"/>
  <c r="D291" i="7"/>
  <c r="D293" i="7"/>
  <c r="C283" i="7"/>
  <c r="C284" i="7" s="1"/>
  <c r="D275" i="7"/>
  <c r="D277" i="7"/>
  <c r="D279" i="7"/>
  <c r="D281" i="7"/>
  <c r="J214" i="7"/>
  <c r="F211" i="7"/>
  <c r="C271" i="7"/>
  <c r="C272" i="7" s="1"/>
  <c r="D264" i="7"/>
  <c r="D266" i="7"/>
  <c r="D268" i="7"/>
  <c r="D263" i="7"/>
  <c r="D265" i="7"/>
  <c r="D267" i="7"/>
  <c r="D269" i="7"/>
  <c r="C32" i="5"/>
  <c r="HU40" i="5"/>
  <c r="C29" i="5"/>
  <c r="C9" i="5"/>
  <c r="C21" i="5"/>
  <c r="J215" i="7"/>
  <c r="G226" i="7"/>
  <c r="J226" i="7" s="1"/>
  <c r="J217" i="7"/>
  <c r="F236" i="7"/>
  <c r="J212" i="7"/>
  <c r="F224" i="7"/>
  <c r="F237" i="7"/>
  <c r="E243" i="7"/>
  <c r="E244" i="7" s="1"/>
  <c r="J239" i="7"/>
  <c r="J237" i="7"/>
  <c r="J240" i="7"/>
  <c r="J236" i="7"/>
  <c r="J238" i="7"/>
  <c r="J235" i="7"/>
  <c r="D243" i="7"/>
  <c r="D244" i="7" s="1"/>
  <c r="F240" i="7"/>
  <c r="J241" i="7"/>
  <c r="J242" i="7"/>
  <c r="C243" i="7"/>
  <c r="F241" i="7"/>
  <c r="F238" i="7"/>
  <c r="F242" i="7"/>
  <c r="F235" i="7"/>
  <c r="F239" i="7"/>
  <c r="J213" i="7"/>
  <c r="J210" i="7"/>
  <c r="J216" i="7"/>
  <c r="F228" i="7"/>
  <c r="G211" i="7"/>
  <c r="J211" i="7" s="1"/>
  <c r="F215" i="7"/>
  <c r="E231" i="7"/>
  <c r="E232" i="7" s="1"/>
  <c r="J227" i="7"/>
  <c r="J230" i="7"/>
  <c r="J229" i="7"/>
  <c r="J223" i="7"/>
  <c r="D231" i="7"/>
  <c r="D232" i="7" s="1"/>
  <c r="J224" i="7"/>
  <c r="J225" i="7"/>
  <c r="J228" i="7"/>
  <c r="C231" i="7"/>
  <c r="F225" i="7"/>
  <c r="F229" i="7"/>
  <c r="F230" i="7"/>
  <c r="F223" i="7"/>
  <c r="F227" i="7"/>
  <c r="F217" i="7"/>
  <c r="F212" i="7"/>
  <c r="F214" i="7"/>
  <c r="F216" i="7"/>
  <c r="F213" i="7"/>
  <c r="D218" i="7"/>
  <c r="D199" i="7"/>
  <c r="C206" i="7"/>
  <c r="C207" i="7" s="1"/>
  <c r="D201" i="7"/>
  <c r="D203" i="7"/>
  <c r="D198" i="7"/>
  <c r="D200" i="7"/>
  <c r="D202" i="7"/>
  <c r="D204" i="7"/>
  <c r="D187" i="7"/>
  <c r="D189" i="7"/>
  <c r="D191" i="7"/>
  <c r="C194" i="7"/>
  <c r="C195" i="7" s="1"/>
  <c r="D159" i="7"/>
  <c r="D160" i="7"/>
  <c r="D162" i="7"/>
  <c r="D164" i="7"/>
  <c r="C167" i="7"/>
  <c r="C168" i="7" s="1"/>
  <c r="D148" i="7"/>
  <c r="D150" i="7"/>
  <c r="D152" i="7"/>
  <c r="C155" i="7"/>
  <c r="C156" i="7" s="1"/>
  <c r="C142" i="7"/>
  <c r="C143" i="7" s="1"/>
  <c r="D134" i="7"/>
  <c r="D398" i="7"/>
  <c r="C181" i="7"/>
  <c r="C182" i="7" s="1"/>
  <c r="D545" i="7"/>
  <c r="D547" i="7"/>
  <c r="D549" i="7"/>
  <c r="C552" i="7"/>
  <c r="C553" i="7" s="1"/>
  <c r="D487" i="7"/>
  <c r="D481" i="7"/>
  <c r="D482" i="7"/>
  <c r="D484" i="7"/>
  <c r="D486" i="7"/>
  <c r="C489" i="7"/>
  <c r="C490" i="7" s="1"/>
  <c r="D396" i="7"/>
  <c r="D397" i="7"/>
  <c r="D399" i="7"/>
  <c r="D401" i="7"/>
  <c r="C404" i="7"/>
  <c r="C405" i="7" s="1"/>
  <c r="K406" i="7" s="1"/>
  <c r="D323" i="7"/>
  <c r="D324" i="7"/>
  <c r="D326" i="7"/>
  <c r="D328" i="7"/>
  <c r="C331" i="7"/>
  <c r="C332" i="7" s="1"/>
  <c r="D250" i="7"/>
  <c r="D251" i="7"/>
  <c r="D253" i="7"/>
  <c r="D255" i="7"/>
  <c r="C258" i="7"/>
  <c r="C259" i="7" s="1"/>
  <c r="K260" i="7" s="1"/>
  <c r="C218" i="7"/>
  <c r="C219" i="7" s="1"/>
  <c r="D174" i="7"/>
  <c r="D176" i="7"/>
  <c r="D178" i="7"/>
  <c r="C33" i="5"/>
  <c r="C23" i="5"/>
  <c r="C18" i="5"/>
  <c r="C19" i="5"/>
  <c r="C30" i="5"/>
  <c r="C16" i="5"/>
  <c r="C26" i="5"/>
  <c r="C12" i="5"/>
  <c r="C28" i="5"/>
  <c r="C5" i="5"/>
  <c r="GN164" i="3"/>
  <c r="GF164" i="3"/>
  <c r="FX164" i="3"/>
  <c r="FP164" i="3"/>
  <c r="HB164" i="3"/>
  <c r="A52" i="7"/>
  <c r="C46" i="7" s="1"/>
  <c r="C27" i="5"/>
  <c r="HJ40" i="5"/>
  <c r="C17" i="5"/>
  <c r="A35" i="7"/>
  <c r="A120" i="7"/>
  <c r="A40" i="7"/>
  <c r="GP40" i="5"/>
  <c r="A39" i="7"/>
  <c r="C31" i="5"/>
  <c r="A38" i="7"/>
  <c r="A37" i="7"/>
  <c r="A31" i="7"/>
  <c r="C29" i="7" s="1"/>
  <c r="A36" i="7"/>
  <c r="A41" i="7"/>
  <c r="C3" i="5"/>
  <c r="C24" i="5"/>
  <c r="GG164" i="3"/>
  <c r="DK268" i="1"/>
  <c r="C22" i="5"/>
  <c r="C13" i="5"/>
  <c r="C7" i="5"/>
  <c r="A121" i="7"/>
  <c r="A122" i="7"/>
  <c r="C15" i="5"/>
  <c r="C25" i="5"/>
  <c r="A117" i="7"/>
  <c r="C6" i="5"/>
  <c r="C10" i="5"/>
  <c r="C14" i="5"/>
  <c r="C20" i="5"/>
  <c r="C4" i="5"/>
  <c r="A77" i="7"/>
  <c r="A82" i="7"/>
  <c r="A80" i="7"/>
  <c r="A79" i="7"/>
  <c r="A78" i="7"/>
  <c r="HS40" i="5"/>
  <c r="HV40" i="5"/>
  <c r="HX40" i="5"/>
  <c r="GU40" i="5"/>
  <c r="C18" i="7"/>
  <c r="AJ40" i="5"/>
  <c r="C59" i="7"/>
  <c r="C17" i="7"/>
  <c r="C66" i="7"/>
  <c r="C65" i="7"/>
  <c r="C64" i="7"/>
  <c r="C63" i="7"/>
  <c r="C62" i="7"/>
  <c r="C61" i="7"/>
  <c r="C60" i="7"/>
  <c r="C19" i="7"/>
  <c r="C20" i="7"/>
  <c r="C21" i="7"/>
  <c r="C22" i="7"/>
  <c r="C23" i="7"/>
  <c r="C24" i="7"/>
  <c r="A67" i="7"/>
  <c r="HT40" i="5"/>
  <c r="AZ40" i="5"/>
  <c r="HR40" i="5"/>
  <c r="GO164" i="3"/>
  <c r="FY164" i="3"/>
  <c r="FQ164" i="3"/>
  <c r="GS164" i="3"/>
  <c r="GK164" i="3"/>
  <c r="GC164" i="3"/>
  <c r="FU164" i="3"/>
  <c r="GP164" i="3"/>
  <c r="GH164" i="3"/>
  <c r="FZ164" i="3"/>
  <c r="FR164" i="3"/>
  <c r="GT164" i="3"/>
  <c r="GL164" i="3"/>
  <c r="GD164" i="3"/>
  <c r="FV164" i="3"/>
  <c r="GQ164" i="3"/>
  <c r="GI164" i="3"/>
  <c r="GA164" i="3"/>
  <c r="FS164" i="3"/>
  <c r="GV164" i="3"/>
  <c r="HA164" i="3"/>
  <c r="GX164" i="3"/>
  <c r="GR164" i="3"/>
  <c r="FT164" i="3"/>
  <c r="GY164" i="3"/>
  <c r="GU164" i="3"/>
  <c r="GM164" i="3"/>
  <c r="GE164" i="3"/>
  <c r="FW164" i="3"/>
  <c r="GJ164" i="3"/>
  <c r="GB164" i="3"/>
  <c r="GW164" i="3"/>
  <c r="GZ164" i="3"/>
  <c r="CR164" i="3"/>
  <c r="AX164" i="3"/>
  <c r="P164" i="3"/>
  <c r="O164" i="3"/>
  <c r="FO164" i="3"/>
  <c r="EO164" i="3"/>
  <c r="DL164" i="3"/>
  <c r="AF164" i="3"/>
  <c r="DB164" i="3"/>
  <c r="AE268" i="1"/>
  <c r="AW268" i="1"/>
  <c r="CQ268" i="1"/>
  <c r="DA268" i="1"/>
  <c r="EN268" i="1"/>
  <c r="FN268" i="1"/>
  <c r="O268" i="1"/>
  <c r="N268" i="1"/>
  <c r="FH42" i="5" l="1"/>
  <c r="EY42" i="5"/>
  <c r="EZ42" i="5"/>
  <c r="FG42" i="5"/>
  <c r="EX42" i="5"/>
  <c r="FF42" i="5"/>
  <c r="EW42" i="5"/>
  <c r="FE42" i="5"/>
  <c r="EU42" i="5"/>
  <c r="FA42" i="5" s="1"/>
  <c r="FB42" i="5"/>
  <c r="FD42" i="5"/>
  <c r="EV42" i="5"/>
  <c r="FC42" i="5"/>
  <c r="K333" i="7"/>
  <c r="D181" i="7"/>
  <c r="D183" i="7" s="1"/>
  <c r="D48" i="8"/>
  <c r="G138" i="7"/>
  <c r="K183" i="7"/>
  <c r="K144" i="7"/>
  <c r="H218" i="7"/>
  <c r="Q220" i="7"/>
  <c r="D258" i="7"/>
  <c r="D260" i="7" s="1"/>
  <c r="D552" i="7"/>
  <c r="D155" i="7"/>
  <c r="D167" i="7"/>
  <c r="D206" i="7"/>
  <c r="D417" i="7"/>
  <c r="D194" i="7"/>
  <c r="D295" i="7"/>
  <c r="D307" i="7"/>
  <c r="D331" i="7"/>
  <c r="D271" i="7"/>
  <c r="D319" i="7"/>
  <c r="D344" i="7"/>
  <c r="D356" i="7"/>
  <c r="D368" i="7"/>
  <c r="J493" i="7"/>
  <c r="D489" i="7"/>
  <c r="D142" i="7"/>
  <c r="D283" i="7"/>
  <c r="D429" i="7"/>
  <c r="D441" i="7"/>
  <c r="D453" i="7"/>
  <c r="D465" i="7"/>
  <c r="D477" i="7"/>
  <c r="D564" i="7"/>
  <c r="D576" i="7"/>
  <c r="D577" i="7" s="1"/>
  <c r="D588" i="7"/>
  <c r="D600" i="7"/>
  <c r="D601" i="7" s="1"/>
  <c r="D612" i="7"/>
  <c r="D404" i="7"/>
  <c r="D406" i="7" s="1"/>
  <c r="D380" i="7"/>
  <c r="D392" i="7"/>
  <c r="D538" i="7"/>
  <c r="D540" i="7" s="1"/>
  <c r="J518" i="7"/>
  <c r="F526" i="7"/>
  <c r="C527" i="7"/>
  <c r="F514" i="7"/>
  <c r="C515" i="7"/>
  <c r="F501" i="7"/>
  <c r="C502" i="7"/>
  <c r="F243" i="7"/>
  <c r="C244" i="7"/>
  <c r="I218" i="7"/>
  <c r="G218" i="7"/>
  <c r="F231" i="7"/>
  <c r="C232" i="7"/>
  <c r="E218" i="7"/>
  <c r="E219" i="7" s="1"/>
  <c r="D219" i="7"/>
  <c r="F210" i="7"/>
  <c r="C47" i="7"/>
  <c r="C48" i="7"/>
  <c r="C49" i="7"/>
  <c r="C50" i="7"/>
  <c r="C51" i="7"/>
  <c r="A42" i="7"/>
  <c r="C41" i="7" s="1"/>
  <c r="C30" i="7"/>
  <c r="A123" i="7"/>
  <c r="C120" i="7" s="1"/>
  <c r="A84" i="7"/>
  <c r="C25" i="7"/>
  <c r="FI42" i="5" l="1"/>
  <c r="D144" i="7"/>
  <c r="D333" i="7"/>
  <c r="Q503" i="7"/>
  <c r="D47" i="8"/>
  <c r="G137" i="7"/>
  <c r="D539" i="7"/>
  <c r="E531" i="7"/>
  <c r="F531" i="7" s="1"/>
  <c r="E532" i="7"/>
  <c r="F532" i="7" s="1"/>
  <c r="E533" i="7"/>
  <c r="F533" i="7" s="1"/>
  <c r="E534" i="7"/>
  <c r="F534" i="7" s="1"/>
  <c r="E535" i="7"/>
  <c r="F535" i="7" s="1"/>
  <c r="E536" i="7"/>
  <c r="F536" i="7" s="1"/>
  <c r="E530" i="7"/>
  <c r="F530" i="7" s="1"/>
  <c r="E586" i="7"/>
  <c r="F586" i="7" s="1"/>
  <c r="E584" i="7"/>
  <c r="F584" i="7" s="1"/>
  <c r="E585" i="7"/>
  <c r="F585" i="7" s="1"/>
  <c r="E583" i="7"/>
  <c r="F583" i="7" s="1"/>
  <c r="E582" i="7"/>
  <c r="F582" i="7" s="1"/>
  <c r="E581" i="7"/>
  <c r="F581" i="7" s="1"/>
  <c r="E580" i="7"/>
  <c r="F580" i="7" s="1"/>
  <c r="E573" i="7"/>
  <c r="F573" i="7" s="1"/>
  <c r="E570" i="7"/>
  <c r="F570" i="7" s="1"/>
  <c r="E568" i="7"/>
  <c r="F568" i="7" s="1"/>
  <c r="E571" i="7"/>
  <c r="F571" i="7" s="1"/>
  <c r="E572" i="7"/>
  <c r="F572" i="7" s="1"/>
  <c r="E569" i="7"/>
  <c r="F569" i="7" s="1"/>
  <c r="E574" i="7"/>
  <c r="F574" i="7" s="1"/>
  <c r="E608" i="7"/>
  <c r="F608" i="7" s="1"/>
  <c r="E607" i="7"/>
  <c r="F607" i="7" s="1"/>
  <c r="E610" i="7"/>
  <c r="F610" i="7" s="1"/>
  <c r="E609" i="7"/>
  <c r="F609" i="7" s="1"/>
  <c r="E606" i="7"/>
  <c r="F606" i="7" s="1"/>
  <c r="E605" i="7"/>
  <c r="F605" i="7" s="1"/>
  <c r="E604" i="7"/>
  <c r="F604" i="7" s="1"/>
  <c r="D589" i="7"/>
  <c r="E556" i="7"/>
  <c r="F556" i="7" s="1"/>
  <c r="E561" i="7"/>
  <c r="F561" i="7" s="1"/>
  <c r="E562" i="7"/>
  <c r="F562" i="7" s="1"/>
  <c r="E560" i="7"/>
  <c r="F560" i="7" s="1"/>
  <c r="E559" i="7"/>
  <c r="F559" i="7" s="1"/>
  <c r="E558" i="7"/>
  <c r="F558" i="7" s="1"/>
  <c r="E557" i="7"/>
  <c r="F557" i="7" s="1"/>
  <c r="D565" i="7"/>
  <c r="D613" i="7"/>
  <c r="E595" i="7"/>
  <c r="F595" i="7" s="1"/>
  <c r="E593" i="7"/>
  <c r="F593" i="7" s="1"/>
  <c r="E594" i="7"/>
  <c r="F594" i="7" s="1"/>
  <c r="E598" i="7"/>
  <c r="F598" i="7" s="1"/>
  <c r="E597" i="7"/>
  <c r="F597" i="7" s="1"/>
  <c r="E592" i="7"/>
  <c r="F592" i="7" s="1"/>
  <c r="E596" i="7"/>
  <c r="F596" i="7" s="1"/>
  <c r="I526" i="7"/>
  <c r="H526" i="7"/>
  <c r="F527" i="7"/>
  <c r="J526" i="7" s="1"/>
  <c r="G526" i="7"/>
  <c r="G527" i="7" s="1"/>
  <c r="I514" i="7"/>
  <c r="H514" i="7"/>
  <c r="F515" i="7"/>
  <c r="J514" i="7" s="1"/>
  <c r="G514" i="7"/>
  <c r="G515" i="7" s="1"/>
  <c r="I501" i="7"/>
  <c r="H501" i="7"/>
  <c r="F502" i="7"/>
  <c r="J501" i="7" s="1"/>
  <c r="G501" i="7"/>
  <c r="G502" i="7" s="1"/>
  <c r="D478" i="7"/>
  <c r="E470" i="7"/>
  <c r="F470" i="7" s="1"/>
  <c r="E471" i="7"/>
  <c r="F471" i="7" s="1"/>
  <c r="E472" i="7"/>
  <c r="F472" i="7" s="1"/>
  <c r="E473" i="7"/>
  <c r="F473" i="7" s="1"/>
  <c r="E474" i="7"/>
  <c r="F474" i="7" s="1"/>
  <c r="E475" i="7"/>
  <c r="F475" i="7" s="1"/>
  <c r="E469" i="7"/>
  <c r="F469" i="7" s="1"/>
  <c r="D466" i="7"/>
  <c r="E458" i="7"/>
  <c r="F458" i="7" s="1"/>
  <c r="E459" i="7"/>
  <c r="F459" i="7" s="1"/>
  <c r="E460" i="7"/>
  <c r="F460" i="7" s="1"/>
  <c r="E461" i="7"/>
  <c r="F461" i="7" s="1"/>
  <c r="E462" i="7"/>
  <c r="F462" i="7" s="1"/>
  <c r="E463" i="7"/>
  <c r="F463" i="7" s="1"/>
  <c r="E457" i="7"/>
  <c r="F457" i="7" s="1"/>
  <c r="D454" i="7"/>
  <c r="E447" i="7"/>
  <c r="F447" i="7" s="1"/>
  <c r="E448" i="7"/>
  <c r="F448" i="7" s="1"/>
  <c r="E449" i="7"/>
  <c r="F449" i="7" s="1"/>
  <c r="E450" i="7"/>
  <c r="F450" i="7" s="1"/>
  <c r="E451" i="7"/>
  <c r="F451" i="7" s="1"/>
  <c r="E445" i="7"/>
  <c r="F445" i="7" s="1"/>
  <c r="E446" i="7"/>
  <c r="F446" i="7" s="1"/>
  <c r="D442" i="7"/>
  <c r="E434" i="7"/>
  <c r="F434" i="7" s="1"/>
  <c r="E435" i="7"/>
  <c r="F435" i="7" s="1"/>
  <c r="E436" i="7"/>
  <c r="F436" i="7" s="1"/>
  <c r="E437" i="7"/>
  <c r="F437" i="7" s="1"/>
  <c r="E438" i="7"/>
  <c r="F438" i="7" s="1"/>
  <c r="E439" i="7"/>
  <c r="F439" i="7" s="1"/>
  <c r="E433" i="7"/>
  <c r="F433" i="7" s="1"/>
  <c r="D430" i="7"/>
  <c r="E422" i="7"/>
  <c r="F422" i="7" s="1"/>
  <c r="E421" i="7"/>
  <c r="F421" i="7" s="1"/>
  <c r="E423" i="7"/>
  <c r="F423" i="7" s="1"/>
  <c r="E424" i="7"/>
  <c r="F424" i="7" s="1"/>
  <c r="E425" i="7"/>
  <c r="F425" i="7" s="1"/>
  <c r="E426" i="7"/>
  <c r="F426" i="7" s="1"/>
  <c r="E427" i="7"/>
  <c r="F427" i="7" s="1"/>
  <c r="D418" i="7"/>
  <c r="E410" i="7"/>
  <c r="F410" i="7" s="1"/>
  <c r="E411" i="7"/>
  <c r="F411" i="7" s="1"/>
  <c r="E412" i="7"/>
  <c r="F412" i="7" s="1"/>
  <c r="E413" i="7"/>
  <c r="F413" i="7" s="1"/>
  <c r="E414" i="7"/>
  <c r="F414" i="7" s="1"/>
  <c r="E415" i="7"/>
  <c r="F415" i="7" s="1"/>
  <c r="E409" i="7"/>
  <c r="F409" i="7" s="1"/>
  <c r="D393" i="7"/>
  <c r="E385" i="7"/>
  <c r="F385" i="7" s="1"/>
  <c r="E386" i="7"/>
  <c r="F386" i="7" s="1"/>
  <c r="E387" i="7"/>
  <c r="F387" i="7" s="1"/>
  <c r="E388" i="7"/>
  <c r="F388" i="7" s="1"/>
  <c r="E389" i="7"/>
  <c r="F389" i="7" s="1"/>
  <c r="E390" i="7"/>
  <c r="F390" i="7" s="1"/>
  <c r="E384" i="7"/>
  <c r="F384" i="7" s="1"/>
  <c r="D381" i="7"/>
  <c r="E373" i="7"/>
  <c r="F373" i="7" s="1"/>
  <c r="E374" i="7"/>
  <c r="F374" i="7" s="1"/>
  <c r="E375" i="7"/>
  <c r="F375" i="7" s="1"/>
  <c r="E376" i="7"/>
  <c r="F376" i="7" s="1"/>
  <c r="E377" i="7"/>
  <c r="F377" i="7" s="1"/>
  <c r="E378" i="7"/>
  <c r="F378" i="7" s="1"/>
  <c r="E372" i="7"/>
  <c r="F372" i="7" s="1"/>
  <c r="D369" i="7"/>
  <c r="E361" i="7"/>
  <c r="F361" i="7" s="1"/>
  <c r="E362" i="7"/>
  <c r="F362" i="7" s="1"/>
  <c r="E363" i="7"/>
  <c r="F363" i="7" s="1"/>
  <c r="E364" i="7"/>
  <c r="F364" i="7" s="1"/>
  <c r="E365" i="7"/>
  <c r="F365" i="7" s="1"/>
  <c r="E366" i="7"/>
  <c r="F366" i="7" s="1"/>
  <c r="E360" i="7"/>
  <c r="F360" i="7" s="1"/>
  <c r="D345" i="7"/>
  <c r="E338" i="7"/>
  <c r="F338" i="7" s="1"/>
  <c r="E339" i="7"/>
  <c r="F339" i="7" s="1"/>
  <c r="E340" i="7"/>
  <c r="F340" i="7" s="1"/>
  <c r="E341" i="7"/>
  <c r="F341" i="7" s="1"/>
  <c r="E342" i="7"/>
  <c r="F342" i="7" s="1"/>
  <c r="E336" i="7"/>
  <c r="F336" i="7" s="1"/>
  <c r="E337" i="7"/>
  <c r="F337" i="7" s="1"/>
  <c r="D357" i="7"/>
  <c r="E349" i="7"/>
  <c r="F349" i="7" s="1"/>
  <c r="E350" i="7"/>
  <c r="F350" i="7" s="1"/>
  <c r="E351" i="7"/>
  <c r="F351" i="7" s="1"/>
  <c r="E352" i="7"/>
  <c r="F352" i="7" s="1"/>
  <c r="E353" i="7"/>
  <c r="F353" i="7" s="1"/>
  <c r="E354" i="7"/>
  <c r="F354" i="7" s="1"/>
  <c r="E348" i="7"/>
  <c r="F348" i="7" s="1"/>
  <c r="D320" i="7"/>
  <c r="E312" i="7"/>
  <c r="F312" i="7" s="1"/>
  <c r="E313" i="7"/>
  <c r="F313" i="7" s="1"/>
  <c r="E314" i="7"/>
  <c r="F314" i="7" s="1"/>
  <c r="E315" i="7"/>
  <c r="F315" i="7" s="1"/>
  <c r="E316" i="7"/>
  <c r="F316" i="7" s="1"/>
  <c r="E317" i="7"/>
  <c r="F317" i="7" s="1"/>
  <c r="E311" i="7"/>
  <c r="F311" i="7" s="1"/>
  <c r="D308" i="7"/>
  <c r="E300" i="7"/>
  <c r="F300" i="7" s="1"/>
  <c r="E301" i="7"/>
  <c r="F301" i="7" s="1"/>
  <c r="E302" i="7"/>
  <c r="F302" i="7" s="1"/>
  <c r="E303" i="7"/>
  <c r="F303" i="7" s="1"/>
  <c r="E304" i="7"/>
  <c r="F304" i="7" s="1"/>
  <c r="E299" i="7"/>
  <c r="F299" i="7" s="1"/>
  <c r="E305" i="7"/>
  <c r="F305" i="7" s="1"/>
  <c r="D296" i="7"/>
  <c r="E288" i="7"/>
  <c r="F288" i="7" s="1"/>
  <c r="E289" i="7"/>
  <c r="F289" i="7" s="1"/>
  <c r="E290" i="7"/>
  <c r="F290" i="7" s="1"/>
  <c r="E291" i="7"/>
  <c r="F291" i="7" s="1"/>
  <c r="E292" i="7"/>
  <c r="F292" i="7" s="1"/>
  <c r="E293" i="7"/>
  <c r="F293" i="7" s="1"/>
  <c r="E287" i="7"/>
  <c r="F287" i="7" s="1"/>
  <c r="D284" i="7"/>
  <c r="E276" i="7"/>
  <c r="F276" i="7" s="1"/>
  <c r="E277" i="7"/>
  <c r="F277" i="7" s="1"/>
  <c r="E278" i="7"/>
  <c r="F278" i="7" s="1"/>
  <c r="E279" i="7"/>
  <c r="F279" i="7" s="1"/>
  <c r="E280" i="7"/>
  <c r="F280" i="7" s="1"/>
  <c r="E281" i="7"/>
  <c r="F281" i="7" s="1"/>
  <c r="E275" i="7"/>
  <c r="F275" i="7" s="1"/>
  <c r="D272" i="7"/>
  <c r="E263" i="7"/>
  <c r="F263" i="7" s="1"/>
  <c r="E264" i="7"/>
  <c r="F264" i="7" s="1"/>
  <c r="E265" i="7"/>
  <c r="F265" i="7" s="1"/>
  <c r="E266" i="7"/>
  <c r="F266" i="7" s="1"/>
  <c r="E267" i="7"/>
  <c r="F267" i="7" s="1"/>
  <c r="E268" i="7"/>
  <c r="F268" i="7" s="1"/>
  <c r="E269" i="7"/>
  <c r="F269" i="7" s="1"/>
  <c r="I243" i="7"/>
  <c r="H243" i="7"/>
  <c r="F244" i="7"/>
  <c r="J243" i="7" s="1"/>
  <c r="G243" i="7"/>
  <c r="G244" i="7" s="1"/>
  <c r="I231" i="7"/>
  <c r="H231" i="7"/>
  <c r="F232" i="7"/>
  <c r="J231" i="7" s="1"/>
  <c r="G231" i="7"/>
  <c r="G232" i="7" s="1"/>
  <c r="F219" i="7"/>
  <c r="J218" i="7" s="1"/>
  <c r="F218" i="7"/>
  <c r="D207" i="7"/>
  <c r="E204" i="7"/>
  <c r="F204" i="7" s="1"/>
  <c r="E203" i="7"/>
  <c r="F203" i="7" s="1"/>
  <c r="E202" i="7"/>
  <c r="F202" i="7" s="1"/>
  <c r="E201" i="7"/>
  <c r="F201" i="7" s="1"/>
  <c r="E200" i="7"/>
  <c r="F200" i="7" s="1"/>
  <c r="E199" i="7"/>
  <c r="F199" i="7" s="1"/>
  <c r="E198" i="7"/>
  <c r="F198" i="7" s="1"/>
  <c r="E487" i="7"/>
  <c r="F487" i="7" s="1"/>
  <c r="E481" i="7"/>
  <c r="F481" i="7" s="1"/>
  <c r="E482" i="7"/>
  <c r="F482" i="7" s="1"/>
  <c r="E483" i="7"/>
  <c r="F483" i="7" s="1"/>
  <c r="E486" i="7"/>
  <c r="F486" i="7" s="1"/>
  <c r="E484" i="7"/>
  <c r="F484" i="7" s="1"/>
  <c r="E485" i="7"/>
  <c r="F485" i="7" s="1"/>
  <c r="E397" i="7"/>
  <c r="F397" i="7" s="1"/>
  <c r="E398" i="7"/>
  <c r="F398" i="7" s="1"/>
  <c r="E399" i="7"/>
  <c r="F399" i="7" s="1"/>
  <c r="E400" i="7"/>
  <c r="F400" i="7" s="1"/>
  <c r="E401" i="7"/>
  <c r="F401" i="7" s="1"/>
  <c r="E402" i="7"/>
  <c r="F402" i="7" s="1"/>
  <c r="E396" i="7"/>
  <c r="F396" i="7" s="1"/>
  <c r="E545" i="7"/>
  <c r="F545" i="7" s="1"/>
  <c r="E546" i="7"/>
  <c r="F546" i="7" s="1"/>
  <c r="E547" i="7"/>
  <c r="F547" i="7" s="1"/>
  <c r="E548" i="7"/>
  <c r="F548" i="7" s="1"/>
  <c r="E549" i="7"/>
  <c r="F549" i="7" s="1"/>
  <c r="E544" i="7"/>
  <c r="F544" i="7" s="1"/>
  <c r="E550" i="7"/>
  <c r="F550" i="7" s="1"/>
  <c r="D182" i="7"/>
  <c r="E178" i="7"/>
  <c r="F178" i="7" s="1"/>
  <c r="E179" i="7"/>
  <c r="F179" i="7" s="1"/>
  <c r="E173" i="7"/>
  <c r="F173" i="7" s="1"/>
  <c r="E174" i="7"/>
  <c r="F174" i="7" s="1"/>
  <c r="E177" i="7"/>
  <c r="F177" i="7" s="1"/>
  <c r="E175" i="7"/>
  <c r="F175" i="7" s="1"/>
  <c r="E176" i="7"/>
  <c r="F176" i="7" s="1"/>
  <c r="E137" i="7"/>
  <c r="F137" i="7" s="1"/>
  <c r="E138" i="7"/>
  <c r="F138" i="7" s="1"/>
  <c r="E139" i="7"/>
  <c r="F139" i="7" s="1"/>
  <c r="E140" i="7"/>
  <c r="F140" i="7" s="1"/>
  <c r="E134" i="7"/>
  <c r="F134" i="7" s="1"/>
  <c r="E136" i="7"/>
  <c r="F136" i="7" s="1"/>
  <c r="E135" i="7"/>
  <c r="F135" i="7" s="1"/>
  <c r="E149" i="7"/>
  <c r="F149" i="7" s="1"/>
  <c r="E150" i="7"/>
  <c r="F150" i="7" s="1"/>
  <c r="E151" i="7"/>
  <c r="F151" i="7" s="1"/>
  <c r="E152" i="7"/>
  <c r="F152" i="7" s="1"/>
  <c r="E153" i="7"/>
  <c r="F153" i="7" s="1"/>
  <c r="E148" i="7"/>
  <c r="F148" i="7" s="1"/>
  <c r="E147" i="7"/>
  <c r="F147" i="7" s="1"/>
  <c r="E250" i="7"/>
  <c r="F250" i="7" s="1"/>
  <c r="E251" i="7"/>
  <c r="F251" i="7" s="1"/>
  <c r="E252" i="7"/>
  <c r="F252" i="7" s="1"/>
  <c r="E253" i="7"/>
  <c r="F253" i="7" s="1"/>
  <c r="E256" i="7"/>
  <c r="F256" i="7" s="1"/>
  <c r="E254" i="7"/>
  <c r="F254" i="7" s="1"/>
  <c r="E255" i="7"/>
  <c r="F255" i="7" s="1"/>
  <c r="E160" i="7"/>
  <c r="F160" i="7" s="1"/>
  <c r="E161" i="7"/>
  <c r="F161" i="7" s="1"/>
  <c r="E162" i="7"/>
  <c r="F162" i="7" s="1"/>
  <c r="E163" i="7"/>
  <c r="F163" i="7" s="1"/>
  <c r="E159" i="7"/>
  <c r="F159" i="7" s="1"/>
  <c r="E164" i="7"/>
  <c r="F164" i="7" s="1"/>
  <c r="E165" i="7"/>
  <c r="F165" i="7" s="1"/>
  <c r="E327" i="7"/>
  <c r="F327" i="7" s="1"/>
  <c r="E328" i="7"/>
  <c r="F328" i="7" s="1"/>
  <c r="E329" i="7"/>
  <c r="F329" i="7" s="1"/>
  <c r="E323" i="7"/>
  <c r="F323" i="7" s="1"/>
  <c r="E326" i="7"/>
  <c r="F326" i="7" s="1"/>
  <c r="E324" i="7"/>
  <c r="F324" i="7" s="1"/>
  <c r="E325" i="7"/>
  <c r="F325" i="7" s="1"/>
  <c r="D195" i="7"/>
  <c r="E192" i="7"/>
  <c r="F192" i="7" s="1"/>
  <c r="E186" i="7"/>
  <c r="F186" i="7" s="1"/>
  <c r="E187" i="7"/>
  <c r="F187" i="7" s="1"/>
  <c r="E188" i="7"/>
  <c r="F188" i="7" s="1"/>
  <c r="E189" i="7"/>
  <c r="F189" i="7" s="1"/>
  <c r="E191" i="7"/>
  <c r="F191" i="7" s="1"/>
  <c r="E190" i="7"/>
  <c r="F190" i="7" s="1"/>
  <c r="D168" i="7"/>
  <c r="D156" i="7"/>
  <c r="D143" i="7"/>
  <c r="D332" i="7"/>
  <c r="D490" i="7"/>
  <c r="D405" i="7"/>
  <c r="D553" i="7"/>
  <c r="G219" i="7"/>
  <c r="D259" i="7"/>
  <c r="C35" i="7"/>
  <c r="C40" i="7"/>
  <c r="C39" i="7"/>
  <c r="C38" i="7"/>
  <c r="C37" i="7"/>
  <c r="C36" i="7"/>
  <c r="C83" i="7"/>
  <c r="C122" i="7"/>
  <c r="C121" i="7"/>
  <c r="C79" i="7"/>
  <c r="C80" i="7"/>
  <c r="C78" i="7"/>
  <c r="C77" i="7"/>
  <c r="C82" i="7"/>
  <c r="C81" i="7"/>
  <c r="F181" i="7" l="1"/>
  <c r="F182" i="7" s="1"/>
  <c r="J219" i="7"/>
  <c r="J502" i="7"/>
  <c r="D46" i="8"/>
  <c r="G136" i="7"/>
  <c r="F538" i="7"/>
  <c r="F539" i="7" s="1"/>
  <c r="F600" i="7"/>
  <c r="F601" i="7" s="1"/>
  <c r="F564" i="7"/>
  <c r="F565" i="7" s="1"/>
  <c r="F588" i="7"/>
  <c r="F589" i="7" s="1"/>
  <c r="F612" i="7"/>
  <c r="F613" i="7" s="1"/>
  <c r="F576" i="7"/>
  <c r="F577" i="7" s="1"/>
  <c r="F477" i="7"/>
  <c r="F478" i="7" s="1"/>
  <c r="F453" i="7"/>
  <c r="F454" i="7" s="1"/>
  <c r="F465" i="7"/>
  <c r="F466" i="7" s="1"/>
  <c r="F429" i="7"/>
  <c r="F430" i="7" s="1"/>
  <c r="F441" i="7"/>
  <c r="F442" i="7" s="1"/>
  <c r="F380" i="7"/>
  <c r="F381" i="7" s="1"/>
  <c r="F417" i="7"/>
  <c r="F418" i="7" s="1"/>
  <c r="F392" i="7"/>
  <c r="F393" i="7" s="1"/>
  <c r="F368" i="7"/>
  <c r="F369" i="7" s="1"/>
  <c r="F344" i="7"/>
  <c r="F345" i="7" s="1"/>
  <c r="F356" i="7"/>
  <c r="F357" i="7" s="1"/>
  <c r="F283" i="7"/>
  <c r="F284" i="7" s="1"/>
  <c r="F295" i="7"/>
  <c r="F296" i="7" s="1"/>
  <c r="F319" i="7"/>
  <c r="F320" i="7" s="1"/>
  <c r="F307" i="7"/>
  <c r="F308" i="7" s="1"/>
  <c r="F271" i="7"/>
  <c r="F272" i="7" s="1"/>
  <c r="K211" i="7"/>
  <c r="L211" i="7" s="1"/>
  <c r="K210" i="7"/>
  <c r="L210" i="7" s="1"/>
  <c r="K212" i="7"/>
  <c r="L212" i="7" s="1"/>
  <c r="K213" i="7"/>
  <c r="L213" i="7" s="1"/>
  <c r="K214" i="7"/>
  <c r="L214" i="7" s="1"/>
  <c r="K215" i="7"/>
  <c r="L215" i="7" s="1"/>
  <c r="K216" i="7"/>
  <c r="L216" i="7" s="1"/>
  <c r="F155" i="7"/>
  <c r="F156" i="7" s="1"/>
  <c r="F489" i="7"/>
  <c r="F490" i="7" s="1"/>
  <c r="F206" i="7"/>
  <c r="F207" i="7" s="1"/>
  <c r="F142" i="7"/>
  <c r="F143" i="7" s="1"/>
  <c r="F167" i="7"/>
  <c r="F168" i="7" s="1"/>
  <c r="F404" i="7"/>
  <c r="F405" i="7" s="1"/>
  <c r="F331" i="7"/>
  <c r="F332" i="7" s="1"/>
  <c r="F552" i="7"/>
  <c r="F553" i="7" s="1"/>
  <c r="F258" i="7"/>
  <c r="F259" i="7" s="1"/>
  <c r="F194" i="7"/>
  <c r="F195" i="7" s="1"/>
  <c r="H324" i="7" l="1"/>
  <c r="I324" i="7" s="1"/>
  <c r="H325" i="7"/>
  <c r="I325" i="7" s="1"/>
  <c r="H326" i="7"/>
  <c r="I326" i="7" s="1"/>
  <c r="H327" i="7"/>
  <c r="I327" i="7" s="1"/>
  <c r="H328" i="7"/>
  <c r="I328" i="7" s="1"/>
  <c r="H329" i="7"/>
  <c r="I329" i="7" s="1"/>
  <c r="J329" i="7" s="1"/>
  <c r="K329" i="7" s="1"/>
  <c r="L329" i="7" s="1"/>
  <c r="M329" i="7" s="1"/>
  <c r="N329" i="7" s="1"/>
  <c r="H323" i="7"/>
  <c r="I323" i="7" s="1"/>
  <c r="H138" i="7"/>
  <c r="I138" i="7" s="1"/>
  <c r="H140" i="7"/>
  <c r="I140" i="7" s="1"/>
  <c r="J140" i="7" s="1"/>
  <c r="K140" i="7" s="1"/>
  <c r="L140" i="7" s="1"/>
  <c r="M140" i="7" s="1"/>
  <c r="N140" i="7" s="1"/>
  <c r="H139" i="7"/>
  <c r="I139" i="7" s="1"/>
  <c r="H136" i="7"/>
  <c r="I136" i="7" s="1"/>
  <c r="H137" i="7"/>
  <c r="I137" i="7" s="1"/>
  <c r="H174" i="7"/>
  <c r="I174" i="7" s="1"/>
  <c r="H175" i="7"/>
  <c r="I175" i="7" s="1"/>
  <c r="H176" i="7"/>
  <c r="I176" i="7" s="1"/>
  <c r="H177" i="7"/>
  <c r="I177" i="7" s="1"/>
  <c r="H178" i="7"/>
  <c r="I178" i="7" s="1"/>
  <c r="H179" i="7"/>
  <c r="I179" i="7" s="1"/>
  <c r="J179" i="7" s="1"/>
  <c r="K179" i="7" s="1"/>
  <c r="L179" i="7" s="1"/>
  <c r="M179" i="7" s="1"/>
  <c r="N179" i="7" s="1"/>
  <c r="H173" i="7"/>
  <c r="I173" i="7" s="1"/>
  <c r="D45" i="8"/>
  <c r="G135" i="7"/>
  <c r="H135" i="7" s="1"/>
  <c r="I135" i="7" s="1"/>
  <c r="G540" i="7"/>
  <c r="E540" i="7"/>
  <c r="E406" i="7"/>
  <c r="G406" i="7"/>
  <c r="E333" i="7"/>
  <c r="G333" i="7"/>
  <c r="G260" i="7"/>
  <c r="E260" i="7"/>
  <c r="G183" i="7"/>
  <c r="E183" i="7"/>
  <c r="G144" i="7"/>
  <c r="E144" i="7"/>
  <c r="K519" i="7"/>
  <c r="L519" i="7" s="1"/>
  <c r="K520" i="7"/>
  <c r="L520" i="7" s="1"/>
  <c r="K521" i="7"/>
  <c r="L521" i="7" s="1"/>
  <c r="K522" i="7"/>
  <c r="L522" i="7" s="1"/>
  <c r="K523" i="7"/>
  <c r="L523" i="7" s="1"/>
  <c r="K524" i="7"/>
  <c r="L524" i="7" s="1"/>
  <c r="K518" i="7"/>
  <c r="L518" i="7" s="1"/>
  <c r="K507" i="7"/>
  <c r="L507" i="7" s="1"/>
  <c r="K508" i="7"/>
  <c r="L508" i="7" s="1"/>
  <c r="K509" i="7"/>
  <c r="L509" i="7" s="1"/>
  <c r="K510" i="7"/>
  <c r="L510" i="7" s="1"/>
  <c r="K511" i="7"/>
  <c r="L511" i="7" s="1"/>
  <c r="K512" i="7"/>
  <c r="L512" i="7" s="1"/>
  <c r="K506" i="7"/>
  <c r="L506" i="7" s="1"/>
  <c r="K494" i="7"/>
  <c r="L494" i="7" s="1"/>
  <c r="K495" i="7"/>
  <c r="L495" i="7" s="1"/>
  <c r="K496" i="7"/>
  <c r="L496" i="7" s="1"/>
  <c r="K497" i="7"/>
  <c r="L497" i="7" s="1"/>
  <c r="K498" i="7"/>
  <c r="L498" i="7" s="1"/>
  <c r="K499" i="7"/>
  <c r="L499" i="7" s="1"/>
  <c r="K493" i="7"/>
  <c r="L493" i="7" s="1"/>
  <c r="K236" i="7"/>
  <c r="L236" i="7" s="1"/>
  <c r="K237" i="7"/>
  <c r="L237" i="7" s="1"/>
  <c r="K238" i="7"/>
  <c r="L238" i="7" s="1"/>
  <c r="K239" i="7"/>
  <c r="L239" i="7" s="1"/>
  <c r="K240" i="7"/>
  <c r="L240" i="7" s="1"/>
  <c r="K241" i="7"/>
  <c r="L241" i="7" s="1"/>
  <c r="K235" i="7"/>
  <c r="L235" i="7" s="1"/>
  <c r="L218" i="7"/>
  <c r="L219" i="7" s="1"/>
  <c r="K223" i="7"/>
  <c r="L223" i="7" s="1"/>
  <c r="K224" i="7"/>
  <c r="L224" i="7" s="1"/>
  <c r="K225" i="7"/>
  <c r="L225" i="7" s="1"/>
  <c r="K226" i="7"/>
  <c r="L226" i="7" s="1"/>
  <c r="K227" i="7"/>
  <c r="L227" i="7" s="1"/>
  <c r="K228" i="7"/>
  <c r="L228" i="7" s="1"/>
  <c r="K229" i="7"/>
  <c r="L229" i="7" s="1"/>
  <c r="G184" i="7" l="1"/>
  <c r="G334" i="7"/>
  <c r="J326" i="7"/>
  <c r="K326" i="7" s="1"/>
  <c r="L326" i="7" s="1"/>
  <c r="M326" i="7" s="1"/>
  <c r="N326" i="7" s="1"/>
  <c r="J328" i="7"/>
  <c r="K328" i="7" s="1"/>
  <c r="L328" i="7" s="1"/>
  <c r="M328" i="7" s="1"/>
  <c r="N328" i="7" s="1"/>
  <c r="G145" i="7"/>
  <c r="J324" i="7"/>
  <c r="K324" i="7" s="1"/>
  <c r="L324" i="7" s="1"/>
  <c r="M324" i="7" s="1"/>
  <c r="N324" i="7" s="1"/>
  <c r="J323" i="7"/>
  <c r="G407" i="7"/>
  <c r="J327" i="7"/>
  <c r="K327" i="7" s="1"/>
  <c r="L327" i="7" s="1"/>
  <c r="M327" i="7" s="1"/>
  <c r="N327" i="7" s="1"/>
  <c r="J325" i="7"/>
  <c r="K325" i="7" s="1"/>
  <c r="L325" i="7" s="1"/>
  <c r="M325" i="7" s="1"/>
  <c r="N325" i="7" s="1"/>
  <c r="N213" i="7"/>
  <c r="O213" i="7" s="1"/>
  <c r="N214" i="7"/>
  <c r="O214" i="7" s="1"/>
  <c r="N215" i="7"/>
  <c r="O215" i="7" s="1"/>
  <c r="N211" i="7"/>
  <c r="O211" i="7" s="1"/>
  <c r="N212" i="7"/>
  <c r="O212" i="7" s="1"/>
  <c r="N216" i="7"/>
  <c r="O216" i="7" s="1"/>
  <c r="P216" i="7" s="1"/>
  <c r="Q216" i="7" s="1"/>
  <c r="R216" i="7" s="1"/>
  <c r="S216" i="7" s="1"/>
  <c r="T216" i="7" s="1"/>
  <c r="N210" i="7"/>
  <c r="O210" i="7" s="1"/>
  <c r="G261" i="7"/>
  <c r="J175" i="7"/>
  <c r="K175" i="7" s="1"/>
  <c r="L175" i="7" s="1"/>
  <c r="M175" i="7" s="1"/>
  <c r="N175" i="7" s="1"/>
  <c r="J177" i="7"/>
  <c r="K177" i="7" s="1"/>
  <c r="L177" i="7" s="1"/>
  <c r="M177" i="7" s="1"/>
  <c r="N177" i="7" s="1"/>
  <c r="J174" i="7"/>
  <c r="K174" i="7" s="1"/>
  <c r="L174" i="7" s="1"/>
  <c r="M174" i="7" s="1"/>
  <c r="N174" i="7" s="1"/>
  <c r="J178" i="7"/>
  <c r="K178" i="7" s="1"/>
  <c r="L178" i="7" s="1"/>
  <c r="M178" i="7" s="1"/>
  <c r="N178" i="7" s="1"/>
  <c r="J173" i="7"/>
  <c r="K173" i="7" s="1"/>
  <c r="L173" i="7" s="1"/>
  <c r="M173" i="7" s="1"/>
  <c r="N173" i="7" s="1"/>
  <c r="J176" i="7"/>
  <c r="K176" i="7" s="1"/>
  <c r="L176" i="7" s="1"/>
  <c r="M176" i="7" s="1"/>
  <c r="N176" i="7" s="1"/>
  <c r="H134" i="7"/>
  <c r="I134" i="7" s="1"/>
  <c r="J134" i="7" s="1"/>
  <c r="K134" i="7" s="1"/>
  <c r="J135" i="7"/>
  <c r="K135" i="7" s="1"/>
  <c r="L135" i="7" s="1"/>
  <c r="M135" i="7" s="1"/>
  <c r="N135" i="7" s="1"/>
  <c r="J137" i="7"/>
  <c r="K137" i="7" s="1"/>
  <c r="L137" i="7" s="1"/>
  <c r="M137" i="7" s="1"/>
  <c r="N137" i="7" s="1"/>
  <c r="J138" i="7"/>
  <c r="K138" i="7" s="1"/>
  <c r="L138" i="7" s="1"/>
  <c r="M138" i="7" s="1"/>
  <c r="N138" i="7" s="1"/>
  <c r="J136" i="7"/>
  <c r="K136" i="7" s="1"/>
  <c r="L136" i="7" s="1"/>
  <c r="M136" i="7" s="1"/>
  <c r="N136" i="7" s="1"/>
  <c r="J139" i="7"/>
  <c r="K220" i="7"/>
  <c r="M220" i="7"/>
  <c r="L526" i="7"/>
  <c r="L527" i="7" s="1"/>
  <c r="L514" i="7"/>
  <c r="L515" i="7" s="1"/>
  <c r="L501" i="7"/>
  <c r="L502" i="7" s="1"/>
  <c r="L243" i="7"/>
  <c r="L244" i="7" s="1"/>
  <c r="L231" i="7"/>
  <c r="L232" i="7" s="1"/>
  <c r="M221" i="7" l="1"/>
  <c r="P211" i="7"/>
  <c r="Q211" i="7" s="1"/>
  <c r="R211" i="7" s="1"/>
  <c r="S211" i="7" s="1"/>
  <c r="T211" i="7" s="1"/>
  <c r="P215" i="7"/>
  <c r="Q215" i="7" s="1"/>
  <c r="R215" i="7" s="1"/>
  <c r="S215" i="7" s="1"/>
  <c r="T215" i="7" s="1"/>
  <c r="P213" i="7"/>
  <c r="Q213" i="7" s="1"/>
  <c r="R213" i="7" s="1"/>
  <c r="S213" i="7" s="1"/>
  <c r="T213" i="7" s="1"/>
  <c r="N494" i="7"/>
  <c r="O494" i="7" s="1"/>
  <c r="N495" i="7"/>
  <c r="O495" i="7" s="1"/>
  <c r="N498" i="7"/>
  <c r="O498" i="7" s="1"/>
  <c r="N499" i="7"/>
  <c r="O499" i="7" s="1"/>
  <c r="P499" i="7" s="1"/>
  <c r="Q499" i="7" s="1"/>
  <c r="R499" i="7" s="1"/>
  <c r="S499" i="7" s="1"/>
  <c r="T499" i="7" s="1"/>
  <c r="N496" i="7"/>
  <c r="O496" i="7" s="1"/>
  <c r="N497" i="7"/>
  <c r="O497" i="7" s="1"/>
  <c r="N493" i="7"/>
  <c r="O493" i="7" s="1"/>
  <c r="P214" i="7"/>
  <c r="Q214" i="7" s="1"/>
  <c r="R214" i="7" s="1"/>
  <c r="S214" i="7" s="1"/>
  <c r="T214" i="7" s="1"/>
  <c r="P210" i="7"/>
  <c r="P212" i="7"/>
  <c r="Q212" i="7" s="1"/>
  <c r="R212" i="7" s="1"/>
  <c r="S212" i="7" s="1"/>
  <c r="T212" i="7" s="1"/>
  <c r="J330" i="7"/>
  <c r="K323" i="7"/>
  <c r="L134" i="7"/>
  <c r="M134" i="7" s="1"/>
  <c r="N134" i="7" s="1"/>
  <c r="J141" i="7"/>
  <c r="K139" i="7"/>
  <c r="L139" i="7" s="1"/>
  <c r="M139" i="7" s="1"/>
  <c r="N139" i="7" s="1"/>
  <c r="K180" i="7"/>
  <c r="N180" i="7"/>
  <c r="J180" i="7"/>
  <c r="K503" i="7"/>
  <c r="M503" i="7"/>
  <c r="M504" i="7" l="1"/>
  <c r="P497" i="7"/>
  <c r="Q497" i="7" s="1"/>
  <c r="R497" i="7" s="1"/>
  <c r="S497" i="7" s="1"/>
  <c r="T497" i="7" s="1"/>
  <c r="P493" i="7"/>
  <c r="Q493" i="7" s="1"/>
  <c r="P496" i="7"/>
  <c r="Q496" i="7" s="1"/>
  <c r="R496" i="7" s="1"/>
  <c r="S496" i="7" s="1"/>
  <c r="T496" i="7" s="1"/>
  <c r="P498" i="7"/>
  <c r="Q498" i="7" s="1"/>
  <c r="R498" i="7" s="1"/>
  <c r="S498" i="7" s="1"/>
  <c r="T498" i="7" s="1"/>
  <c r="P495" i="7"/>
  <c r="Q495" i="7" s="1"/>
  <c r="R495" i="7" s="1"/>
  <c r="S495" i="7" s="1"/>
  <c r="T495" i="7" s="1"/>
  <c r="Q210" i="7"/>
  <c r="P217" i="7"/>
  <c r="P494" i="7"/>
  <c r="Q494" i="7" s="1"/>
  <c r="R494" i="7" s="1"/>
  <c r="S494" i="7" s="1"/>
  <c r="T494" i="7" s="1"/>
  <c r="L323" i="7"/>
  <c r="M323" i="7" s="1"/>
  <c r="N323" i="7" s="1"/>
  <c r="N330" i="7" s="1"/>
  <c r="K330" i="7"/>
  <c r="N141" i="7"/>
  <c r="K141" i="7"/>
  <c r="P500" i="7" l="1"/>
  <c r="R210" i="7"/>
  <c r="S210" i="7" s="1"/>
  <c r="T210" i="7" s="1"/>
  <c r="T217" i="7" s="1"/>
  <c r="Q217" i="7"/>
  <c r="R493" i="7"/>
  <c r="S493" i="7" s="1"/>
  <c r="T493" i="7" s="1"/>
  <c r="T500" i="7" s="1"/>
  <c r="Q500" i="7"/>
</calcChain>
</file>

<file path=xl/sharedStrings.xml><?xml version="1.0" encoding="utf-8"?>
<sst xmlns="http://schemas.openxmlformats.org/spreadsheetml/2006/main" count="23795" uniqueCount="2788">
  <si>
    <t>Lp.</t>
  </si>
  <si>
    <t>Adres IP</t>
  </si>
  <si>
    <t>Kolektor</t>
  </si>
  <si>
    <t>Adres referencyjny / Respondent email</t>
  </si>
  <si>
    <t>Respondent imie</t>
  </si>
  <si>
    <t>Respondent nazwisko</t>
  </si>
  <si>
    <t>Respondent dodatkowe dane</t>
  </si>
  <si>
    <t>Status</t>
  </si>
  <si>
    <t>Rozpoczęto wypełnianie</t>
  </si>
  <si>
    <t>Zakończono wypełnianie</t>
  </si>
  <si>
    <t>Czas trwania (s)</t>
  </si>
  <si>
    <t>Punktacja</t>
  </si>
  <si>
    <t>Czy jesteś osobą pełnoletnią?</t>
  </si>
  <si>
    <t>Czy jesteś studentem uczelni wyższej?</t>
  </si>
  <si>
    <t>Jak się nazywa uczelnia, na której studiujesz? (proszę o wybranie jednej uczelni podlegającej ocenie)</t>
  </si>
  <si>
    <t>Czy studiujesz na kierunku technicznym, tzn. takim, po którym uzyskasz tytuł inżyniera?</t>
  </si>
  <si>
    <t>Jak się nazywa kierunek, na którym studiujesz?</t>
  </si>
  <si>
    <t>Proszę zaznaczyć w jakim stopniu zgadzasz się z poniższymi stwierdzeniami.</t>
  </si>
  <si>
    <t>W ile miesięcy po ukończeniu studiów spodziewasz się  uzyskać zatrudnienie? Proszę podać liczbę miesięcy lub wpisać inną opcję (np. praca przed ukończeniem studiów; założenie własnej firmy; nie zamierzam pracować)</t>
  </si>
  <si>
    <t>Jakiej wielkości zarobków spodziewasz się po ukończeniu studiów:</t>
  </si>
  <si>
    <t>Jakich innych (poza zarobkami) efektów kształcenia na ocenianej uczelni się spodziewasz?</t>
  </si>
  <si>
    <t>Co wpływa na Twoją satysfakcję ze studiowania?</t>
  </si>
  <si>
    <t>Jakiego rodzaju są Twoje studia?</t>
  </si>
  <si>
    <t>Na którym semestrze studiujesz obecnie?</t>
  </si>
  <si>
    <t>Czy jesteś absolwentem uczelni wyższej?</t>
  </si>
  <si>
    <t>Jak się nazywa uczelnia którą ukończyłeś? (proszę o wybranie jednej uczelni podlegającej ocenie)</t>
  </si>
  <si>
    <t>W którym roku ukończyłaś/eś studia (rok w którym uzyskano dyplom ukończenia studiów drugiego stopnia, albo pierwszego stopnia, jeśli nie uzyskano dyplomu 2. stopnia)?</t>
  </si>
  <si>
    <t>Czy ukończony kierunek był kierunkiem technicznym, tzn. takim, po którym uzyskałaś/eś tytuł inżyniera?</t>
  </si>
  <si>
    <t>Jak się nazywa kierunek, który ukończyłaś/eś?</t>
  </si>
  <si>
    <t>W ile miesięcy po ukończeniu studiów uzyskałaś/eś zatrudnienie? Proszę podać liczbę miesięcy lub wpisać inną opcję (np. praca przed ukończeniem studiów; założenie własnej firmy; nie zamierzam pracować)</t>
  </si>
  <si>
    <t>Jakiej wielkości zarobki uzyskiwałaś/eś po ukończeniu studiów:</t>
  </si>
  <si>
    <t>Jakie inne (poza zarobkami) efekty kształcenia na ocenianej uczelni dostrzegasz obecnie?</t>
  </si>
  <si>
    <t xml:space="preserve">Co wpływało na twoją satysfakcję ze studiowania?
</t>
  </si>
  <si>
    <t>Jakiego rodzaju były Twoje studia?</t>
  </si>
  <si>
    <t>Czy jesteś rodzicem / opiekunem absolwenta uczelni wyższej?</t>
  </si>
  <si>
    <t>Uczelnie ilu podopiecznych będziesz oceniać?</t>
  </si>
  <si>
    <t>Jak się nazywa uczelnia, którą ukończył/a Twoja/Twój podopieczna/podopieczny? (proszę o wybranie jednej uczelni podlegającej ocenie)</t>
  </si>
  <si>
    <t>W którym roku Twoja/Twój podopieczna/y ukończył/a studia (rok w którym uzyskano dyplom ukończenia studiów drugiego stopnia, albo pierwszego stopnia, jeśli nie uzyskano dyplomu 2. stopnia)?</t>
  </si>
  <si>
    <t>Czy ukończony kierunek był kierunkiem technicznym, tzn. takim, po którym uzyskano tytuł inżyniera?</t>
  </si>
  <si>
    <t>Jak się nazywa kierunek, który ukończył/a Twoja/Twój podopieczna/podopieczny?</t>
  </si>
  <si>
    <t>W ile miesięcy po ukończeniu studiów Twoja/Twój podopieczna/podopieczny uzyskał/a zatrudnienie? Proszę podać liczbę miesięcy lub wpisać inną opcję (np. praca przed ukończeniem studiów; założenie własnej firmy; nie zamierzam pracować)</t>
  </si>
  <si>
    <t>Jakie inne (poza zarobkami) efekty kształcenia na ocenianej uczelni się dostrzegasz obecnie?</t>
  </si>
  <si>
    <t>Jakiego rodzaju były studia, które ukończył/a Twoja/Twój podopieczna/podopieczny?</t>
  </si>
  <si>
    <t>Jeśli Twoja/Twój podopieczna/podopieczny ukończył/a również inne szkoły / kierunki studiów to proszę wpisz je tutaj.</t>
  </si>
  <si>
    <t>Czy będziesz oceniał uczelnię ukończoną przez drugiego podopiecznego?</t>
  </si>
  <si>
    <t>Czy będziesz oceniał uczelnię ukończoną przez trzeciego podopiecznego?</t>
  </si>
  <si>
    <t>Czy jesteś aktualnie pracownikiem administracyjnym uczelni wyższej?</t>
  </si>
  <si>
    <t>Jak się nazywa uczelnia, na której pracujesz? (proszę o wybranie jednej uczelni podlegającej ocenie)</t>
  </si>
  <si>
    <t>Na jakim wydziale pracujesz?</t>
  </si>
  <si>
    <t>Czy jesteś aktualnie pracownikiem naukowym lub dydaktycznym uczelni wyższej?</t>
  </si>
  <si>
    <t>Czy jesteś przedstawicielem władz uczelni z grupy rektorów, prorektorów, dziekanów, prodziekanów, członków senatu lub członków rady uczelni?</t>
  </si>
  <si>
    <t>Proszę podać pełnioną funkcję</t>
  </si>
  <si>
    <t>Jak się nazywa uczelnia którą będziesz oceniać (jako przedstawiciel jej władz)?</t>
  </si>
  <si>
    <t>Którzy interesariusze ocenianej uczelni wyższej są najistotniejsi z punktu widzenia doskonalenia jej usług?
Proszę o rozdzielenie 100 pkt. pomiędzy różne grupy interesariuszy wymienione poniżej w taki sposób by te grupy, którą są Twoim zdaniem istotniejsze otrzymały większą liczbę punktów, a te które są Twoim zdaniem mniej istotne otrzymały mniejszą liczbę punktów.</t>
  </si>
  <si>
    <t>Opinie których interesariuszy są w praktyce najczęściej uwzględniane przy wprowadzaniu zmian na ocenianej uczelni?
Proszę o rozdzielenie 100 pkt. pomiędzy różne grupy interesariuszy wymienione poniżej w taki sposób by te grupy, którą są Twoim zdaniem częściej uwzględniane otrzymały większą liczbę punktów, a te które są Twoim zdaniem rzadziej uwzględniane otrzymały mniejszą liczbę punktów.</t>
  </si>
  <si>
    <t>Czy jesteś przedstawicielem firmy, w której są zatrudniani absolwenci uczelni wyższych (tytuł licencjata, magistra lub wyższy)?</t>
  </si>
  <si>
    <t>Czy w Twojej firmie są zatrudnieni absolwenci uczelni technicznych (posiadają tytuł inżyniera)?</t>
  </si>
  <si>
    <t>Ile uczelni będziesz oceniać?</t>
  </si>
  <si>
    <t xml:space="preserve">Jak się nazywa uczelnia, którą ocenisz? </t>
  </si>
  <si>
    <t>Czy w Twojej firmie są zatrudniani absolwenci uczelni w pierwszym roku po ukończeniu studiów (do 12 miesięcy od uzyskania dyplomu)?</t>
  </si>
  <si>
    <t>Jakie kompetencje absolwentów ocenianej uczelni są w Twojej firmie najwyżej wyceniane?</t>
  </si>
  <si>
    <t>Jakiego rodzaju prace wykonują absolwenci ocenianej uczelni w Twojej firmie?</t>
  </si>
  <si>
    <t>Czy będziesz oceniał drugą uczelnię?</t>
  </si>
  <si>
    <t>Czy będziesz oceniał trzecią uczelnię techniczną?</t>
  </si>
  <si>
    <t>Jakiego rodzaju prace wykonują absolwenci ocenianej uczelni są w Twojej firmie?</t>
  </si>
  <si>
    <t>Czy jesteś przedstawicielem władz samorządowych lub centralnych Rzeczypospolitej Polskiej?</t>
  </si>
  <si>
    <t>Proszę wskaż jaki poziom władzy samorządowej lub centralnej reprezentujesz.</t>
  </si>
  <si>
    <t>Proszę o podanie nazwy organu władzy jaki reprezentujesz.</t>
  </si>
  <si>
    <t>Jak się nazywa uczelnia, którą ocenisz?</t>
  </si>
  <si>
    <t>Jakie inne efekty pracy ocenianej uczelni technicznej dostrzegasz obecnie?</t>
  </si>
  <si>
    <t>Czy będziesz oceniać drugą uczelnię?</t>
  </si>
  <si>
    <t>Jakie inne efekty pracy ocenianej uczelni dostrzegasz obecnie?</t>
  </si>
  <si>
    <t>Czy będziesz oceniać trzecią uczelnię?</t>
  </si>
  <si>
    <t>Jakie, Twoim zdaniem, elementy decydują o tym, że uczelnie są lepsze lub gorsze.</t>
  </si>
  <si>
    <t>Płeć</t>
  </si>
  <si>
    <t>Rok urodzenia</t>
  </si>
  <si>
    <t>Z jakiej wielkości miejscowości pochodzisz? (dotyczy miejscowości, w której się wychowałaś/eś</t>
  </si>
  <si>
    <t>Jakie inne wykształcenie poza tym uwzględnionym w niniejszej ankiecie posiadasz? (ukończone szkoły/studia)</t>
  </si>
  <si>
    <t>Jakie inne wykształcenie poza tym uwzględnionym w niniejszej ankiecie zdobywasz? (nieukończone jeszcze lub przerwane szkoły/studia)</t>
  </si>
  <si>
    <t>Dziękuję za czas poświęcony na wypełnienie niniejszej ankiety. 
Jeśli masz uwagi to proszę zamieść je poniżej.
Po zakończeniu udzielania odpowiedzi proszę o naciśnięcie przycisku "Zakończ".</t>
  </si>
  <si>
    <t>Moja satysfakcja z usług edukacyjnych ocenianej uczelni jest wysoka.</t>
  </si>
  <si>
    <t>Usługi edukacyjne ocenianej uczelni mają wysoką wartość (okazja / szansa rozwoju własnego lub kariery).</t>
  </si>
  <si>
    <t>Kształcenie na ocenianej uczelni ma/będzie miało pozytywny wpływ na zwiększenie moich zarobków.</t>
  </si>
  <si>
    <t>w pierwszym roku po ukończeniu studiów : wybierz wartość z listy rozwijanej</t>
  </si>
  <si>
    <t>w 3 lata po ukończeniu studiów : wybierz wartość z listy rozwijanej</t>
  </si>
  <si>
    <t>Pole dodatkowe</t>
  </si>
  <si>
    <t>Moja satysfakcja z (efektów) usług edukacyjnych ocenianej uczelni jest wysoka.</t>
  </si>
  <si>
    <t>Kształcenie na ocenianej uczelni ma/miało pozytywny wpływ na zwiększenie moich zarobków.</t>
  </si>
  <si>
    <t>Moje zarobki w pierwszym roku po ukończeniu studiów były satysfakcjonujące.</t>
  </si>
  <si>
    <t>Moje zarobki po 3. latach po ukończeniu studiów były satysfakcjonujące.</t>
  </si>
  <si>
    <t>Kształcenie na ocenianej uczelni ma/będzie miało pozytywny wpływ na zwiększenie zarobków mojej/mojego podopiecznej/podopiecznego.</t>
  </si>
  <si>
    <t>Zarobki uzyskiwane przez mojego/moją podopieczną/podopiecznego w pierwszym roku po ukończeniu studiów były satysfakcjonujące (z mojego punktu widzenia)</t>
  </si>
  <si>
    <t>Zarobki uzyskiwane przez mojego/moją podopieczną/podopiecznego w 3 lata po ukończeniu studiów były satysfakcjonujące (z mojego punktu widzenia)</t>
  </si>
  <si>
    <t>Moja satysfakcja z pracy na ocenianej uczelni jest wysoka.</t>
  </si>
  <si>
    <t>Atmosfera w zespole współpracowników jest dobra.</t>
  </si>
  <si>
    <t>Moje zarobki są satysfakcjonujące.</t>
  </si>
  <si>
    <t>Praca na ocenianej uczelni daje mi duże szanse rozwoju.</t>
  </si>
  <si>
    <t>Wartość wykształcenia zdobywanego przez studentów ocenianej uczelni jest wysoka.</t>
  </si>
  <si>
    <t>Zdobyte na ocenianej uczelni wykształcenie ma pozytywny wpływ na zwiększenie zarobków absolwentów.</t>
  </si>
  <si>
    <t>Efekty działań ocenianej uczelni na rzesz jakości edukacji są dobre</t>
  </si>
  <si>
    <t>Wartość wykształcenia zdobywanego przez studentów na ocenianej uczelni jest wysoka.</t>
  </si>
  <si>
    <t>Zdobyte przez studentów ocenianej uczelni wykształcenie miało/ma pozytywny wpływ na ich zarobki.</t>
  </si>
  <si>
    <t>Efekty działań ocenianej uczelni na rzecz jakości edukacji mają dobry wpływ na rozwój regionu.</t>
  </si>
  <si>
    <t>Efekty działań ocenianej uczelni na rzecz jakości edukacji mają dobry wpływ na rozwój Polski.</t>
  </si>
  <si>
    <t>Współpraca ocenianej uczelni z biznesem ma pozytywne efekty dla rozwoju regionu / kraju.</t>
  </si>
  <si>
    <t>Ogólny poziom mojej satysfakcji z jakości usług edukacyjnych ocenianej uczelni jest wysoki.</t>
  </si>
  <si>
    <t>Studenci : wybierz wartość z listy rozwijanej</t>
  </si>
  <si>
    <t>Absolwenci : wybierz wartość z listy rozwijanej</t>
  </si>
  <si>
    <t>Rodzice absolwentów : wybierz wartość z listy rozwijanej</t>
  </si>
  <si>
    <t>Pracownicy administracyjni : wybierz wartość z listy rozwijanej</t>
  </si>
  <si>
    <t>Pracownicy naukowi i dydaktyczni : wybierz wartość z listy rozwijanej</t>
  </si>
  <si>
    <t>Pracodawcy : wybierz wartość z listy rozwijanej</t>
  </si>
  <si>
    <t>Władze samorządowe i centralne : wybierz wartość z listy rozwijanej</t>
  </si>
  <si>
    <t>Moja satysfakcja z (efektów) usług edukacyjnych na ocenianej uczelni jest wysoka.</t>
  </si>
  <si>
    <t>Kompetencje absolwentów ocenianej uczelni są wysokie.</t>
  </si>
  <si>
    <t>Zarobki absolwentów ocenianej uczelni zatrudnionych w mojej firmie są wyższe od zarobków absolwentów innych polskich uczelni.</t>
  </si>
  <si>
    <t>Efekty działań ocenianej uczelni na rzesz jakości edukacji są zgodne ze strategią rozwoju w regionie.</t>
  </si>
  <si>
    <t>37.47.232.142</t>
  </si>
  <si>
    <t>Link</t>
  </si>
  <si>
    <t>Zakończono</t>
  </si>
  <si>
    <t>2020-04-20 14:55:16</t>
  </si>
  <si>
    <t>2020-04-21 09:13:07</t>
  </si>
  <si>
    <t>Tak (kontynuacja ankiety)</t>
  </si>
  <si>
    <t>Nie (przejście do kolejnej części)</t>
  </si>
  <si>
    <t>Tak (kontynuowanie badania absolwentów)</t>
  </si>
  <si>
    <t xml:space="preserve">Politechnika Gdańska </t>
  </si>
  <si>
    <t>tak</t>
  </si>
  <si>
    <t>Biotechnologia</t>
  </si>
  <si>
    <t>raczej się nie zgadzam</t>
  </si>
  <si>
    <t>zdecydowanie się nie zgadzam</t>
  </si>
  <si>
    <t xml:space="preserve">1 miesiąc </t>
  </si>
  <si>
    <t>powyżej 1000 zł, ale nie więcej niż 2000 zł</t>
  </si>
  <si>
    <t>nie dotyczy</t>
  </si>
  <si>
    <t>Znajomość ogólnej wiedzy chemicznej i biologicznej pozwalająca być świadomym konsumentem i lepiej dbać o zdrowie</t>
  </si>
  <si>
    <t xml:space="preserve">współpraca z innymi studentami, wspólne szukanie rozwiązań </t>
  </si>
  <si>
    <t xml:space="preserve">Stosunek wykładowców do studentów </t>
  </si>
  <si>
    <t>Stacjonarne jednolite mgr inżynier</t>
  </si>
  <si>
    <t xml:space="preserve">Nie wiem nie mam porównania </t>
  </si>
  <si>
    <t xml:space="preserve">Zaangażowanie i rzetelne podejście do nauczania przez kadrę </t>
  </si>
  <si>
    <t xml:space="preserve">Przeszycia osobiste i losowość zdawalności egzaminów </t>
  </si>
  <si>
    <t>Kobieta</t>
  </si>
  <si>
    <t>miasto wojewódzkie</t>
  </si>
  <si>
    <t>Brak</t>
  </si>
  <si>
    <t>Trochę słabe jest przełamywanie przez te wszystkie ankiety... może dałoby się Robić jedna najpierw z pytaniem jako kto możesz wypełnić ta ankietę z wielokrotnym wyborem i potem tylko te zaznaczone przelecieć ... kocham Cie</t>
  </si>
  <si>
    <t>31.179.150.134</t>
  </si>
  <si>
    <t>2020-04-30 13:28:06</t>
  </si>
  <si>
    <t>2020-04-30 13:54:19</t>
  </si>
  <si>
    <t>Akademia Muzyczna im. Stanisława Moniuszki w Gdańsku</t>
  </si>
  <si>
    <t>nie</t>
  </si>
  <si>
    <t>Wydział Instrumentalny - skrzypce</t>
  </si>
  <si>
    <t>zgadzam się</t>
  </si>
  <si>
    <t>ani się zgadzam, ani nie zgadzam</t>
  </si>
  <si>
    <t>do 1000 zł</t>
  </si>
  <si>
    <t>powyżej 3000 zł, ale nie więcej niż 4000 zł</t>
  </si>
  <si>
    <t>wrażliwość na sztukę i rozumienie problemów środowiska artystów</t>
  </si>
  <si>
    <t>studiowałem kierunek zgodny z moją pasją</t>
  </si>
  <si>
    <t>trudności lokalowe/brak sal do ćwiczenia</t>
  </si>
  <si>
    <t>stacjonarne (dzienne) studia 2 stopnia (magisterskie)</t>
  </si>
  <si>
    <t>jednolite studia magisterskie</t>
  </si>
  <si>
    <t>Tak (kontynuowanie badania rodziców absolwentów)</t>
  </si>
  <si>
    <t>Uniwersytet Warszawski</t>
  </si>
  <si>
    <t>Prawo</t>
  </si>
  <si>
    <t>raczej się zgadzam</t>
  </si>
  <si>
    <t>jeszcze przed ukończeniem</t>
  </si>
  <si>
    <t>umiejętność ścisłego (prawniczego) rozumowania</t>
  </si>
  <si>
    <t>SGH Zarządzanie i Marketing - studia podyplomowe</t>
  </si>
  <si>
    <t>Tak (przejście do analogicznej części oceny dotyczącej drugiego podopiecznego)</t>
  </si>
  <si>
    <t>Szkoła Główna Handlowa w Warszawie</t>
  </si>
  <si>
    <t>Rachunkowość i Finanse</t>
  </si>
  <si>
    <t>zdecydowanie się zgadzam</t>
  </si>
  <si>
    <t>Jeszcze przed ukończeniem studiów</t>
  </si>
  <si>
    <t>Opinia o uczelni jest pomocna w znalezieniu dobrej pracy</t>
  </si>
  <si>
    <t>stacjonarne (dzienne) studia 1 stopnia (licencjackie / inżynierskie)</t>
  </si>
  <si>
    <t>Nie (przejście do kolejnej części badania)</t>
  </si>
  <si>
    <t>Tak (kontynuowanie badania przedstawicieli władz uczelni)</t>
  </si>
  <si>
    <t>Członek rady uczelni</t>
  </si>
  <si>
    <t>Akademia Muzyczna im. S.Moniuszki w Gdańsku</t>
  </si>
  <si>
    <t>Tak (kontynuowanie badania przedstawicieli pracodawców)</t>
  </si>
  <si>
    <t>Tak</t>
  </si>
  <si>
    <t>SGGW</t>
  </si>
  <si>
    <t>Nie</t>
  </si>
  <si>
    <t>Znajomość branży i dokładność w wykonywaniu pracy</t>
  </si>
  <si>
    <t>inżynierskie, kreślarskie, nadzór na budowie</t>
  </si>
  <si>
    <t>poziom kadry pedagogicznej</t>
  </si>
  <si>
    <t>wyniesiona wiedza</t>
  </si>
  <si>
    <t>stosunek do pracy pracownika</t>
  </si>
  <si>
    <t>Mężczyzna</t>
  </si>
  <si>
    <t>Podyplomowe SGH</t>
  </si>
  <si>
    <t>89.73.146.237</t>
  </si>
  <si>
    <t>2020-05-03 22:53:23</t>
  </si>
  <si>
    <t>2020-05-03 23:07:36</t>
  </si>
  <si>
    <t>Politechnika Gdańska</t>
  </si>
  <si>
    <t>Informatyka</t>
  </si>
  <si>
    <t>Na trzecim roku inz</t>
  </si>
  <si>
    <t>powyżej 10.000 zł</t>
  </si>
  <si>
    <t>Możliwość spojrzenia na świat z szerszej perspektywy</t>
  </si>
  <si>
    <t>Zajęcia praktyczne, projekty, elastyczność w realizacji tematów</t>
  </si>
  <si>
    <t>Sama teoria i brak namacalności przydatności wiedzy</t>
  </si>
  <si>
    <t>Uczelnia zatrudniająca ludzi dynamicznych z branży</t>
  </si>
  <si>
    <t>Aktualizowanie podstaw programowych</t>
  </si>
  <si>
    <t>Brak zaangażowania promotora w pracę magisterską, która odkłada się  miesiącami</t>
  </si>
  <si>
    <t>Muzyczne podstawowe</t>
  </si>
  <si>
    <t>37.47.200.135</t>
  </si>
  <si>
    <t>2020-05-04 09:31:36</t>
  </si>
  <si>
    <t>2020-05-04 10:24:17</t>
  </si>
  <si>
    <t>Akademia Muzyczna im. Stanisława Moniuszki</t>
  </si>
  <si>
    <t>1986 - studia jednolite magisterskie</t>
  </si>
  <si>
    <t>wokalistyka</t>
  </si>
  <si>
    <t>praca na zlecenie od 2. roku studiów</t>
  </si>
  <si>
    <t>powyżej 7000 zł, ale nie więcej niż 8000 zł</t>
  </si>
  <si>
    <t>potrzeba i możliwości ciągłego rozwoju w swojej dziedzinie oraz w innych; satysfakcja z wykonywanej pracy</t>
  </si>
  <si>
    <t xml:space="preserve">szacunek do pedagogów, możliwość rozwijania swojej pasji, możliwość realizowania się w zawodzie przy jednoczesnym zarabianiu co poprawiało własną kondycję finansową </t>
  </si>
  <si>
    <t>ograniczone możliwości w dostępie sal ćwiczeniowych, brak możliwości konfrontowania swojej wiedzy i umiejętności  w ośrodkach zagranicznych</t>
  </si>
  <si>
    <t>sześcioletnie jednolite studia magisterskie</t>
  </si>
  <si>
    <t>Tak (kontynuowanie badania pracowników naukowych lub dydaktycznych)</t>
  </si>
  <si>
    <t>Wokalno-Aktorskim</t>
  </si>
  <si>
    <t>Wysoka kreatywność i pomysłowość w poszukiwaniu nowych przestrzeni zawodowych</t>
  </si>
  <si>
    <t>Lepiej merytorycznie i dydaktycznie przygotowana kadra, lepsza baza techniczna</t>
  </si>
  <si>
    <t xml:space="preserve">Zaangażowanie pełne pasji w pracę zarówno pedagogów jak i studentów  </t>
  </si>
  <si>
    <t>Przerost pracy administracyjnej i wszelkiego rodzaju rozliczania punktowania itp; braki bazy technicznej (dobrych instrumentów)</t>
  </si>
  <si>
    <t>miasto gminne</t>
  </si>
  <si>
    <t>2020-05-04 11:21:12</t>
  </si>
  <si>
    <t>2020-05-04 11:48:51</t>
  </si>
  <si>
    <t>Uniwersytet Gdański</t>
  </si>
  <si>
    <t>germanistyka</t>
  </si>
  <si>
    <t>praca już przed ukończeniem studiów</t>
  </si>
  <si>
    <t>powyżej 4000 zł, ale nie więcej niż 5000 zł</t>
  </si>
  <si>
    <t>dostęp do biblioteki fachowej</t>
  </si>
  <si>
    <t>studia zaoczne</t>
  </si>
  <si>
    <t>połowa zajęć - pedagodzy nieprzygotowani, zajęcia bezwartościowe</t>
  </si>
  <si>
    <t>niestacjonarne (zaoczne) studia 2 stopnia (magisterskie)</t>
  </si>
  <si>
    <t>zarządzanie i marketing</t>
  </si>
  <si>
    <t>szerokie poznanie branży</t>
  </si>
  <si>
    <t>szkoła muzyczna II st.</t>
  </si>
  <si>
    <t>Akademia Muzyczna w Gdańsku</t>
  </si>
  <si>
    <t>instrumentalistyka</t>
  </si>
  <si>
    <t>nie zgadzam się</t>
  </si>
  <si>
    <t>praca przed ukończeniem studiów</t>
  </si>
  <si>
    <t>Tak (przejście do analogicznej części oceny dotyczącej trzeciego podopiecznego)</t>
  </si>
  <si>
    <t>logopedia</t>
  </si>
  <si>
    <t>szeroka znajomość branży</t>
  </si>
  <si>
    <t>Studium Języków Obcych</t>
  </si>
  <si>
    <t>kontakty w branży, wyjazdy zagraniczne</t>
  </si>
  <si>
    <t>szerokie i głębokie poznanie studiowanej dziedziny, wprowadzenie w środowisko zawodowe</t>
  </si>
  <si>
    <t>wykształcenie komplementarne, tzn. bez braków w jakichś obszarach studiowanej dziedziny</t>
  </si>
  <si>
    <t>niski poziom wymagań i uzyskanych kompetencji</t>
  </si>
  <si>
    <t>nieduże miasto powiatowe</t>
  </si>
  <si>
    <t>Akademia Muzyczna - instrumentalistyka</t>
  </si>
  <si>
    <t>109.241.203.5</t>
  </si>
  <si>
    <t>2020-05-04 12:41:11</t>
  </si>
  <si>
    <t>2020-05-04 12:56:13</t>
  </si>
  <si>
    <t>Bioinformatyka</t>
  </si>
  <si>
    <t>Macierzyństwo na razie, brak pracy zarobkowej</t>
  </si>
  <si>
    <t xml:space="preserve">Wydaje mi się, że dzięki nauce (ale w zasadzie jakiejkolwiek) człowiek utrzymuje umysł w sprawności i go rozwija; a to zawsze działa na plus. </t>
  </si>
  <si>
    <t>Tak założyłam, że będę tam studiować, więc studiowałam. Lubię kończyć to, co zaczęłam. Znalazłam też dwie bliskie koleżanki,więc miałam towarzystwo.</t>
  </si>
  <si>
    <t>Nudne zajęcia. Tematy, które w mojej ocenie nigdy mi się w życiu nie przydadzą. Forma zajęć - wykład. Niewygodne Dale wykładowe, twarde krzesła, stoliki za małe i za daleko. Zajęcia wcześnie  rano lub wieczorami</t>
  </si>
  <si>
    <t xml:space="preserve">Ciężko powiedzieć. Uczulenie przygotowują nas do zawodów w bardzo różnych dziedzinach. Myślę jednak, że zaangażowanie studentów i wykładowców ma znaczenie niezależnie od branży. Ja miałam zapał średni, bo raczej nastawiałam się na prowadzenie domu, ewentualnie pracę nauczyciela w podstawóce itp. Koledzy, którymi zależało, uczyli się sami, brali udział w projektach, stażach i znajdowali pracę już pod koniec studiów. I nawet jeśli narzekali, to robili swoje. A Ci, którym nie do końca zależało, to raczej też narzekali, ale nie bardzo chcieli coś zmienić. Najchętniej nie chodziliby na zajęcia i wszystko zaliczyli na trójki. Tylko nie wiem po co. :) </t>
  </si>
  <si>
    <t xml:space="preserve">Kilku wykładowców zapadło mi w pamięć. Lubię wspominać zajęci z nimi z moimi przyjaciółkami. Ale czy wybrałabym jeszcze raz tę uczelnie i kierunek? Raczej nie. </t>
  </si>
  <si>
    <t>Moja ocena jest o tyle subiektywna, że ja do niczego nie potrzebowałam większości z tych zajęć:) więc te nudne, trudne i dziwne mnie zniechęcały. Ale uczyłam się i zaliczyłam, bo taką mam naturę, że się jednak staram:)</t>
  </si>
  <si>
    <t>81.190.102.150</t>
  </si>
  <si>
    <t>https://poczta.wp.pl/k/</t>
  </si>
  <si>
    <t>2020-05-04 13:51:42</t>
  </si>
  <si>
    <t>2020-05-04 13:58:44</t>
  </si>
  <si>
    <t>Matematyka Stosowana</t>
  </si>
  <si>
    <t>Analityczne podejście, szybkie przyswajanie nowych zagadnień.</t>
  </si>
  <si>
    <t>Kadra, współstudiujący, ciekawe zagadnienia</t>
  </si>
  <si>
    <t>Stres</t>
  </si>
  <si>
    <t>.</t>
  </si>
  <si>
    <t>Nie dotyczy</t>
  </si>
  <si>
    <t>94.172.217.53</t>
  </si>
  <si>
    <t>2020-05-04 18:33:10</t>
  </si>
  <si>
    <t>2020-05-04 18:45:58</t>
  </si>
  <si>
    <t>Fuzyka</t>
  </si>
  <si>
    <t xml:space="preserve">Znajomość matematyki i fizyki, kreatywność w rozwiązywaniu problemów. </t>
  </si>
  <si>
    <t xml:space="preserve">Satysfakcja z wysokiego poziomu studiów, reputacja uczelni, dobra atmosfera w relacjach z kolegami i kadrą. </t>
  </si>
  <si>
    <t>Trudność zagadnień, słabe przygotowanie z liceum</t>
  </si>
  <si>
    <t>Nie wiem</t>
  </si>
  <si>
    <t xml:space="preserve">Politologia </t>
  </si>
  <si>
    <t xml:space="preserve">Reputacja, wysoki poziom nauczania, </t>
  </si>
  <si>
    <t>Szkołą Główna Handlowa</t>
  </si>
  <si>
    <t>Kolegium Analiz Ekonomicznych</t>
  </si>
  <si>
    <t xml:space="preserve">Orientacja na rozwiązywanie problemów, postawa otwartości, szacunek dla warsztatu zawodowego </t>
  </si>
  <si>
    <t>jakość badań, jakość kształcenia, sprawne zarządzanie</t>
  </si>
  <si>
    <t xml:space="preserve">dobra infrastruktura dydaktyczna, dobre przygotowanie studentów, rosnące docenianie wartości osiągnięć naukowych, </t>
  </si>
  <si>
    <t xml:space="preserve">mierne umiejętności władz akademickich </t>
  </si>
  <si>
    <t>188.146.36.57</t>
  </si>
  <si>
    <t>W trakcie</t>
  </si>
  <si>
    <t>2020-05-04 23:32:39</t>
  </si>
  <si>
    <t>87.207.83.121</t>
  </si>
  <si>
    <t>2020-05-04 23:40:32</t>
  </si>
  <si>
    <t>2020-05-05 00:51:31</t>
  </si>
  <si>
    <t>matematyka</t>
  </si>
  <si>
    <t>mniej stresu w pracy, rozwiązywanie problemów nie sprawia większych trudności w większości przypadków</t>
  </si>
  <si>
    <t>kierunek studiów zgodny z zainteresowaniami, dobra kadra wykładowców na uczelni</t>
  </si>
  <si>
    <t>nuda, ostatnie semestry studiów już były trochę na siłę, praktyki studenckie tak żeby odklepać, mało związane z kierunkiem studiów</t>
  </si>
  <si>
    <t>kadra wykładowców, ciekawe kierunki studiów</t>
  </si>
  <si>
    <t>oferta ciekawych praktyk studenckich związanych z kierunkiem studiów</t>
  </si>
  <si>
    <t>przedmioty, które nie wydają się mieć związku z kierunkiem studiów</t>
  </si>
  <si>
    <t>83.23.251.56</t>
  </si>
  <si>
    <t>2020-05-06 08:27:07</t>
  </si>
  <si>
    <t>2020-05-06 08:50:31</t>
  </si>
  <si>
    <t>Technologia Maszyn</t>
  </si>
  <si>
    <t>powyżej 2000 zł, ale nie więcej niż 3000 zł</t>
  </si>
  <si>
    <t xml:space="preserve">Rozumienie istoty rożnych zjawisk </t>
  </si>
  <si>
    <t>Wysoki poziom kompetencji kadry</t>
  </si>
  <si>
    <t>Brak skonkretyzowanych zainteresowań na pierwszych 2 latach studiów</t>
  </si>
  <si>
    <t>Dobre perspektywy rozwoju zawodowego, stabilność zatrudnienia</t>
  </si>
  <si>
    <t>Studia doktoranckie 2015</t>
  </si>
  <si>
    <t>Wydział Zarządzania i Ekonomii</t>
  </si>
  <si>
    <t>Wiarygodność, rzetelność kształcenia i dobry poziom badań naukowych</t>
  </si>
  <si>
    <t>Dorobek i wiarygodność w ujęciu historycznym</t>
  </si>
  <si>
    <t xml:space="preserve">szeroka oferta kierunków kształcenia, wysokie kwalifikacje kadry, kontakty z otoczeniem społeczno gospodarczym </t>
  </si>
  <si>
    <t xml:space="preserve">zatory komunikacyjne, "silosowość struktur zarządzania", podziały na grupy (kasty) pracowników, brak szacunku do opinii innych osób w zakresie podejmowania kluczowych decyzji  </t>
  </si>
  <si>
    <t>Gdańsk</t>
  </si>
  <si>
    <t>dr hab n. ekonomicznych dr nauk technicznych, magister inżynier mechanik</t>
  </si>
  <si>
    <t>jw</t>
  </si>
  <si>
    <t>79.163.198.36</t>
  </si>
  <si>
    <t>2020-05-06 19:59:13</t>
  </si>
  <si>
    <t>2020-05-06 20:05:02</t>
  </si>
  <si>
    <t>Matematyka stosowana</t>
  </si>
  <si>
    <t>Umiejętność samodokształcania się</t>
  </si>
  <si>
    <t>Znajomi</t>
  </si>
  <si>
    <t>Poziom nauczania</t>
  </si>
  <si>
    <t>Poziom edukacji</t>
  </si>
  <si>
    <t>Powinna kadra</t>
  </si>
  <si>
    <t>Może wpłynąć kadra</t>
  </si>
  <si>
    <t>109.207.157.128</t>
  </si>
  <si>
    <t>2020-05-09 12:30:41</t>
  </si>
  <si>
    <t>2020-05-25 13:50:14</t>
  </si>
  <si>
    <t>Politechnika Gdańska, Wydział Zarządzania i Ekonomii</t>
  </si>
  <si>
    <t>zarządzanie</t>
  </si>
  <si>
    <t>Pracowałem już w czasie studiów</t>
  </si>
  <si>
    <t>Efektem kształcenia jest szeroki zakres ogólnej wiedzy "biznesowej" i kompetencji zarówno technicznych jak i społecznych.</t>
  </si>
  <si>
    <t>szeroki zakres tematyczny studiów</t>
  </si>
  <si>
    <t>zbyt wiele mało kreatywnych zajęć (np. dość "szablonowe" projekty)</t>
  </si>
  <si>
    <t>stacjonarne magistersko-inżynierskie</t>
  </si>
  <si>
    <t>W przypadku uczelni technicznych unikatowa wiedza + nastawienie na rynek i praktykę</t>
  </si>
  <si>
    <t>dostosowanie treści studiów (szerokości i poziomu wiedzy) do własnych horyzontów zawodowych</t>
  </si>
  <si>
    <t>zbyt dużo obowiązków w trakcie studiów</t>
  </si>
  <si>
    <t>socjologia licencjat + III stopień</t>
  </si>
  <si>
    <t>w trakcie pisania doktoratu</t>
  </si>
  <si>
    <t>217.172.228.141</t>
  </si>
  <si>
    <t>2020-05-12 08:52:32</t>
  </si>
  <si>
    <t>2020-05-12 08:52:43</t>
  </si>
  <si>
    <t>Nie (zakończenie ankiety)</t>
  </si>
  <si>
    <t>2020-05-12 22:15:11</t>
  </si>
  <si>
    <t>2020-05-12 22:15:18</t>
  </si>
  <si>
    <t>5.173.194.58</t>
  </si>
  <si>
    <t>2020-05-13 16:46:26</t>
  </si>
  <si>
    <t>2020-05-13 16:59:27</t>
  </si>
  <si>
    <t>rozpoczęcie studium doktoranckiego - od razu po studiach, pierwsze zatrudnienie - po 5 roku studium doktoranckiego</t>
  </si>
  <si>
    <t>wzbudzenie ciekawości studiowanymi zagadnieniami, zdobycie umiejętności miękkich</t>
  </si>
  <si>
    <t>wymagający, jednocześnie serdeczni prowadzący zajęcia, przyjaciele z kierunku</t>
  </si>
  <si>
    <t>perspektywa trudności znalezienia ciekawej pracy</t>
  </si>
  <si>
    <t>prowadzący zajęć będący praktykami w swojej dziedzinie, proporcja zajęć teoretycznej i zajęć praktycznych na korzyść zajęć praktycznych, kontakt z przemysłem</t>
  </si>
  <si>
    <t>dobry kontakt z prowadzącymi zajęcia</t>
  </si>
  <si>
    <t>przeczucie obniżania wymagań, przeczucie robienia swego rodzaju biznesu na studentach - liczy się ilość osób, a nie jakoś usług</t>
  </si>
  <si>
    <t>ukończone studium doktoranckie z tytułem doktora nauk chemicznych, studium pedagogiczne, studia podyplomowe z pedagogiki przedszkolnej i wczesnoszkolnej</t>
  </si>
  <si>
    <t>5.173.220.204</t>
  </si>
  <si>
    <t>http://m.facebook.com/</t>
  </si>
  <si>
    <t>2020-05-13 21:23:39</t>
  </si>
  <si>
    <t>2020-05-13 21:49:13</t>
  </si>
  <si>
    <t xml:space="preserve">Chemia biologiczna </t>
  </si>
  <si>
    <t xml:space="preserve">Umiejętność pracy w zespole </t>
  </si>
  <si>
    <t>Duza ilość zajęć praktycznych, laboratoryjnych</t>
  </si>
  <si>
    <t xml:space="preserve">Nie logiczny rozklad zajęć </t>
  </si>
  <si>
    <t xml:space="preserve">Współpraca z pracodawcami </t>
  </si>
  <si>
    <t xml:space="preserve">Praktyki studenckie </t>
  </si>
  <si>
    <t xml:space="preserve">Program edukacyjny nie dostosowany do potrzeb rynku pracy </t>
  </si>
  <si>
    <t xml:space="preserve">Policealne, podyplomowe </t>
  </si>
  <si>
    <t>83.23.251.31</t>
  </si>
  <si>
    <t>2020-05-13 21:29:42</t>
  </si>
  <si>
    <t>178.235.178.16</t>
  </si>
  <si>
    <t>2020-05-13 21:55:55</t>
  </si>
  <si>
    <t>78.31.153.127</t>
  </si>
  <si>
    <t>https://www.facebook.com/</t>
  </si>
  <si>
    <t>2020-05-14 08:44:40</t>
  </si>
  <si>
    <t>2020-05-14 08:44:54</t>
  </si>
  <si>
    <t>156.17.106.1</t>
  </si>
  <si>
    <t>2020-05-14 12:15:18</t>
  </si>
  <si>
    <t>2020-05-14 13:45:56</t>
  </si>
  <si>
    <t>Państwowa Wyższa Szkoła Sztuk Plastycznych we Wrocławiu ocecnie Akademia Sztuk Pięknych im. E. Gepperta we Wrocławiu</t>
  </si>
  <si>
    <t>malarstwo</t>
  </si>
  <si>
    <t>po 3 miesiącach</t>
  </si>
  <si>
    <t>jestem wszechstronnie wykwalifikowanym artystą plastykiem</t>
  </si>
  <si>
    <t>miasto, uczelnia, środowisko, dydaktycy</t>
  </si>
  <si>
    <t>brak</t>
  </si>
  <si>
    <t>Tak (kontynuowanie badania pracowników administracyjnych)</t>
  </si>
  <si>
    <t>ASP we Wrocławiu</t>
  </si>
  <si>
    <t>Wydział Malarstwa i Rzeźby</t>
  </si>
  <si>
    <t>wszechstronne doświadczenie</t>
  </si>
  <si>
    <t>ASP</t>
  </si>
  <si>
    <t>MiRz</t>
  </si>
  <si>
    <t>wszechstronne wykształcenie</t>
  </si>
  <si>
    <t>Rektor / prorektor</t>
  </si>
  <si>
    <t>w uczelniach artystycznych nie występuje</t>
  </si>
  <si>
    <t>poziom oceny parametrycznej, dotacja budżetowa</t>
  </si>
  <si>
    <t>wysokość stypendiów studenckich i pomocy socjalnej</t>
  </si>
  <si>
    <t>duże miasto powiatowe</t>
  </si>
  <si>
    <t>94.42.33.80</t>
  </si>
  <si>
    <t>https://l.facebook.com/</t>
  </si>
  <si>
    <t>2020-05-15 18:54:24</t>
  </si>
  <si>
    <t>2020-05-15 19:12:19</t>
  </si>
  <si>
    <t>UKSW</t>
  </si>
  <si>
    <t>TEOLOGIA</t>
  </si>
  <si>
    <t>1 MIESIĄC</t>
  </si>
  <si>
    <t>łatwiejsze dostosowanie słownictwa do odpowiedniej grupy wiekowej</t>
  </si>
  <si>
    <t>Forma zaliczeń, rodzaj studiów,</t>
  </si>
  <si>
    <t xml:space="preserve">brak przerw miedzy wykładami </t>
  </si>
  <si>
    <t>podejście wykładowcy, przepływ informacji</t>
  </si>
  <si>
    <t>podejście wykładowcy i jego zaangażowanie</t>
  </si>
  <si>
    <t xml:space="preserve">przepływ informacji, zmianowość </t>
  </si>
  <si>
    <t xml:space="preserve">technik masażysta, nauczyciel </t>
  </si>
  <si>
    <t>2020-05-15 20:28:50</t>
  </si>
  <si>
    <t>188.147.103.62</t>
  </si>
  <si>
    <t>2020-05-15 20:45:33</t>
  </si>
  <si>
    <t>Tak (kontynuacja badania studentów)</t>
  </si>
  <si>
    <t>89.66.158.1</t>
  </si>
  <si>
    <t>2020-05-15 21:18:13</t>
  </si>
  <si>
    <t>wokalistyka, specjalność musical</t>
  </si>
  <si>
    <t>przed ukończeniem studiów</t>
  </si>
  <si>
    <t>utrzymanie się na rynku pracy i wygrywanie castingów</t>
  </si>
  <si>
    <t>dobry kontakt z uczelnią i umiejętność dostosowania się do potrzeb rynkowych, dokształcanie pedagogów zgodnie z rozwijającym się rynkiem</t>
  </si>
  <si>
    <t xml:space="preserve">niskie kompetencje pedagogów, niedostosowany grafik zajęć, mało praktyki (na kierunku praktycznym) </t>
  </si>
  <si>
    <t>IV</t>
  </si>
  <si>
    <t>37.47.224.76</t>
  </si>
  <si>
    <t>2020-05-15 21:46:08</t>
  </si>
  <si>
    <t>2020-05-15 22:03:27</t>
  </si>
  <si>
    <t>Gdański Uniwersytet Medyczny</t>
  </si>
  <si>
    <t>Fizjoterapia</t>
  </si>
  <si>
    <t xml:space="preserve">Przydatna i praktyczna wiedza na całe życie </t>
  </si>
  <si>
    <t>Wiedza, ciekawe zajęcia, ludzie</t>
  </si>
  <si>
    <t>Na magisterkę niekiedy te same prezentacje i wykłady co na licencjacie</t>
  </si>
  <si>
    <t>Wymagania, wykładowcy z wiedzą i charyzmą do ksztalcenia</t>
  </si>
  <si>
    <t xml:space="preserve">Nabycie niezbędnych umiejętności do wykonywania zawodu, zajęcia praktyczne </t>
  </si>
  <si>
    <t>Brak ciekawych zajęć</t>
  </si>
  <si>
    <t>185.6.30.201</t>
  </si>
  <si>
    <t>2020-05-15 22:08:10</t>
  </si>
  <si>
    <t>5.173.179.76</t>
  </si>
  <si>
    <t>2020-05-16 00:56:59</t>
  </si>
  <si>
    <t>188.147.106.54</t>
  </si>
  <si>
    <t>2020-05-16 07:27:08</t>
  </si>
  <si>
    <t>192.166.202.46</t>
  </si>
  <si>
    <t>2020-05-16 15:39:07</t>
  </si>
  <si>
    <t>2020-05-16 17:32:39</t>
  </si>
  <si>
    <t>Uniwersytet Jagielloński</t>
  </si>
  <si>
    <t>filologia polska</t>
  </si>
  <si>
    <t>zupełna zmiana myślenia o świecie, poszerzenie horyzontów, nabranie szeregu umiejętności charakteryzujących filologa: formułowania myśli, pogłębionego czytania, sprawnego tworzenia i redagowania tekstów.</t>
  </si>
  <si>
    <t>elastyczny program studiów, dobrze wybrany kierunek, ciekawe zajęcia i wykłady, możliwości rozwoju na uczelni poza zajęciami</t>
  </si>
  <si>
    <t>olbrzymi materiał - przede wszystkim lekturowy, czasami gorszy prowadzący (np. prowadzący wykłady zamiast ćwiczeń)</t>
  </si>
  <si>
    <t>Biuro Prasowe</t>
  </si>
  <si>
    <t>Możliwość uczenia się poprzez pracę w doświadczonych zespołach, możliwość współpracy międzynarodowej i z dużymi partnerami</t>
  </si>
  <si>
    <t>dobór kadry, za prestiżem często idą finanse na badania naukowe, a więc jakość i ilośc badań naukowych</t>
  </si>
  <si>
    <t>poczucie i wielokrotne zawodowe dowody uzyskania dobrego wykształcenia oraz fakt otrzymania pracy dzięki działalności podjętej na studiach</t>
  </si>
  <si>
    <t>mocne zhierarchizowanie uczelni utrudniające czasem działalność poza zajęciami i uzyskanie odpowiedniego wsparcia</t>
  </si>
  <si>
    <t>dyplom studiów podyplomowych</t>
  </si>
  <si>
    <t>kolejne studia podyplomowe</t>
  </si>
  <si>
    <t>2020-05-16 16:44:45</t>
  </si>
  <si>
    <t>5.173.72.244</t>
  </si>
  <si>
    <t>2020-05-16 16:50:05</t>
  </si>
  <si>
    <t>2020-05-16 16:58:15</t>
  </si>
  <si>
    <t>Filologia polska</t>
  </si>
  <si>
    <t>4 lata - chciałabym dostać pracę na uczelni po studiach doktoranckich.</t>
  </si>
  <si>
    <t>Poszerzenia wiedzy z zakresu literaturoznawstwa i kompetencji badawczych, np. umiejętność pisania artykułów, a także kompetencji organizacyjnych, np. w zakresie organizacji konferencji naukowych, wydarzeń kulturalnych.</t>
  </si>
  <si>
    <t>wykładowcy, oferta przedmiotów, miejsce - zabytkowe budynki w centrum Krakowa, atmosfera na Wydziale, wydarzenia organizowane przez koła naukowe</t>
  </si>
  <si>
    <t>Brak. Jestem całkowicie zadowolona z moich studiów.</t>
  </si>
  <si>
    <t>Licencjackie również ukończyłam na tej samej uczelni i kierunku.</t>
  </si>
  <si>
    <t>Drugi semestr V roku</t>
  </si>
  <si>
    <t>Kadra naukowa, oferta przedmiotów, przyjmowani studenciKadra naukowa</t>
  </si>
  <si>
    <t>Wykładowcy, możliwość stworzenia własnego programu studiów</t>
  </si>
  <si>
    <t>Ukończone studia licencjackie, również na filologii polskiej</t>
  </si>
  <si>
    <t>Przerwałam studia na filologii francuskiej</t>
  </si>
  <si>
    <t>83.27.175.86</t>
  </si>
  <si>
    <t>2020-05-16 16:50:07</t>
  </si>
  <si>
    <t>2020-05-16 17:31:54</t>
  </si>
  <si>
    <t>filologia polska, nauczycielska</t>
  </si>
  <si>
    <t>to zależy w dużej mierze od sytuacji w szkołach, czy będą miejsca dla nauczycieli</t>
  </si>
  <si>
    <t>dobra kadra profesorska, ciekawe przedmioty</t>
  </si>
  <si>
    <t xml:space="preserve">nie do końca dobrze przemyślany program studiów, ideologiczne wtręty niektórych prowadzących, </t>
  </si>
  <si>
    <t xml:space="preserve">10 </t>
  </si>
  <si>
    <t>czasem kwestia tego, czy jest to uczelnia prywatna lub publiczna; zajęte miejsca w konkursach</t>
  </si>
  <si>
    <t xml:space="preserve">zaangażowani profesorowie, </t>
  </si>
  <si>
    <t>nachalne angażowanie się w politykę i agitacje ideologiczne</t>
  </si>
  <si>
    <t>wieś</t>
  </si>
  <si>
    <t>37.47.81.77</t>
  </si>
  <si>
    <t>2020-05-16 16:50:46</t>
  </si>
  <si>
    <t>2020-05-16 17:02:35</t>
  </si>
  <si>
    <t>Polonistyka spec. nauczycielska</t>
  </si>
  <si>
    <t>Wiedzą, która można wykorzystać w pracy, wykształcone umiejętności</t>
  </si>
  <si>
    <t>Przyjazna atmosfera, zagadnienia przekazywane w sposób klarowny i adekwatny do wymagań.</t>
  </si>
  <si>
    <t>Ogrom materiału w bardzo krótkim czasie praktycznie niemożliwy do samodzielnego przerobienia całości (liczba lektur)</t>
  </si>
  <si>
    <t>Wyrozumiała ale kompetentna kadra pracowników naukowych</t>
  </si>
  <si>
    <t>Sposób przekazania wiedzy w sposób taki, że nawet po upływie czasu wiele rzeczy wciąż się pamięta.</t>
  </si>
  <si>
    <t xml:space="preserve">Biurokracja uczelniana, słaby obieg informacji, sztuczne zawyżanie poziomu egzaminami mającymi "ulać" studenta, a nie sprawdzać wiedzę czy umiejętności. </t>
  </si>
  <si>
    <t>Wyłącznie ukończony kurs przewodnicki (oprowadzanie grup po Zamku Królewskim na Wawelu)</t>
  </si>
  <si>
    <t xml:space="preserve">Żadne </t>
  </si>
  <si>
    <t>89.64.39.199</t>
  </si>
  <si>
    <t>2020-05-16 16:51:52</t>
  </si>
  <si>
    <t>188.147.100.7</t>
  </si>
  <si>
    <t>2020-05-16 17:08:00</t>
  </si>
  <si>
    <t>83.26.246.110</t>
  </si>
  <si>
    <t>2020-05-16 17:14:34</t>
  </si>
  <si>
    <t>polonistyka - krytyka literacka</t>
  </si>
  <si>
    <t>kontakty, znajomości, możliwość kontynuowania edukacji na doktoracie</t>
  </si>
  <si>
    <t>kompetencja pracowników uniwersytetu</t>
  </si>
  <si>
    <t>niekompetencja studentów na kierunku</t>
  </si>
  <si>
    <t>kadra naukowa, zróżnicowanie oferty edukacyjnej</t>
  </si>
  <si>
    <t xml:space="preserve">poczucie rozwoju </t>
  </si>
  <si>
    <t>skomplikowana administracja</t>
  </si>
  <si>
    <t>licencjat z polonistyki i absolutorium z komunikacji wizerunkowej na Uniwersytecie Wrocławskim</t>
  </si>
  <si>
    <t>studia w Szkole Doktorskiej Nauk Humanistycznych Uniwersytetu Jagiellońskiego</t>
  </si>
  <si>
    <t>31.182.177.36</t>
  </si>
  <si>
    <t>2020-05-16 17:09:17</t>
  </si>
  <si>
    <t>2020-05-16 17:16:21</t>
  </si>
  <si>
    <t>Nauczanie języka polskiego jako obcego</t>
  </si>
  <si>
    <t>Od razu po ukończeniu studiów.</t>
  </si>
  <si>
    <t>Kontynuacja na studiach doktoranckich</t>
  </si>
  <si>
    <t>Zgodność z zainteresowaniami.</t>
  </si>
  <si>
    <t>Wydział Polonistyki</t>
  </si>
  <si>
    <t>Finansowanie, kadra naukowa, prestiż (lepsi studenci)</t>
  </si>
  <si>
    <t>Nauczane treści, możliwość nawiązania znajomości</t>
  </si>
  <si>
    <t>Studia doktoranckie</t>
  </si>
  <si>
    <t>46.174.3.158</t>
  </si>
  <si>
    <t>2020-05-16 17:14:38</t>
  </si>
  <si>
    <t>77.115.155.100</t>
  </si>
  <si>
    <t>http://m.facebook.com</t>
  </si>
  <si>
    <t>2020-05-16 17:14:59</t>
  </si>
  <si>
    <t>213.189.39.230</t>
  </si>
  <si>
    <t>2020-05-16 17:18:10</t>
  </si>
  <si>
    <t>2020-05-16 17:22:53</t>
  </si>
  <si>
    <t>Praca przed ukończeniem studiów</t>
  </si>
  <si>
    <t>Kadra naukowa, otoczenie, moja grupa na roku, oferta naukowa.</t>
  </si>
  <si>
    <t>-</t>
  </si>
  <si>
    <t>VI</t>
  </si>
  <si>
    <t>Poziom nauczania, poziom kadry</t>
  </si>
  <si>
    <t>Pisałam w części I</t>
  </si>
  <si>
    <t>Ukończone gimnazjum i liceum ogółnokształcące.</t>
  </si>
  <si>
    <t>Psychologia stosowana na UJ - przerwana po II latach</t>
  </si>
  <si>
    <t>5.173.41.1</t>
  </si>
  <si>
    <t>2020-05-16 17:25:00</t>
  </si>
  <si>
    <t>5.173.40.129</t>
  </si>
  <si>
    <t>2020-05-16 17:26:33</t>
  </si>
  <si>
    <t xml:space="preserve">Czy ktoś w ogóle jest w stanie to przewidzieć? Nie mam pojęcia. </t>
  </si>
  <si>
    <t xml:space="preserve">rozwoju osobistego, społecznego, naukowego </t>
  </si>
  <si>
    <t>grupa zajęciowa chętna do współpracy, życzliwość wykładowców (czynnik społeczny), wyposażenie uczelni oraz biblioteki (czynnik ekonomiczny);</t>
  </si>
  <si>
    <t>niesprawiedliwe ocenianie, nieprzekładalność włożonego wysiłku i pracy w oceny końcowe</t>
  </si>
  <si>
    <t xml:space="preserve">VI </t>
  </si>
  <si>
    <t>178.235.180.239</t>
  </si>
  <si>
    <t>https://m.facebook.com/</t>
  </si>
  <si>
    <t>2020-05-16 17:30:36</t>
  </si>
  <si>
    <t>109.207.109.47</t>
  </si>
  <si>
    <t>2020-05-16 17:47:17</t>
  </si>
  <si>
    <t>2020-05-16 18:01:13</t>
  </si>
  <si>
    <t>Uniwersytet Ekonomiczny w Katowicach</t>
  </si>
  <si>
    <t>Ekonomia</t>
  </si>
  <si>
    <t>większa wiedza ekonomiczna</t>
  </si>
  <si>
    <t>ciekawe zajęcia, oparte na życiowych przykładach</t>
  </si>
  <si>
    <t>wykłady dyktowane z kartki lub przentacji</t>
  </si>
  <si>
    <t>kadra naukowa (doświadczeni wykładowcy)</t>
  </si>
  <si>
    <t>dobra praca</t>
  </si>
  <si>
    <t>brak bezpośrednich korzyści finansowych w związku z ukończeniem studiów</t>
  </si>
  <si>
    <t>Tytuł Licencjata na Uniwersytecie Śląskim</t>
  </si>
  <si>
    <t>5.173.27.250</t>
  </si>
  <si>
    <t>2020-05-16 18:03:00</t>
  </si>
  <si>
    <t xml:space="preserve">Uniwersytet Kazimierza Wielkiego w Bydgoszczy </t>
  </si>
  <si>
    <t xml:space="preserve">Historia </t>
  </si>
  <si>
    <t>3,5 roki</t>
  </si>
  <si>
    <t xml:space="preserve">Promocja mojego konkursu </t>
  </si>
  <si>
    <t>Ambicja</t>
  </si>
  <si>
    <t>Jednolite magisterskie</t>
  </si>
  <si>
    <t>87.239.222.224</t>
  </si>
  <si>
    <t>2020-05-16 18:04:21</t>
  </si>
  <si>
    <t>2020-05-16 18:16:52</t>
  </si>
  <si>
    <t>polonistyka</t>
  </si>
  <si>
    <t>kontakty</t>
  </si>
  <si>
    <t xml:space="preserve">miła kadra (niekiedy), </t>
  </si>
  <si>
    <t>traktowanie studentów jak idiotów, przestarzały program</t>
  </si>
  <si>
    <t>6 semestr</t>
  </si>
  <si>
    <t>innowacyjność, dobry kontakt między studentami a wykładowcami, ciekawy program</t>
  </si>
  <si>
    <t>niektórzy wykładowcy</t>
  </si>
  <si>
    <t>biurokracja, antystudencka kadra, brak szacunku</t>
  </si>
  <si>
    <t>37.47.79.40</t>
  </si>
  <si>
    <t>2020-05-16 18:06:57</t>
  </si>
  <si>
    <t>178.42.28.183</t>
  </si>
  <si>
    <t>2020-05-16 18:19:47</t>
  </si>
  <si>
    <t>83.26.176.108</t>
  </si>
  <si>
    <t>2020-05-16 18:25:14</t>
  </si>
  <si>
    <t>2020-05-16 18:31:41</t>
  </si>
  <si>
    <t>Kulturoznawstwo, teksty kultury</t>
  </si>
  <si>
    <t>nie planuję pracować w zawodzie związanym z kierunkiem moich studiów</t>
  </si>
  <si>
    <t>ciekawa tematyka, merytoryczne podejście</t>
  </si>
  <si>
    <t>zbyt duża ilość wymaganej pracy samodzielnej</t>
  </si>
  <si>
    <t>profesjonalna kadra</t>
  </si>
  <si>
    <t>zdobyta wiedza</t>
  </si>
  <si>
    <t>niekompetentni prowadzący</t>
  </si>
  <si>
    <t>kurs instruktorki hipoterapii</t>
  </si>
  <si>
    <t>95.40.57.152</t>
  </si>
  <si>
    <t>2020-05-16 18:31:20</t>
  </si>
  <si>
    <t>37.47.66.52</t>
  </si>
  <si>
    <t>2020-05-16 18:32:05</t>
  </si>
  <si>
    <t>2020-05-17 11:34:47</t>
  </si>
  <si>
    <t>Polonistyka</t>
  </si>
  <si>
    <t>Pracę otrzymałam dwa tygodnie przed obrona tytułu magistra</t>
  </si>
  <si>
    <t>Wybór zajęć, ciekawe zajęcia, kompetentni wykładowcy.</t>
  </si>
  <si>
    <t>Nadmiar materiału oraz wykładowcy, którzy nie wykonywali swoich obowiązków; biurokracja.</t>
  </si>
  <si>
    <t>Poziom nauczania, wykładowcy.</t>
  </si>
  <si>
    <t>Zdobyta podczas niektórych zajęć wiedza, z której korzystam do dziś.</t>
  </si>
  <si>
    <t>Brak pomocy promotora podczas pisania pracy magisterskiej i obrony; zajęcia, które okazały się niepotrzebne.</t>
  </si>
  <si>
    <t>Ukończyłam studia podyplomowe z logopedii</t>
  </si>
  <si>
    <t>Studia podyplomowe z oligofrenopedagogiki</t>
  </si>
  <si>
    <t>37.47.73.122</t>
  </si>
  <si>
    <t>2020-05-16 18:36:00</t>
  </si>
  <si>
    <t>2020-05-16 18:45:11</t>
  </si>
  <si>
    <t>Edytorstwo</t>
  </si>
  <si>
    <t>Możliwość kontynuowania kariery naukowej</t>
  </si>
  <si>
    <t>Wsparcie kadry akademickiej</t>
  </si>
  <si>
    <t>Kontynuowanie studiów przez osoby zupełnie niezaangażowane intelektualnie, co wpływa na jakość dyskusji</t>
  </si>
  <si>
    <t>Próg punktowy na etapie rekrutacji, jakość pracy kół naukowych, możliwość rozwoju naukowego (uczestniczenie w grantach, konferencjach), indywidualizacja kształcenia</t>
  </si>
  <si>
    <t>Pomoc ze strony pracowników naukowych i dydaktycznych</t>
  </si>
  <si>
    <t>Utrudnianie kontynuowania badań interdyscyplinarnych</t>
  </si>
  <si>
    <t>kurs pedagogiczny w ramach bloku pedagogicznego realizowanego dodatkowo (druga specjalność)</t>
  </si>
  <si>
    <t>159.205.73.175</t>
  </si>
  <si>
    <t>2020-05-16 18:50:31</t>
  </si>
  <si>
    <t>2020-05-16 19:00:26</t>
  </si>
  <si>
    <t>Język polski w komunikacji społecznej</t>
  </si>
  <si>
    <t xml:space="preserve">Halo, to UJ! </t>
  </si>
  <si>
    <t xml:space="preserve">Uczelnia powinna trzymać większy rygor nad jednostkami między wydziałowymi, takimi jak Jagiellońskie Centrum Językowe, ponieważ chyba dawno ktokolwiek przestał je kontrolować po kontem tego jak zachowują się w stosunku do studentów. </t>
  </si>
  <si>
    <t xml:space="preserve">Prestiż w opinii społecznej, rozpoznawalność na arenie międzynarodowej, stanowiska absolwentów. </t>
  </si>
  <si>
    <t xml:space="preserve">Zaangażowanie wykładowców, którzy są najlepszymi ekspertami w sewoich dziedzinach. </t>
  </si>
  <si>
    <t xml:space="preserve">Działanie jednostek międzywydziałowych. </t>
  </si>
  <si>
    <t>II</t>
  </si>
  <si>
    <t xml:space="preserve">Ukończone LO na akademickim profilu humanistycznym pod patronatem UAM. </t>
  </si>
  <si>
    <t xml:space="preserve">Studia na kierunku amerykanistyka. </t>
  </si>
  <si>
    <t>83.20.242.8</t>
  </si>
  <si>
    <t>2020-05-16 19:19:19</t>
  </si>
  <si>
    <t>89.76.190.130</t>
  </si>
  <si>
    <t>2020-05-16 19:33:46</t>
  </si>
  <si>
    <t>176.115.247.196</t>
  </si>
  <si>
    <t>2020-05-16 20:14:51</t>
  </si>
  <si>
    <t>UJ</t>
  </si>
  <si>
    <t>Polonistyka antropologiczno-kulturowa</t>
  </si>
  <si>
    <t>Zamierzam uzyskać je jeszcze przed ukończeniem studiów.</t>
  </si>
  <si>
    <t>Umiejętności które można zdobyć podczas studiów są zbyt szerokim i indywidualnym tematem żeby je tu omówić.</t>
  </si>
  <si>
    <t>Trafny wybór kierunku i swoboda w wyborze dróg rozwoju.</t>
  </si>
  <si>
    <t>EPIDEMIA</t>
  </si>
  <si>
    <t>89.186.19.145</t>
  </si>
  <si>
    <t>2020-05-16 20:34:54</t>
  </si>
  <si>
    <t>2020-05-16 20:44:05</t>
  </si>
  <si>
    <t>Międzywydziałowe Indywidualne Studia Humanistyczne</t>
  </si>
  <si>
    <t>Różnorodność dostępnych zajęć, zapoznanie z ciekawymi materiałami, poznanie przedstawicieli mediów, organizacji pozarządowych itp.</t>
  </si>
  <si>
    <t>Poziom nauczania na niektórych kierunkach, niski poziom wymagań, stosowanie przestarzałych teorii i paradygmatów naukowych</t>
  </si>
  <si>
    <t xml:space="preserve">Uczelnie lepsze rozwijają ię także na polu badań naukowych, nie tylko dydaktyki, nauczają z wykorzystaniem nowych metod i teorii, zatrudniają specjalistów, którzy praktykują zawód poza uczelnią </t>
  </si>
  <si>
    <t>Ludzie, których poznaję, zdobyta wiedza</t>
  </si>
  <si>
    <t>Zbyt niski poziom wymagań, przestarzałość części nauczanego materiału</t>
  </si>
  <si>
    <t>83.7.188.197</t>
  </si>
  <si>
    <t>2020-05-16 20:41:47</t>
  </si>
  <si>
    <t>185.233.26.5</t>
  </si>
  <si>
    <t>2020-05-16 20:50:56</t>
  </si>
  <si>
    <t>2020-05-16 21:03:46</t>
  </si>
  <si>
    <t>2013 (magisterium); 2019 (doktorat)</t>
  </si>
  <si>
    <t>Polonistyka; doktorat w zakresie językoznawstwa</t>
  </si>
  <si>
    <t>Po uzyskaniu stopnia doktora od razu zostałam zatrudniona.</t>
  </si>
  <si>
    <t>Stypendia, kompetentna kadra naukowa.</t>
  </si>
  <si>
    <t>Duże wymagania na studiach I i II stopnia.</t>
  </si>
  <si>
    <t>Studia III stopnia</t>
  </si>
  <si>
    <t>Jakość prowadzonych badań, wykwalifikowana kadra naukowa.</t>
  </si>
  <si>
    <t>Jw.</t>
  </si>
  <si>
    <t>Rozbudowana biurokracja. Rozumiem jednak, że jest ona konieczna w tak dużej jednostce; Ciągle zmiany zasad ewaluacji pracowników naukowych – jednak na nie nie ma wpływu uniwersytet, ale MNiSW.</t>
  </si>
  <si>
    <t>188.146.226.232</t>
  </si>
  <si>
    <t>2020-05-16 21:47:06</t>
  </si>
  <si>
    <t>2020-05-16 21:54:49</t>
  </si>
  <si>
    <t>Zadne</t>
  </si>
  <si>
    <t>Ciekawe informacje kulturowe</t>
  </si>
  <si>
    <t>USOS!!!! CALA INSTYTUCJA</t>
  </si>
  <si>
    <t>Prestiż czyli postrzeganie uczelni przez innych</t>
  </si>
  <si>
    <t>Nic</t>
  </si>
  <si>
    <t>Podejście do studenta jako do osoby, która nic nie potrafi i jest nieudacznikiem</t>
  </si>
  <si>
    <t>37.47.91.133</t>
  </si>
  <si>
    <t>2020-05-16 22:12:45</t>
  </si>
  <si>
    <t>188.147.40.154</t>
  </si>
  <si>
    <t>2020-05-16 23:43:34</t>
  </si>
  <si>
    <t>2020-05-16 23:56:24</t>
  </si>
  <si>
    <t xml:space="preserve">Uniwersytet Jagielloński </t>
  </si>
  <si>
    <t xml:space="preserve">Umowę o pracy nauczyciela podpisałam w maju lub czerwcu, pracę podjęłam we wrześniu, wtedy zyskałam tytuł magistra. </t>
  </si>
  <si>
    <t xml:space="preserve">Elastyczność, kreatywność, samodzielność. </t>
  </si>
  <si>
    <t xml:space="preserve">Wysoki poziom zajęć, kompetentni i w większości przyjaźni prowadzący. </t>
  </si>
  <si>
    <t xml:space="preserve">Zbyt duża presja, ogromny stres podczas egzaminów, konieczność łączenia nauki z pracą dotyczą. </t>
  </si>
  <si>
    <t xml:space="preserve">Zbyt niski próg przyjmowania studentów, zbyt mały "odsiew" podczas sesji tych osób, które jedynie prześlizgują się między egzaminami. </t>
  </si>
  <si>
    <t>Ciekawe zajęcia, bardzo kompetentni wykładowcy, renoma uczelni, bardzo duża ilość materiału do opanowania, praktyki studenckie.</t>
  </si>
  <si>
    <t xml:space="preserve">Niektórzy studenci powinni być wydaleni z kierunku ze względu na brak odpowiednio wysokiej wiedzy i umiejętności. </t>
  </si>
  <si>
    <t>31.0.120.158</t>
  </si>
  <si>
    <t>2020-05-17 01:35:59</t>
  </si>
  <si>
    <t>212.87.251.100</t>
  </si>
  <si>
    <t>2020-05-17 10:12:39</t>
  </si>
  <si>
    <t>83.29.163.195</t>
  </si>
  <si>
    <t>2020-05-17 10:13:52</t>
  </si>
  <si>
    <t xml:space="preserve">Jakość przekazywanych treści. </t>
  </si>
  <si>
    <t xml:space="preserve">Nieuprzejmość ze strony sekretarek w dziekanacie. </t>
  </si>
  <si>
    <t>193.34.52.198</t>
  </si>
  <si>
    <t>2020-05-17 11:33:19</t>
  </si>
  <si>
    <t>2020-05-17 12:05:09</t>
  </si>
  <si>
    <t>Uniwersytet Śląski</t>
  </si>
  <si>
    <t>Geologia</t>
  </si>
  <si>
    <t>Praca przed ukończeniem studiów ale nie w zawodzie</t>
  </si>
  <si>
    <t xml:space="preserve">Żadnych. Nie pracuję w zawodzie. </t>
  </si>
  <si>
    <t>Dobra organizacja zajęć, sposób przekazywania wiedzy</t>
  </si>
  <si>
    <t>Nudne schematy prowadzenia zajęć</t>
  </si>
  <si>
    <t xml:space="preserve">To czy pomagają znaleźć praktyki zawodowe. </t>
  </si>
  <si>
    <t>Zrównoważone wymagania odnośnie nauki, odpowiedni ludzie do przekazywania wiedzy</t>
  </si>
  <si>
    <t xml:space="preserve">Brak kontrolowania pracowników. </t>
  </si>
  <si>
    <t>89.66.187.131</t>
  </si>
  <si>
    <t>2020-05-17 15:12:16</t>
  </si>
  <si>
    <t>185.135.2.32</t>
  </si>
  <si>
    <t>2020-05-17 19:03:44</t>
  </si>
  <si>
    <t>188.147.109.77</t>
  </si>
  <si>
    <t>2020-05-18 00:00:06</t>
  </si>
  <si>
    <t>2020-05-18 00:31:14</t>
  </si>
  <si>
    <t>Architektura i Urbanistyka</t>
  </si>
  <si>
    <t>założenie własnej firmy</t>
  </si>
  <si>
    <t>wiedza teoretyczna</t>
  </si>
  <si>
    <t>Ludzie których poznałem, możliwość wyjazdu na erasmusa.</t>
  </si>
  <si>
    <t>Kompletny brak kontaktu z praktyką zawodową, biznesem.</t>
  </si>
  <si>
    <t>Akademia Sztuk Pięknych w Gdańsku</t>
  </si>
  <si>
    <t>Architektura i wzornictwo</t>
  </si>
  <si>
    <t>Rozwój zdolności manualnych, baza kontaktów.</t>
  </si>
  <si>
    <t>Znajomość sztuk projektowych, kontakt z klientem, sprzedaż.</t>
  </si>
  <si>
    <t>Projektowanie, sprzedaż.</t>
  </si>
  <si>
    <t xml:space="preserve">Zakres programu nauczania. Dostęp do praktyk zawodowych. Wyniki studentów w konkursach i prezentacja wybranych projektów uczelni na targach </t>
  </si>
  <si>
    <t>Możliwość zdobywania wiedzy merytorycznej. Możliwości sprawdzenia kilku sposobów nauczania ( korzystając z erasmusa za granicą), Integracja społeczna wśród studentów.</t>
  </si>
  <si>
    <t>Brak praktyk zawodowych. Brak połączenia z biznesem. Brak kursów o wykorzystaniu wiedzy nabytej na uczelni podczas realnej pracy zawodowe lub prowadzenia własnej działalności.</t>
  </si>
  <si>
    <t>stopień doktora</t>
  </si>
  <si>
    <t>Powodzenia;)</t>
  </si>
  <si>
    <t>77.87.0.1</t>
  </si>
  <si>
    <t>https://lm.facebook.com/</t>
  </si>
  <si>
    <t>2020-05-18 09:07:42</t>
  </si>
  <si>
    <t>77.114.146.56</t>
  </si>
  <si>
    <t>2020-05-18 12:27:34</t>
  </si>
  <si>
    <t>87.204.158.96</t>
  </si>
  <si>
    <t>2020-05-19 17:30:42</t>
  </si>
  <si>
    <t>153.19.40.3</t>
  </si>
  <si>
    <t>2020-05-20 11:42:44</t>
  </si>
  <si>
    <t>2020-05-20 11:48:25</t>
  </si>
  <si>
    <t>UG</t>
  </si>
  <si>
    <t>Politologia</t>
  </si>
  <si>
    <t>otwartość umysłu</t>
  </si>
  <si>
    <t>inni ludzie, wykładowcy, kontakty</t>
  </si>
  <si>
    <t>lokalizacja, wykładowcy, tematyka, organizacja studiów</t>
  </si>
  <si>
    <t>PG</t>
  </si>
  <si>
    <t>Centrala</t>
  </si>
  <si>
    <t>prestiż, tradycja akademicka</t>
  </si>
  <si>
    <t>kadra, infrastruktura</t>
  </si>
  <si>
    <t>jakość kształcenia</t>
  </si>
  <si>
    <t>lokalizacja, infrastruktura</t>
  </si>
  <si>
    <t>Dr</t>
  </si>
  <si>
    <t>155.133.45.58</t>
  </si>
  <si>
    <t>https://poczta.interia.pl/</t>
  </si>
  <si>
    <t>2020-05-21 20:01:36</t>
  </si>
  <si>
    <t>2020-05-21 20:09:43</t>
  </si>
  <si>
    <t>Kompozycja</t>
  </si>
  <si>
    <t>powyżej 5000 zł, ale nie więcej niż 6000 zł</t>
  </si>
  <si>
    <t>satysfakcja zawodowa, spełnienie artystyczne</t>
  </si>
  <si>
    <t>porozumienie z pedagogiem</t>
  </si>
  <si>
    <t>rywalizacja, niska jakość kształcenia</t>
  </si>
  <si>
    <t>Semestr II, MSU</t>
  </si>
  <si>
    <t>Filologia Angielska</t>
  </si>
  <si>
    <t>znajomość języka obcego</t>
  </si>
  <si>
    <t>towarzystwo</t>
  </si>
  <si>
    <t>niska jakość kształcenia, biurokracja</t>
  </si>
  <si>
    <t>jakość kształcenia, nastawienie pedagogów</t>
  </si>
  <si>
    <t>zdolność do satysfakcjonującej pracy w zawodzie</t>
  </si>
  <si>
    <t>nieporozumienie z pedagogiem, zacofanie uczelni</t>
  </si>
  <si>
    <t>studia podyplomowe w zakresie biznesu</t>
  </si>
  <si>
    <t>zagraniczne studium w zakresie kompozycji, studia magisterskie (zarządzanie przedsiębiorstwem)</t>
  </si>
  <si>
    <t>37.47.198.130</t>
  </si>
  <si>
    <t>https://ankietaplus.pl/ankiety/analiza/statystyki/13308</t>
  </si>
  <si>
    <t>2020-05-24 12:31:37</t>
  </si>
  <si>
    <t>2020-05-24 12:58:53</t>
  </si>
  <si>
    <t>AWF Gdańsk</t>
  </si>
  <si>
    <t>Wstęp do dalszego rozwoju, poprzez kursy doskonalące; poznanie świetnych ludzi - przyjaciół; stopień naukowy;</t>
  </si>
  <si>
    <t>dobra atmosfera; otwartość nauczycieli do studentów; szacunek do studentów; możliwości płatnego stażu; bardzo duża ilość praktyk;</t>
  </si>
  <si>
    <t xml:space="preserve">brak organizacji (brak informacji o odwoływanych zajęciach); złe warunki lokalowe; </t>
  </si>
  <si>
    <t>Wychowania Fizycznego</t>
  </si>
  <si>
    <t>staże, praktyki</t>
  </si>
  <si>
    <t>GUMed</t>
  </si>
  <si>
    <t>Praktyczne umiejętności, komunikacja z pacjentem, doświadczenie</t>
  </si>
  <si>
    <t>fizjoterapeuci</t>
  </si>
  <si>
    <t>kwalifikacje kadry nauczającej; ilość godzin praktyk; możliwość odbywania staży; dobra atmosfera</t>
  </si>
  <si>
    <t xml:space="preserve">oferta edukacyjne, zajęcia praktyczne; możliwość zdobycia dodatkowych kwalifikacji podczas studiów (np. przygotowanie pedagogiczne); wyjazdy na obozy (np. narciarskie); możliwość udziału w projektach badawczych; </t>
  </si>
  <si>
    <t xml:space="preserve">organizacja; realizacja nieprzydatnych przedmiotów; brak praktyk; niedostosowanie oferty do rynku pracy; </t>
  </si>
  <si>
    <t>psychologia - magisterka; oligofrenopedagogika - kurs kwalifikacyjny (jak studia podyplomowe)</t>
  </si>
  <si>
    <t>&lt;&lt;Burza&gt;&gt;</t>
  </si>
  <si>
    <t>2020-05-24 13:14:21</t>
  </si>
  <si>
    <t>2020-05-24 13:19:54</t>
  </si>
  <si>
    <t>Dziennikarstwo i komunikacja społeczna</t>
  </si>
  <si>
    <t>dobra atmosfera</t>
  </si>
  <si>
    <t>Administracja, Politologia, Marketing internetowy</t>
  </si>
  <si>
    <t>188.146.57.40</t>
  </si>
  <si>
    <t>https://ankietaplus.pl/ankiety/analiza/wyniki-pojedyncze/13308</t>
  </si>
  <si>
    <t>2020-05-24 15:46:34</t>
  </si>
  <si>
    <t>2020-05-24 16:25:58</t>
  </si>
  <si>
    <t>Uniwersytet Warmińsko-Mazurski</t>
  </si>
  <si>
    <t>Geodezja</t>
  </si>
  <si>
    <t>możliwość dalszego rozwoju, znajomości z wartościowymi ludźmi</t>
  </si>
  <si>
    <t>piękne "miasteczko studenckie" z lasami i jeziorami, przyjazna atmosfera na uczelni</t>
  </si>
  <si>
    <t>daleko od miasta rodzinnego i rodziny</t>
  </si>
  <si>
    <t>dofinansowanie uczelni, jakość i ilość sprzętów edukacyjnych, kwalifikacje kadry nauczającej; ilość godzin praktyk; możliwość odbywania stażu</t>
  </si>
  <si>
    <t>zajęcia praktyczne; wykształcona kadra</t>
  </si>
  <si>
    <t>niedostosowanie oferty do rynku pracy, nauczanie przestarzałych metod a brak informacji o nowościach w dziedzinie</t>
  </si>
  <si>
    <t>93.181.131.157</t>
  </si>
  <si>
    <t>https://www.linkedin.com/in/monika-szefler-512480151/</t>
  </si>
  <si>
    <t>2020-05-28 23:06:30</t>
  </si>
  <si>
    <t>2020-05-30 13:57:12</t>
  </si>
  <si>
    <t>2020-05-30 14:25:03</t>
  </si>
  <si>
    <t>Uniwersytet Łódzki</t>
  </si>
  <si>
    <t>0 (nakaz pracy)</t>
  </si>
  <si>
    <t>bardzo dobry profesor z literatury powszechnej (inspirujący, szanujący studentów);</t>
  </si>
  <si>
    <t>słabe przygotowanie do zawodu</t>
  </si>
  <si>
    <t>(niepełne studia magisterskie)</t>
  </si>
  <si>
    <t>ciekawe wykłady; efekty kształcenie są bardzo zależne od zaangażowania ucznia</t>
  </si>
  <si>
    <t>ciekawe wykłady</t>
  </si>
  <si>
    <t>brak odpowiedniego przygotowania do zawodu</t>
  </si>
  <si>
    <t>2020-05-30 14:26:21</t>
  </si>
  <si>
    <t>2020-05-30 15:23:48</t>
  </si>
  <si>
    <t>Biologia</t>
  </si>
  <si>
    <t>dobra atmosfera wśród grupy studentów</t>
  </si>
  <si>
    <t>złe warunki mieszkaniowe</t>
  </si>
  <si>
    <t>uczelnia kształci samodzielność; uczelnia może być dobra, ale decydujące jest podejście studentów - lepsze wyniki osiągają ci którzy mają jasny cel swojej nauki</t>
  </si>
  <si>
    <t>warunki mieszkaniowe w przypadku studentów spoza miejscowości uczelni</t>
  </si>
  <si>
    <t>31.2.121.252</t>
  </si>
  <si>
    <t>2020-06-03 21:29:49</t>
  </si>
  <si>
    <t>2020-06-03 22:25:38</t>
  </si>
  <si>
    <t>techniczne</t>
  </si>
  <si>
    <t>konstruktorzy</t>
  </si>
  <si>
    <t>forma prowadzenia zajęć; programy nauczania</t>
  </si>
  <si>
    <t>obycie społeczne absolwentów</t>
  </si>
  <si>
    <t>brak praktycznego podejścia absolwentów do rozwiązywania problemów</t>
  </si>
  <si>
    <t>studia podyplomowe</t>
  </si>
  <si>
    <t>83.23.239.59</t>
  </si>
  <si>
    <t>2020-06-04 20:57:39</t>
  </si>
  <si>
    <t>2020-06-04 21:52:51</t>
  </si>
  <si>
    <t>Politechnika Gdanska</t>
  </si>
  <si>
    <t>Instytut Okrętowy</t>
  </si>
  <si>
    <t>wiedza techniczna</t>
  </si>
  <si>
    <t>zainteresowanie kierunkiem ,towarzystwo</t>
  </si>
  <si>
    <t>Architektura</t>
  </si>
  <si>
    <t>Wiedza zawodowa</t>
  </si>
  <si>
    <t>Akademia Sztuk Pięknych</t>
  </si>
  <si>
    <t>Architektura Wnętrz</t>
  </si>
  <si>
    <t>trening mózgu, kontakt z ludźmi o podobnych zainteresowaniach</t>
  </si>
  <si>
    <t>zawodowa sprawność absolwenta</t>
  </si>
  <si>
    <t>profesjonalność</t>
  </si>
  <si>
    <t>złe przygotowanie do zawodu</t>
  </si>
  <si>
    <t>nie posiadam</t>
  </si>
  <si>
    <t>nie studiuję</t>
  </si>
  <si>
    <t>5.173.165.128</t>
  </si>
  <si>
    <t>2020-06-06 23:24:32</t>
  </si>
  <si>
    <t>2020-06-06 23:47:01</t>
  </si>
  <si>
    <t xml:space="preserve">Rolnictwo dla absolwentów kierunków nierolniczych </t>
  </si>
  <si>
    <t xml:space="preserve">Uzyskanie uprawnień do posiadania ziemii </t>
  </si>
  <si>
    <t xml:space="preserve">dogodne formy prowadzenia zajęć, bliskość uczelni </t>
  </si>
  <si>
    <t>brak jasnej komunikacji oraz zdolności interpersonalnych u części wykładowców</t>
  </si>
  <si>
    <t>Podyplomowe</t>
  </si>
  <si>
    <t>SGH</t>
  </si>
  <si>
    <t xml:space="preserve">finanse i rachunkowość </t>
  </si>
  <si>
    <t xml:space="preserve">praca przed zakończeniem studiów </t>
  </si>
  <si>
    <t xml:space="preserve">dyplomdobrze wygląda w CV, wysokie kompetencje językowe </t>
  </si>
  <si>
    <t xml:space="preserve">kompetencja wykładowców, kadra z dużym doświadczeniem praktycznym </t>
  </si>
  <si>
    <t>niewielka ilość zajęć praktycznych/ćwiczeń</t>
  </si>
  <si>
    <t xml:space="preserve">studenci, którzy decydują się na uczelnię przyjść, kadra, kontakty uczelni z biznesem </t>
  </si>
  <si>
    <t>możliwości uczelni do stworzenia pomostu pomiędzy studiami a pracą, dostosowanie treści do potrzenych na rynku kompetencji</t>
  </si>
  <si>
    <t xml:space="preserve">niski poziom zajęć, brak możlwiości rozwoju umiejętności praktycznych, niewłasciwej jakości kadra </t>
  </si>
  <si>
    <t>Czersk</t>
  </si>
  <si>
    <t xml:space="preserve">licencjat - studia pedagogiczne </t>
  </si>
  <si>
    <t>81.190.56.54</t>
  </si>
  <si>
    <t>2020-06-08 01:21:10</t>
  </si>
  <si>
    <t>2020-06-08 01:54:01</t>
  </si>
  <si>
    <t>historia</t>
  </si>
  <si>
    <t>poprawa</t>
  </si>
  <si>
    <t>jednolite</t>
  </si>
  <si>
    <t>doktorat - ekonomia</t>
  </si>
  <si>
    <t>2020-06-08 02:14:57</t>
  </si>
  <si>
    <t>2020-06-08 02:50:35</t>
  </si>
  <si>
    <t>architektura</t>
  </si>
  <si>
    <t>praca przed zakończeniem studiów</t>
  </si>
  <si>
    <t>kontakty zawodowe; możliwość wyjazdu za granicę</t>
  </si>
  <si>
    <t>systematyczność, pracowitość, doświadczenie, kreatywność</t>
  </si>
  <si>
    <t>architekci</t>
  </si>
  <si>
    <t>kadra profesorska z praktykami (z doświadczeniem); przygotowanie techniczne</t>
  </si>
  <si>
    <t>2020-06-08 02:53:31</t>
  </si>
  <si>
    <t>2020-06-08 03:20:06</t>
  </si>
  <si>
    <t>budownictwo</t>
  </si>
  <si>
    <t>swoboda pracy ze względu na lepsze (szersze) wykształcenie</t>
  </si>
  <si>
    <t>niestacjonarne (zaoczne) studia 1 stopnia (licencjackie / inżynierskie)</t>
  </si>
  <si>
    <t>Wyższa Szkoła Rolnicza w Olsztynie</t>
  </si>
  <si>
    <t>geodezja</t>
  </si>
  <si>
    <t>2020-06-08 03:21:44</t>
  </si>
  <si>
    <t>2020-06-08 03:45:22</t>
  </si>
  <si>
    <t>Materiałoznawstwo</t>
  </si>
  <si>
    <t>0 (stypendium fundowane)</t>
  </si>
  <si>
    <t>biotechnologia</t>
  </si>
  <si>
    <t>nie pracuje / inne</t>
  </si>
  <si>
    <t>wyższa ocena, większa wiedza</t>
  </si>
  <si>
    <t>37.47.200.70</t>
  </si>
  <si>
    <t>2020-06-16 16:30:27</t>
  </si>
  <si>
    <t>2020-06-16 16:34:42</t>
  </si>
  <si>
    <t>POLITECHNIKA GDAŃSKA</t>
  </si>
  <si>
    <t>MECHANICZNY</t>
  </si>
  <si>
    <t>W TRAKCIE STUDIÓW PRACOWAŁEM</t>
  </si>
  <si>
    <t>ŻADNE</t>
  </si>
  <si>
    <t>ZA DUŻO ZBĘDNYCH PRZEDMIOTÓW</t>
  </si>
  <si>
    <t>POZIOM NAUCZANIA</t>
  </si>
  <si>
    <t>RÓŻNORODNOŚĆ PRZEKAZYWANIA WIEDZY</t>
  </si>
  <si>
    <t>MONOTONNOŚĆ</t>
  </si>
  <si>
    <t>5.173.251.167</t>
  </si>
  <si>
    <t>2020-06-26 21:09:07</t>
  </si>
  <si>
    <t>83.23.232.192</t>
  </si>
  <si>
    <t>2020-06-28 09:50:26</t>
  </si>
  <si>
    <t>2020-06-29 07:07:15</t>
  </si>
  <si>
    <t>1980 stopień magistra</t>
  </si>
  <si>
    <t>filologia angielska</t>
  </si>
  <si>
    <t>12 miesięcy</t>
  </si>
  <si>
    <t>wieksza róznorodność kierunków i oferowanych zajęć</t>
  </si>
  <si>
    <t>znakomici wykladowcy</t>
  </si>
  <si>
    <t>brak dostępu do dobrych publikacji/zbiorów bibliotecznych</t>
  </si>
  <si>
    <t>politologia</t>
  </si>
  <si>
    <t>12 miesiecy</t>
  </si>
  <si>
    <t>rozwój intelektualny</t>
  </si>
  <si>
    <t>psychologia</t>
  </si>
  <si>
    <t>Wydział Filologiczny</t>
  </si>
  <si>
    <t>rozwój umiejętności społecznych</t>
  </si>
  <si>
    <t>możliwość rozwoju społecznego</t>
  </si>
  <si>
    <t>umiejętność pracy naukowej</t>
  </si>
  <si>
    <t>dydaktyka, publikacje naukowe</t>
  </si>
  <si>
    <t>publikacje pracowników w renomowanych czasopismach naukowych</t>
  </si>
  <si>
    <t>możliwość indywidualnego rozwoju i autonomia pracy</t>
  </si>
  <si>
    <t>małe zarobki i konieczność pracy dodatkowej w innych uczelniach</t>
  </si>
  <si>
    <t>dr hab.</t>
  </si>
  <si>
    <t>2020-07-22 10:13:54</t>
  </si>
  <si>
    <t>176.221.122.237</t>
  </si>
  <si>
    <t>2020-07-23 09:43:23</t>
  </si>
  <si>
    <t>2020-07-23 09:50:54</t>
  </si>
  <si>
    <t>Uniwersystet Gdańśki</t>
  </si>
  <si>
    <t>Informatyka z Ekonometrią</t>
  </si>
  <si>
    <t>powyżej 8000 zł, ale nie więcej niż 9000 zł</t>
  </si>
  <si>
    <t>ogolna wiedza z obszaru IT</t>
  </si>
  <si>
    <t>wyklady zwiazane z konkretnimi umiejetnosciami - programowanim, bazami danych, sieciami itp.</t>
  </si>
  <si>
    <t>masa niepotrzebnych przedmiotów tzw "ogolnych"</t>
  </si>
  <si>
    <t>programowanie, sieci, administrowanie systemami</t>
  </si>
  <si>
    <t>testerzy, programisci</t>
  </si>
  <si>
    <t>program nauczania oparty o uczenie praktycznych umiejetnosci np programowanie</t>
  </si>
  <si>
    <t xml:space="preserve"> uczenie praktycznych umiejetnosci np programowanie</t>
  </si>
  <si>
    <t>zbyt duza ilosc wykladów ogolnych, teoretycznych</t>
  </si>
  <si>
    <t>Gdynia</t>
  </si>
  <si>
    <t>wyższe IT</t>
  </si>
  <si>
    <t>wyższe Ekonimia</t>
  </si>
  <si>
    <t>37.47.232.179</t>
  </si>
  <si>
    <t>2020-07-25 20:34:40</t>
  </si>
  <si>
    <t>2020-07-25 20:54:26</t>
  </si>
  <si>
    <t>Filologia romańska</t>
  </si>
  <si>
    <t>Praca przed zakończeniem studiów</t>
  </si>
  <si>
    <t>Samodzielność</t>
  </si>
  <si>
    <t>Improwizacja</t>
  </si>
  <si>
    <t>Brak kreatywności</t>
  </si>
  <si>
    <t>2020-07-26 00:10:40</t>
  </si>
  <si>
    <t>2020-07-26 00:18:16</t>
  </si>
  <si>
    <t>Technik informatyk</t>
  </si>
  <si>
    <t>Licencjat</t>
  </si>
  <si>
    <t>2020-07-26 17:50:58</t>
  </si>
  <si>
    <t>2020-07-26 19:16:58</t>
  </si>
  <si>
    <t>Zarządzanie</t>
  </si>
  <si>
    <t>uzupełniające studia magisterskie (2 letnie)</t>
  </si>
  <si>
    <t>Elbląg</t>
  </si>
  <si>
    <t>historia - magisterskie</t>
  </si>
  <si>
    <t>2020-07-26 19:17:17</t>
  </si>
  <si>
    <t>2020-07-26 19:50:00</t>
  </si>
  <si>
    <t>Uniwersytet Szczeciński</t>
  </si>
  <si>
    <t>przed ukończeniu studiów</t>
  </si>
  <si>
    <t>brak praktyki</t>
  </si>
  <si>
    <t>źle przygotowana kadra</t>
  </si>
  <si>
    <t>lekceważenie studentów; odwoływanie zajęć bez powodu</t>
  </si>
  <si>
    <t>historia - podyplomowe; bibliotekarstwo, ekonomia - policealne studium</t>
  </si>
  <si>
    <t>94.254.160.240</t>
  </si>
  <si>
    <t>https://mail.google.com/mail/u/0/</t>
  </si>
  <si>
    <t>2020-07-30 19:48:52</t>
  </si>
  <si>
    <t>31.60.142.203</t>
  </si>
  <si>
    <t>2020-08-12 21:38:37</t>
  </si>
  <si>
    <t>2020-08-12 22:01:05</t>
  </si>
  <si>
    <t xml:space="preserve">Akademia Ignatianum </t>
  </si>
  <si>
    <t>Pedagogika</t>
  </si>
  <si>
    <t xml:space="preserve">dobra atmosfera; otwartość nauczycieli do studentów; szacunek do studentów; </t>
  </si>
  <si>
    <t>więcej teorii niż praktyki</t>
  </si>
  <si>
    <t>oferta edukacyjne, zajęcia praktyczne; możliwość zdobycia dodatkowych kwalifikacji podczas studiów</t>
  </si>
  <si>
    <t>https://ankietaplus.pl/s/jakoscuczelni1e</t>
  </si>
  <si>
    <t>2020-08-12 22:01:09</t>
  </si>
  <si>
    <t>2020-08-12 22:18:15</t>
  </si>
  <si>
    <t>AWF Kraków</t>
  </si>
  <si>
    <t xml:space="preserve">Wstęp do dalszego rozwoju, poprzez kursy doskonalące; poznanie świetnych ludzi </t>
  </si>
  <si>
    <t>94.254.224.153</t>
  </si>
  <si>
    <t>2020-08-22 17:12:59</t>
  </si>
  <si>
    <t>5.173.136.227</t>
  </si>
  <si>
    <t>2020-08-22 17:39:42</t>
  </si>
  <si>
    <t>2020-08-22 22:39:55</t>
  </si>
  <si>
    <t>uam</t>
  </si>
  <si>
    <t>fizyka</t>
  </si>
  <si>
    <t>bezsensowna produkcja absolwentów</t>
  </si>
  <si>
    <t>wykładowcy</t>
  </si>
  <si>
    <t>5 letnie</t>
  </si>
  <si>
    <t>osobowosc</t>
  </si>
  <si>
    <t>wykonują</t>
  </si>
  <si>
    <t>ilosc studentow</t>
  </si>
  <si>
    <t>31.60.239.15</t>
  </si>
  <si>
    <t>2020-08-23 00:29:13</t>
  </si>
  <si>
    <t>37.30.53.219</t>
  </si>
  <si>
    <t>2020-08-23 10:26:23</t>
  </si>
  <si>
    <t>31.60.243.153</t>
  </si>
  <si>
    <t>2020-08-23 21:05:52</t>
  </si>
  <si>
    <t>2020-08-23 21:27:25</t>
  </si>
  <si>
    <t>Finanse i bankowosc</t>
  </si>
  <si>
    <t>Praca w innej branży po około roku</t>
  </si>
  <si>
    <t xml:space="preserve">Samodzielność,  brak aspektów naukowych </t>
  </si>
  <si>
    <t xml:space="preserve">Nietrafiony wybór studiów </t>
  </si>
  <si>
    <t>Stopień przygotowania absolwenta do pracy</t>
  </si>
  <si>
    <t>Oderwanie teorii od praktyki, nieumiejętność wykształcenia przyszłego dobrego pracownika</t>
  </si>
  <si>
    <t>Kolegium kształcenia nauczycieli języków obcycb</t>
  </si>
  <si>
    <t>37.47.200.181</t>
  </si>
  <si>
    <t>2020-08-23 22:25:51</t>
  </si>
  <si>
    <t>89.64.93.71</t>
  </si>
  <si>
    <t>https://mail.google.com/mail/mu/mp/948/</t>
  </si>
  <si>
    <t>2020-08-23 22:34:02</t>
  </si>
  <si>
    <t>165.225.206.163</t>
  </si>
  <si>
    <t>2020-08-24 07:29:05</t>
  </si>
  <si>
    <t>89.75.91.120</t>
  </si>
  <si>
    <t>2020-08-24 11:15:16</t>
  </si>
  <si>
    <t>37.47.226.16</t>
  </si>
  <si>
    <t>https://mail.yahoo.com/</t>
  </si>
  <si>
    <t>2020-08-24 14:42:23</t>
  </si>
  <si>
    <t>2020-08-24 15:01:50</t>
  </si>
  <si>
    <t xml:space="preserve">Politechnika Krakowska, Politechnika Gdańska </t>
  </si>
  <si>
    <t>1 stopień 2007 (PK), 2 stopień (PG)</t>
  </si>
  <si>
    <t xml:space="preserve">Mechanika i budowa maszyn </t>
  </si>
  <si>
    <t xml:space="preserve">Brak </t>
  </si>
  <si>
    <t>pobieżny sposób przekazywania informacji, brak dostępu do narzędzi, nieistotne przedmioty nie mające żadnego wplywu na naukę chyba że pod kątem marnowania czasu</t>
  </si>
  <si>
    <t>Niestacjonarne 1 i 2 stopnia</t>
  </si>
  <si>
    <t xml:space="preserve">Poziom wiedzy i sposób przekazywania przez prowadzących, otwartość pracowników placówek na innowacyjność i rozwój </t>
  </si>
  <si>
    <t>J.w.</t>
  </si>
  <si>
    <t xml:space="preserve">Brak zaangażowania prowadzących, słaby poziom wiedzy pod kątem nowości technicznych oraz stosowanych aktualnych rozwiązań  i </t>
  </si>
  <si>
    <t>31.0.40.119</t>
  </si>
  <si>
    <t>2020-08-26 21:36:47</t>
  </si>
  <si>
    <t>2020-08-26 22:09:45</t>
  </si>
  <si>
    <t xml:space="preserve">SWPS Sopot </t>
  </si>
  <si>
    <t>Psychologia</t>
  </si>
  <si>
    <t>W miesiącu ukończenia studiów</t>
  </si>
  <si>
    <t>Szeroka wiedza, możliwość pomocy</t>
  </si>
  <si>
    <t>Ciekawe wykłady i zajęcia z praktykami</t>
  </si>
  <si>
    <t>Brak stałych grup na zajeciach</t>
  </si>
  <si>
    <t>Organizacja studiów, ciekawe zajęcia, nastawienie prostudenckie</t>
  </si>
  <si>
    <t xml:space="preserve">Możliwość ciekawej pracy </t>
  </si>
  <si>
    <t xml:space="preserve">Zajęcia w wielu różnych grupach przez co brak silnych znajomosci z okresu studiów </t>
  </si>
  <si>
    <t>Szkolenia i kursy paychoterapeutyczne</t>
  </si>
  <si>
    <t>83.20.239.253</t>
  </si>
  <si>
    <t>2020-08-27 22:16:34</t>
  </si>
  <si>
    <t>WSZiB w Krakowie</t>
  </si>
  <si>
    <t>ZZL</t>
  </si>
  <si>
    <t>zaoczność</t>
  </si>
  <si>
    <t>płatne studia</t>
  </si>
  <si>
    <t>156.67.104.35</t>
  </si>
  <si>
    <t>2020-09-07 11:02:32</t>
  </si>
  <si>
    <t>2020-09-07 11:49:15</t>
  </si>
  <si>
    <t>WSB Gdynia</t>
  </si>
  <si>
    <t>Zarzadzanie</t>
  </si>
  <si>
    <t xml:space="preserve">studia byly zaoczne i pracowalam juz przed i w trakcie studiow </t>
  </si>
  <si>
    <t xml:space="preserve">mozliwosc uzyskania stypednium naukowego </t>
  </si>
  <si>
    <t xml:space="preserve">nizrozumienie ze doba czlowieka na studiach zaocznych ma tylko 24 h i zeby sie utrzymac nie moze opuszczac pracy </t>
  </si>
  <si>
    <t xml:space="preserve">oferta dydaktyczna, wiedza praktyczna a nie tylko teoretyczna, mysle ze najciekawsza bylaby oferta studiow dualnych </t>
  </si>
  <si>
    <t xml:space="preserve">elektronyczny index, plan zajec, mozliwosc kontaktu mailowego z dziekanatem i niektorymi wykladowcami </t>
  </si>
  <si>
    <t xml:space="preserve">trudnosc porozumienia sie z niektorymi wykladowcami, nie jadne reguly </t>
  </si>
  <si>
    <t xml:space="preserve">przerwane studia na PG na wydziale mechanicznym , przerwane studia na WSKS w Gdyni z zakresu pedagogiki </t>
  </si>
  <si>
    <t>91.231.25.170</t>
  </si>
  <si>
    <t>2020-09-07 11:17:46</t>
  </si>
  <si>
    <t>2020-09-07 11:32:08</t>
  </si>
  <si>
    <t>studia zaoczne umożliwiające pracę zawodową</t>
  </si>
  <si>
    <t>w tamtym okresie zbyt mały nacisk na pracę z komuperem</t>
  </si>
  <si>
    <t>Uniwerystet Gdański</t>
  </si>
  <si>
    <t>jjj</t>
  </si>
  <si>
    <t>Przedewszystkim nacisk na umiejętności i wiedzę praktyczną</t>
  </si>
  <si>
    <t>Nauka oparta na praktyce zawodowej, praca nad projektami. Taka wiedza jest przydatna w późniejszej.pracy</t>
  </si>
  <si>
    <t>Niekompetentna kadra</t>
  </si>
  <si>
    <t>5.173.43.199</t>
  </si>
  <si>
    <t>2020-09-14 10:33:36</t>
  </si>
  <si>
    <t>2020-09-14 10:53:42</t>
  </si>
  <si>
    <t>Politechnika Warszawska</t>
  </si>
  <si>
    <t>ogólna znajomość zagadnień z wielu dziedzin inżynierskich i sztuk</t>
  </si>
  <si>
    <t>Wykładowcy praktycy</t>
  </si>
  <si>
    <t>wykładowcy "z przypadku" i problemy z zapisami na bardziej cenione zajęcia</t>
  </si>
  <si>
    <t>Kadra, ludzie z pasją, prawdziwi naukowcy a jednocześnie praktycy</t>
  </si>
  <si>
    <t>kierunek dał szeroką wiedzę z wielu dziedzin - do ew. pogłębienia w przypadku wyboru specjalizacji</t>
  </si>
  <si>
    <t>było mało możliwości do odbywania praktyk w ramach studiów.</t>
  </si>
  <si>
    <t>2020-09-16 09:16:32</t>
  </si>
  <si>
    <t>185.56.174.2</t>
  </si>
  <si>
    <t>2020-09-16 09:37:11</t>
  </si>
  <si>
    <t>2020-09-16 09:43:09</t>
  </si>
  <si>
    <t xml:space="preserve">Możliwość wyboru zajęć </t>
  </si>
  <si>
    <t>Część prowadzących była niekompetentna/nie zaangażowana</t>
  </si>
  <si>
    <t>zaangażowanie kadry, elastyczność programu</t>
  </si>
  <si>
    <t>zdobycie (częściowej) wiedzy i tytułu</t>
  </si>
  <si>
    <t>część kadry nie zainteresowana przekazaniem wiedzy i samodoksztalcaniem, słabo wyposażone sale / zaplecze dla studentów typu modelarnie. pokoje wspólnej pracy</t>
  </si>
  <si>
    <t>2020-09-16 09:39:01</t>
  </si>
  <si>
    <t>PW</t>
  </si>
  <si>
    <t>Wiedzy</t>
  </si>
  <si>
    <t>Warunki studiowania</t>
  </si>
  <si>
    <t>Złe warunki studiowania</t>
  </si>
  <si>
    <t>2020-09-16 09:47:58</t>
  </si>
  <si>
    <t>2020-09-16 10:24:44</t>
  </si>
  <si>
    <t>2020-09-16 11:05:04</t>
  </si>
  <si>
    <t xml:space="preserve">Politechnika Warszawska </t>
  </si>
  <si>
    <t>architektura i urbanistyka</t>
  </si>
  <si>
    <t xml:space="preserve">natychmiast </t>
  </si>
  <si>
    <t xml:space="preserve">odpowiedzialnośc, szerokie wykształcenie humanistyczne </t>
  </si>
  <si>
    <t xml:space="preserve">przedmioty artystyczne, historia architektury </t>
  </si>
  <si>
    <t xml:space="preserve">brak kompetencji osób nie związanych z tworczością architektoniczną , które uczyły projektowania architektonicznego i urbanistycznego </t>
  </si>
  <si>
    <t xml:space="preserve">Akademia Medyczna </t>
  </si>
  <si>
    <t xml:space="preserve">Wydział lekarski </t>
  </si>
  <si>
    <t xml:space="preserve">3 miesiące , rezydentura </t>
  </si>
  <si>
    <t xml:space="preserve">doświadczenie, kontakt z dobrymi praktykami </t>
  </si>
  <si>
    <t xml:space="preserve">SWPS </t>
  </si>
  <si>
    <t xml:space="preserve">Psychologia zarządzania </t>
  </si>
  <si>
    <t xml:space="preserve">już pracował wcześniej </t>
  </si>
  <si>
    <t xml:space="preserve">kontakt z wysokiej klasy specjalistami </t>
  </si>
  <si>
    <t xml:space="preserve">Architektury </t>
  </si>
  <si>
    <t xml:space="preserve">kontakt z praktykującymi architektami </t>
  </si>
  <si>
    <t xml:space="preserve">jestem członkiem Rady Naukowej Dyscypliny Architektura i Urbanistyka </t>
  </si>
  <si>
    <t>158.233.246.28</t>
  </si>
  <si>
    <t>2020-09-21 09:56:42</t>
  </si>
  <si>
    <t>2020-09-21 10:50:17</t>
  </si>
  <si>
    <t>Elektronika, Telekomunikacja i Informatyka</t>
  </si>
  <si>
    <t>Umiejętność szybkiego przyswajania wiedzy</t>
  </si>
  <si>
    <t>Wizja znalezienia dobrej pracy po studiach, komfortowe warunki do studiowania (nowa placówka wydziału ETI), zgrana grupa studencka</t>
  </si>
  <si>
    <t>Wiekowa kadra, zbyt duża intensywność, przestarzała tematyka edukacji niepokrywająca się z potrzebami w pracy</t>
  </si>
  <si>
    <t>Kadra, perspektywa rozwoju, sposób pracy ze studentami (duża liczba godzin laboratoryjnych, pracy studentów w grupach), wyposażenie laboratoriów w sprzęt wykorzystywany profesjonalnie, program szkoleniowy zgodny z aktualnymi trendami i oczekiwaniami pracodawców, zintegrowana społeczność studencka</t>
  </si>
  <si>
    <t>Nabyta wiedza, rozpoznawalność na rynku pracowniczym, elastyczność jaką zdobywa się w trakcie studiowania</t>
  </si>
  <si>
    <t>Przestarzała wiedza jaką się wpaja, wiekowa kadra, która nie dogaduje się ze studentami</t>
  </si>
  <si>
    <t>Studia II stopnia (magisterskie) na wydziale ETI, Politechnika Gdańska</t>
  </si>
  <si>
    <t>158.233.246.27</t>
  </si>
  <si>
    <t>2020-09-23 13:41:55</t>
  </si>
  <si>
    <t>2020-09-23 13:46:13</t>
  </si>
  <si>
    <t>WSB gdansk</t>
  </si>
  <si>
    <t>IT Project managment</t>
  </si>
  <si>
    <t>determinacja</t>
  </si>
  <si>
    <t>sprawy prywatne</t>
  </si>
  <si>
    <t>zadania praktyczne</t>
  </si>
  <si>
    <t>ekologia w IT... bzdurne przedmioty</t>
  </si>
  <si>
    <t>46.151.136.191</t>
  </si>
  <si>
    <t>android-app://com.google.android.gm/</t>
  </si>
  <si>
    <t>2020-10-28 10:32:38</t>
  </si>
  <si>
    <t>2020-10-28 10:51:57</t>
  </si>
  <si>
    <t>Umiejętność pracy projektowej oraz grupowej, umiejętność prawidłowej analizy problemu oraz wykreowanie jego rozwiązania</t>
  </si>
  <si>
    <t>Podejście pracowników uczelni, ich kompetencje. Możliwość rozwoju na wielu płaszczyznach. Uczelnia umożliwiała również osobom zainteresowanym uczestnictwa w różnego rodzaju kursach. Na uczelni działa wiele kół naukowych, w których oznacza nie tylko się rozwijać ale również nawiązywać nowe znajomości</t>
  </si>
  <si>
    <t>Haos związany z planem zajęć, późne pojawianie się planu zajęć z wieloma błędami. Zajęcia w różnych budynkach. Brak przedmiotów, które pomagałyby nam w realizowaniu projektów na inne przedmioty. Brakowało m.in. przedmiotu MASZYNOZNAWSTWO</t>
  </si>
  <si>
    <t>Stacjonarne studia 1 stopnia inżynierskie na tej samej uczelni</t>
  </si>
  <si>
    <t>Dużą różnicę w prowadzeniu zajęć byliśmy w stanie zaobserwować jeżeli prowadzący był tylko teoretykiem od prowadzącego będącego praktykiem. Te drugie zajęcia były o wiele ciekawsze, więcej z nich wynosiliśmy i przekazywana wiedza bardziej do nas trafiała. Z tego wynika, że ogromny wpływ ma kadra ale również przedmioty wchodzące w siatkę studiów.</t>
  </si>
  <si>
    <t>Renoma uczelni, różnorodność zajęć</t>
  </si>
  <si>
    <t>Niektóre, bardzo obszerne zagadnienia były poruszane na przedmiotach w małym stopniu, a raczej wspominano o nich, a te zagadnienia nadawałyby się na wet na samodzielny przedmiot.</t>
  </si>
  <si>
    <t>Inżynierskie</t>
  </si>
  <si>
    <t>89.64.73.37</t>
  </si>
  <si>
    <t>2020-10-28 13:55:46</t>
  </si>
  <si>
    <t>2020-10-28 14:12:08</t>
  </si>
  <si>
    <t>1978 - studia 5-letnie</t>
  </si>
  <si>
    <t>Fizyka techniczna (kierunek średniotechniczny, ale kończący się tytuł zawodowy magistra inzyniera</t>
  </si>
  <si>
    <t>niezłocznie po uzyskaniu dyplomu</t>
  </si>
  <si>
    <t>to były bardzo dobre studia, zgodne z moimi zainteresowaniami</t>
  </si>
  <si>
    <t>świetni wykładowcy, elitarny kierunek kształcenia (30 studentów), atmosfera</t>
  </si>
  <si>
    <t>5-letnie magisterskie</t>
  </si>
  <si>
    <t>Uniwersytet SWPS</t>
  </si>
  <si>
    <t>pracowała w trakcie studiów</t>
  </si>
  <si>
    <t>świetni wykładowcy</t>
  </si>
  <si>
    <t>PG/kierunek zarządzanie i marketing</t>
  </si>
  <si>
    <t>WZiE</t>
  </si>
  <si>
    <t>kształtowanie otwartych postaw, przekazywanie solidnej wiedzy</t>
  </si>
  <si>
    <t>Członek senatu</t>
  </si>
  <si>
    <t>studia są trudne, ale ciekawe; należne miejsce zajmuje trzecia misja, są uczelniami badawczymi</t>
  </si>
  <si>
    <t>jestem dumny z pracy na PG</t>
  </si>
  <si>
    <t>chciałbym, aby uczelnia była coraz bardziej otwarta na oczekiwania otoczenia i kreowała je</t>
  </si>
  <si>
    <t>ankieta jest anonimowa</t>
  </si>
  <si>
    <t>stopnie naukowe dr i dr hab.</t>
  </si>
  <si>
    <t>2020-10-28 17:15:12</t>
  </si>
  <si>
    <t>2020-10-28 17:27:31</t>
  </si>
  <si>
    <t>Zarządzanie inżynierskie</t>
  </si>
  <si>
    <t>Zaufanie ze strony pracodawcy</t>
  </si>
  <si>
    <t xml:space="preserve">Nie mam zdania. Nic mnie nie zaskoczyło. </t>
  </si>
  <si>
    <t>Za mało praktyki</t>
  </si>
  <si>
    <t>Dobra opinia wśród pracodawców</t>
  </si>
  <si>
    <t>Mało praktycznych zagadnień</t>
  </si>
  <si>
    <t>188.147.101.204</t>
  </si>
  <si>
    <t>2020-11-02 12:33:43</t>
  </si>
  <si>
    <t>2020-11-02 13:01:39</t>
  </si>
  <si>
    <t>Zarządzanie, Finanse i Bankowość</t>
  </si>
  <si>
    <t>nic</t>
  </si>
  <si>
    <t>mała kompetencja nauczycieli</t>
  </si>
  <si>
    <t>poziom kadry nauczycielskiej</t>
  </si>
  <si>
    <t>możliwość uczenia sie od "mistrzów" w danej dziedzinie</t>
  </si>
  <si>
    <t>31.0.81.71</t>
  </si>
  <si>
    <t>2020-11-03 12:54:11</t>
  </si>
  <si>
    <t>2020-11-03 13:05:09</t>
  </si>
  <si>
    <t>Kontakty, rozwój umiejętności interpersonalnych</t>
  </si>
  <si>
    <t>Analityczne myślenie, zmysł inżynierski</t>
  </si>
  <si>
    <t>biurowa</t>
  </si>
  <si>
    <t>Tak (przejście do analogicznej części oceny dotyczącej drugiej uczelni)</t>
  </si>
  <si>
    <t>Praca biurowa</t>
  </si>
  <si>
    <t>Kierunki studiów, nauka inżynierskosci, wsparcie rozwoju studentów</t>
  </si>
  <si>
    <t>Dobry kontakt, wsparcie merytoryczne</t>
  </si>
  <si>
    <t>Rozległa struktura organizacyjna, która utrudnia kontakt z odpowiednią osobą</t>
  </si>
  <si>
    <t>37.47.221.207</t>
  </si>
  <si>
    <t>2020-11-04 19:26:33</t>
  </si>
  <si>
    <t>2020-11-04 19:40:01</t>
  </si>
  <si>
    <t>AMG</t>
  </si>
  <si>
    <t>Wydział Lekarski</t>
  </si>
  <si>
    <t xml:space="preserve">Praca juz na ostatnim roku studiów </t>
  </si>
  <si>
    <t>Wykonuję zawód który lubię</t>
  </si>
  <si>
    <t>Zaangażowanie niektórych asystentów</t>
  </si>
  <si>
    <t>Brak zaangażowania niektórych asystentów, przeładowany program, brak czasu na doxzytywanie, brak sullabusa, brak szacunku do studentów/pacjentów w niektórych zakładach</t>
  </si>
  <si>
    <t>6 letnie, medyczne</t>
  </si>
  <si>
    <t>Łatwoś znalezienia pracy po, stopien przygotowania do zycia zawodowego</t>
  </si>
  <si>
    <t>Brak zaangazowania pracowników, student jako 5te koło, brak podstawowychbwytycznych co do wymagań</t>
  </si>
  <si>
    <t>Jw</t>
  </si>
  <si>
    <t>81.190.71.209</t>
  </si>
  <si>
    <t>2020-11-20 00:05:15</t>
  </si>
  <si>
    <t>2020-11-20 01:15:24</t>
  </si>
  <si>
    <t>PWSP (ASP) Łódź</t>
  </si>
  <si>
    <t>Uczelnia artystyczna dała możliwość budowania pozycji w środowisku artystycznym; elastyczność; umiejętność pracy w wielu dziedzinach</t>
  </si>
  <si>
    <t xml:space="preserve"> </t>
  </si>
  <si>
    <t>ASP Łódź</t>
  </si>
  <si>
    <t>Grafika artystyczna</t>
  </si>
  <si>
    <t>kontakty, możliwości rozwoju</t>
  </si>
  <si>
    <t>Akademia Muzyczna w Warszawie</t>
  </si>
  <si>
    <t>Reżyseria dźwięku</t>
  </si>
  <si>
    <t>założenie  własnej firmy zaraz po studiach</t>
  </si>
  <si>
    <t>wejście w ciekawe środowisko; zaradność; dobre relacje; nagrody już podczas studiów; wsparcie uczelni dla działań w świecie</t>
  </si>
  <si>
    <t>mistrzowie, sprzęt, promocja uczelni (szczera, ale silna)</t>
  </si>
  <si>
    <t>88.156.64.30</t>
  </si>
  <si>
    <t>2020-11-20 08:49:34</t>
  </si>
  <si>
    <t>2020-11-20 08:55:30</t>
  </si>
  <si>
    <t>kontakty personalne, korzystne postrzeganie kierunku przez pracowdawców</t>
  </si>
  <si>
    <t>lokalizacja, program</t>
  </si>
  <si>
    <t>nonszalancja wykładowców, brak interaktywności</t>
  </si>
  <si>
    <t>jednolite 5letnie studia magisterskie</t>
  </si>
  <si>
    <t>renoma, praktyczny wymiar studiów, kadra</t>
  </si>
  <si>
    <t>rozwój kariery po ukonczeniu, dostrzegalna zmiana kompetencji</t>
  </si>
  <si>
    <t>nie wiem</t>
  </si>
  <si>
    <t>podyplomowe - WSAiB</t>
  </si>
  <si>
    <t>37.248.152.58</t>
  </si>
  <si>
    <t>2020-11-24 14:49:09</t>
  </si>
  <si>
    <t>153.19.33.88</t>
  </si>
  <si>
    <t>2020-11-27 21:07:14</t>
  </si>
  <si>
    <t>2020-11-27 21:13:21</t>
  </si>
  <si>
    <t>Nie mógłbym robić tego, co robię jeśli nie ukończyłbym studiów</t>
  </si>
  <si>
    <t>Interesowałem się tematem studiów, ciekawiły mnie zajęcia</t>
  </si>
  <si>
    <t>Niektóre zajęcia były słabo prowadzone, małe odniesienie do praktyki</t>
  </si>
  <si>
    <t>Studia jednolite, bez podziału na stopnie</t>
  </si>
  <si>
    <t>Szerokie spojrzenie na rzeczywistość, rozumienie jej, dyplom pomagający w życiu zawodowym</t>
  </si>
  <si>
    <t>Badania, środki finansowe, wymagania wobec studentów i wykładowców</t>
  </si>
  <si>
    <t>Wiedza</t>
  </si>
  <si>
    <t>Bałagan organizacyjny</t>
  </si>
  <si>
    <t>89.72.115.117</t>
  </si>
  <si>
    <t>2020-11-30 13:36:22</t>
  </si>
  <si>
    <t>37.47.228.248</t>
  </si>
  <si>
    <t>https://ankietaplus.pl/ankiety/analiza/wyniki-zbiorcze/13308</t>
  </si>
  <si>
    <t>2020-12-04 09:38:48</t>
  </si>
  <si>
    <t>2020-12-04 10:14:15</t>
  </si>
  <si>
    <t>budowa maszyn</t>
  </si>
  <si>
    <t>Umiejętność budowania pozytywnych relacji, lepiej się dogadywać niż kłócić</t>
  </si>
  <si>
    <t>ciągłość studiów, skrócone studia, duża intensywność; kompetentna dobra kadra; niezłościwi wykładowcy</t>
  </si>
  <si>
    <t>jednolite mgr-inż</t>
  </si>
  <si>
    <t>Wyższa Szkołą Psychologii Społecznej</t>
  </si>
  <si>
    <t>praca na już na studiach</t>
  </si>
  <si>
    <t>uczelnia poszerzyła postrzeganie dziedziny w której zdobywała wiedzę - wiele zastosowań zdobytej wiedzy</t>
  </si>
  <si>
    <t>studia podyplomowe, robi doktorat</t>
  </si>
  <si>
    <t>Budowa Maszyn</t>
  </si>
  <si>
    <t>dodanie wiary w to, że polska gospodarka może się rozwinąć;</t>
  </si>
  <si>
    <t>pracowitość, chęć rozwoju, umiejętność budowania relacji, umiejętność pracy w stresie i pod presją czasu</t>
  </si>
  <si>
    <t>projektanci, nadzór, monterzy (serwis)</t>
  </si>
  <si>
    <t>umiejętność współpracy przy budowaniu gospodarki</t>
  </si>
  <si>
    <t>mentalność włądz uczelni nastawiona na współpracę, zrozumienie misji uczelni technicznej, któa ma pracowac dla gospodarki</t>
  </si>
  <si>
    <t>brak zrozumienia potrzeb rozwojowych kraju z punktu widzenia rozwoju gospodarki</t>
  </si>
  <si>
    <t>1956?</t>
  </si>
  <si>
    <t>doktorat, studium podyplomowe - podwyższanie trwałości maszyn</t>
  </si>
  <si>
    <t>studia rolnicze</t>
  </si>
  <si>
    <t>46.175.236.247</t>
  </si>
  <si>
    <t>2020-12-09 15:10:25</t>
  </si>
  <si>
    <t>2020-12-09 16:26:10</t>
  </si>
  <si>
    <t>2020-12-23 16:11:37</t>
  </si>
  <si>
    <t>SWPS</t>
  </si>
  <si>
    <t>szersza perspektywa na świat,  ukształtowanie postaw i fundamentalnych umiejętności</t>
  </si>
  <si>
    <t>tematy zajęć, wykładowcy, organizacja zajęć</t>
  </si>
  <si>
    <t>wykładowcy, duża ilość zajęć i wiedzy do przyswojenia w krótkim czasie</t>
  </si>
  <si>
    <t xml:space="preserve">trundo powiedzieć, liczą się umiejetności miekkie, konkretna znajomość technologii, doświadczenie </t>
  </si>
  <si>
    <t>zależnie od doświadczenia, najcześciej specjalistyczne stanowiska techniczne</t>
  </si>
  <si>
    <t>jakość kształcenia, przygotowanie do zawodu, konkretne kompetencje techniczne, wiedza, przygotowanie do wejścia na rynek pracy</t>
  </si>
  <si>
    <t>przekazywanie adekwatnej wiedzy, dobry poziom kształcenia, znajomość oczekiwań pracodawców</t>
  </si>
  <si>
    <t>przestarzałe programy nauczania, brak przystosowania do realiów rynkowych, slaby poziom merytoryczny absolwentów</t>
  </si>
  <si>
    <t>ukończone szkolenia/kursy ,  studia podyplomowe</t>
  </si>
  <si>
    <t>szkolenia, certyfikaty, kursy, samodzielna nauka</t>
  </si>
  <si>
    <t>2020-12-15 07:04:50</t>
  </si>
  <si>
    <t>89.64.97.160</t>
  </si>
  <si>
    <t>2020-12-15 07:05:46</t>
  </si>
  <si>
    <t>2020-12-15 07:15:04</t>
  </si>
  <si>
    <t>Mechanika i budowa maszyn</t>
  </si>
  <si>
    <t>praca w momencie zakończenia studiów</t>
  </si>
  <si>
    <t>Poprawy myślenia logicznego i poprawy zarządzania czasem</t>
  </si>
  <si>
    <t>Podejście większości prowadzących, koledzy</t>
  </si>
  <si>
    <t>Bałagan organizacyjny na uczelni</t>
  </si>
  <si>
    <t>II sem. II stopnia</t>
  </si>
  <si>
    <t>Politechnika Gdańsk</t>
  </si>
  <si>
    <t>Mechatronika</t>
  </si>
  <si>
    <t>żadnych</t>
  </si>
  <si>
    <t>Podejście prowadzących i koledzy z roku.</t>
  </si>
  <si>
    <t>Bałagan organizacyjny szczególnie na początku roku akademickiego.</t>
  </si>
  <si>
    <t>Współpraca z przemysłem i możliwość zatrudnienia - większa na lepszych uczelniach.</t>
  </si>
  <si>
    <t>Duży zasób biblioteki, łatwy kontakt, przejście w tryb edziekanatu bardzu ułatwił sprawy.</t>
  </si>
  <si>
    <t>Za dużo niepotrzebnych przedmiotów, za mało praktyki.</t>
  </si>
  <si>
    <t>Liceum</t>
  </si>
  <si>
    <t>Żadne</t>
  </si>
  <si>
    <t>2020-12-15 07:07:53</t>
  </si>
  <si>
    <t>31.11.238.245</t>
  </si>
  <si>
    <t>2020-12-15 07:39:28</t>
  </si>
  <si>
    <t>2020-12-15 07:52:15</t>
  </si>
  <si>
    <t>Technologie Podwodne</t>
  </si>
  <si>
    <t>wiedza</t>
  </si>
  <si>
    <t>warunki mieszkaniowe , ścisły umysł</t>
  </si>
  <si>
    <t>nie dostrzegam</t>
  </si>
  <si>
    <t>poziom kształcenia</t>
  </si>
  <si>
    <t>inżynier Maszyn , Siłowni i Urządzeń Okrętowych</t>
  </si>
  <si>
    <t>46.170.165.102</t>
  </si>
  <si>
    <t>2020-12-15 08:06:02</t>
  </si>
  <si>
    <t>2020-12-15 08:08:30</t>
  </si>
  <si>
    <t>66.102.9.145</t>
  </si>
  <si>
    <t>2020-12-15 10:25:49</t>
  </si>
  <si>
    <t>158.233.246.29</t>
  </si>
  <si>
    <t>2020-12-15 10:36:27</t>
  </si>
  <si>
    <t>2020-12-15 10:45:03</t>
  </si>
  <si>
    <t>Telekomunikacja</t>
  </si>
  <si>
    <t xml:space="preserve"> praca przed ukończeniem studiów</t>
  </si>
  <si>
    <t>siatka kontaktów związana z uczelnią jest cenna</t>
  </si>
  <si>
    <t>tematy związane z moimi zainteresowaniami</t>
  </si>
  <si>
    <t>niski poziom organizacji studiów, kiepski przepływ informacji, brak nowoczesnych rozwiązań (np. wykorzystanie internetu w procesie studiowania)</t>
  </si>
  <si>
    <t>stacjonarne, jednolite 5 letnie (mgr inż)</t>
  </si>
  <si>
    <t>nie związane z uczelnią</t>
  </si>
  <si>
    <t>inżynier infrastruktury IT, inżynier oprogramowania</t>
  </si>
  <si>
    <t>renoma na rynku, nie związana z faktycznymi umiejętnościami absolwentó</t>
  </si>
  <si>
    <t>otwarte i elastyczne podejście do studenta, aktualny program dydaktyczny</t>
  </si>
  <si>
    <t>nieaktualny program edukacyjny</t>
  </si>
  <si>
    <t>certyfikaty branżowe</t>
  </si>
  <si>
    <t>2020-12-15 11:06:37</t>
  </si>
  <si>
    <t>158.233.246.26</t>
  </si>
  <si>
    <t>2020-12-15 11:10:41</t>
  </si>
  <si>
    <t>Ekonomia, Marketing i Zarzadzanie</t>
  </si>
  <si>
    <t>ludzie, możliwość połączenia pracy ze studiami</t>
  </si>
  <si>
    <t>konieczność zaliczania tych samych przedmiotów, mimo wcześniejszego zaliczenia ich na innym wydziale</t>
  </si>
  <si>
    <t>wieczorowe</t>
  </si>
  <si>
    <t>2020-12-15 11:17:32</t>
  </si>
  <si>
    <t>2020-12-15 11:48:44</t>
  </si>
  <si>
    <t>2020-12-15 14:06:30</t>
  </si>
  <si>
    <t xml:space="preserve">nauki polityczne </t>
  </si>
  <si>
    <t xml:space="preserve">praca przed ukończeniem studiów </t>
  </si>
  <si>
    <t>prestiż uczelni</t>
  </si>
  <si>
    <t>środowisko, znajomi</t>
  </si>
  <si>
    <t xml:space="preserve">wysokie koszty </t>
  </si>
  <si>
    <t xml:space="preserve">lokalizacja, zaplecze </t>
  </si>
  <si>
    <t>znani wykladowcy</t>
  </si>
  <si>
    <t xml:space="preserve">Mgr nauk politycznych, studia podyplomowe w zakresie zarzadzania projektami (Uniwersytet Gdański) </t>
  </si>
  <si>
    <t>2020-12-15 12:59:18</t>
  </si>
  <si>
    <t>2020-12-15 14:27:58</t>
  </si>
  <si>
    <t>Skandynawistyka</t>
  </si>
  <si>
    <t>ogólne wykształcenie</t>
  </si>
  <si>
    <t>dobra kadra</t>
  </si>
  <si>
    <t>dużo bezsensownych przedmiotów</t>
  </si>
  <si>
    <t>2020-12-15 14:43:13</t>
  </si>
  <si>
    <t>2020-12-15 23:07:53</t>
  </si>
  <si>
    <t>2020-12-15 23:13:45</t>
  </si>
  <si>
    <t>łatwość w poruszaniu się po zagadnieniach prawnych</t>
  </si>
  <si>
    <t>ciekawe zajęcia, praktyki, atmosfera</t>
  </si>
  <si>
    <t>kumoterstwo</t>
  </si>
  <si>
    <t>jakość wykładowców, współpraca z dużymi firmami w kwestii praktyk</t>
  </si>
  <si>
    <t>prestiż i dobra kadra</t>
  </si>
  <si>
    <t xml:space="preserve">kupowanie dyplomów </t>
  </si>
  <si>
    <t>2020-12-16 00:42:24</t>
  </si>
  <si>
    <t>2020-12-16 00:45:11</t>
  </si>
  <si>
    <t>ilość studentów po I roku = poziom nauczania</t>
  </si>
  <si>
    <t>renoma</t>
  </si>
  <si>
    <t>stary program nauczania, niedostosowany do bieżących potrzeb</t>
  </si>
  <si>
    <t>przerwane studia na kierunku informatyka</t>
  </si>
  <si>
    <t>2020-12-16 07:43:49</t>
  </si>
  <si>
    <t>2020-12-16 08:07:04</t>
  </si>
  <si>
    <t>2020-12-16 08:13:59</t>
  </si>
  <si>
    <t>Elektronika i Telekomunikacja</t>
  </si>
  <si>
    <t>techniczne podejście do problemów, analiza, umiejętności negocjacji</t>
  </si>
  <si>
    <t>grupa wykładowa</t>
  </si>
  <si>
    <t>bardzo dużo materiału i nauki</t>
  </si>
  <si>
    <t>stacjonarne magisterskie jednolite (5 lat)</t>
  </si>
  <si>
    <t>ilość zajęć praktycznych</t>
  </si>
  <si>
    <t>opinia w środowisku pracy o absolwentach</t>
  </si>
  <si>
    <t>biurokracja</t>
  </si>
  <si>
    <t>studia magisterskie uzupełniające na wydziale WZiE PG</t>
  </si>
  <si>
    <t>2020-12-16 08:17:25</t>
  </si>
  <si>
    <t>2020-12-16 08:20:22</t>
  </si>
  <si>
    <t>2020-12-16 08:25:47</t>
  </si>
  <si>
    <t>umiejetnosci jezykowe</t>
  </si>
  <si>
    <t>poznawani ludzie oraz ogolny klimat "studiowania"</t>
  </si>
  <si>
    <t>arachiczne przedmioty nie przydatne w zyciu po uczelni</t>
  </si>
  <si>
    <t>dostosowanie sie do rynku pracy</t>
  </si>
  <si>
    <t>dobor przedmiotow oraz kadraksztalcaca</t>
  </si>
  <si>
    <t>slaba kadra oraz zle wykladane przedmioty</t>
  </si>
  <si>
    <t>podyplomowe</t>
  </si>
  <si>
    <t>158.233.246.4</t>
  </si>
  <si>
    <t>2020-12-16 09:13:59</t>
  </si>
  <si>
    <t>2020-12-16 09:30:46</t>
  </si>
  <si>
    <t>Politechnika Łódzka</t>
  </si>
  <si>
    <t>4 miesiące</t>
  </si>
  <si>
    <t>Wiedza, umiejętność logicznego myślenia, rozwój osobowości</t>
  </si>
  <si>
    <t>Tematyka zajęć, dobry kontakt z wykładowcami, jasne i przejrzyste zasady</t>
  </si>
  <si>
    <t>Nie było takich</t>
  </si>
  <si>
    <t>Stacjonarne jednolite studia magisterskie</t>
  </si>
  <si>
    <t>Poziom nauczania, atmosfera na uczelni (mobilizowanie do zdobywania wiedzy i samokształcenia, tworzenie atmosfery naukowej)</t>
  </si>
  <si>
    <t>Odpowiadałam już na to pytanie wcześniej</t>
  </si>
  <si>
    <t>kurs trenerski</t>
  </si>
  <si>
    <t>2020-12-16 09:47:32</t>
  </si>
  <si>
    <t>2020-12-16 11:09:10</t>
  </si>
  <si>
    <t>2020-12-16 12:41:27</t>
  </si>
  <si>
    <t>2020-12-16 12:49:37</t>
  </si>
  <si>
    <t>powyżej 6000 zł, ale nie więcej niż 7000 zł</t>
  </si>
  <si>
    <t>systematyczne podejście do rozwiązywania problemów</t>
  </si>
  <si>
    <t>zajęcia praktyczne, znajomi</t>
  </si>
  <si>
    <t>przedmioty nie związane bezpośrednio z pracą</t>
  </si>
  <si>
    <t>Kładzenie nacisku na praktyczne wykorzystanie wiedzy</t>
  </si>
  <si>
    <t>Dostęp do zaawansowanego sprzętu i kadry potrafiącej przekazać wiedzę</t>
  </si>
  <si>
    <t>Czasami przestarzały program i cześć kadry nie potrafiąca przekazać wiedzy</t>
  </si>
  <si>
    <t>2020-12-18 07:54:19</t>
  </si>
  <si>
    <t>188.124.189.51</t>
  </si>
  <si>
    <t>2020-12-18 09:42:59</t>
  </si>
  <si>
    <t>2020-12-18 09:57:39</t>
  </si>
  <si>
    <t>WSB</t>
  </si>
  <si>
    <t>IT Project Management</t>
  </si>
  <si>
    <t>Kończąc studia I stopnia dziennie już zostałam zatrudniona w IT Procurement, reszte studiow kończyłam zaocznie.</t>
  </si>
  <si>
    <t>Studia były w języku angielskim, koledzy ze studiów byli w wiekszości z poza Polski, rozwój poziomu j.angielskiego komunikatywnego.</t>
  </si>
  <si>
    <t>Zaoczny tryb, podejście do studenta jak do klienta, łatwy i szybki kontakt z wykładowcami, świetna współpraca z promotorem pracy magisterskiej</t>
  </si>
  <si>
    <t>Wiele zajęć było odwoływanych, kierunek był zagraniczny anglojęzyczny, a poziom języka u wykladowcow pozostawial wiele do życzenia często</t>
  </si>
  <si>
    <t>Poziom nauczania wykładowcow, wiele od nich zalezy, najnudniejszy temat mozna przedstawic w sposob ciekawy i odwrotnie. Po wielu latach wspomnienia ze studiow raczej związane są z wykładowcami, nie mówimy - ten przedmiot był ciężki, tylko raczej - ubtego wykładowcy było ciężko. Często jest niestety tak, że waga przedmiotu do sposobu egzaminowania jest nieadekwatna. Mniej ważne przedmioty prowadzone są przez wykladowcow ktorzy nie mają zadowolenia z poziomu przekazania swojej wiedzy, a z poziomu trudności i irracjonalności sposobu egzaminowania podczas sesji.</t>
  </si>
  <si>
    <t>Ilość praktyków wykladajacych na uczelni, nie teoretykow. Wiele ciekawiej jest sluchac kogos kto opowiada z perspektywy wlasnego doswiadczenia, udziela rad, opowiada o sytuacjach i o propozycjach ich realnego praktycznego rozwiązywania.</t>
  </si>
  <si>
    <t>Poziom braku zaangazowania wykladowcow.</t>
  </si>
  <si>
    <t>Licencjat, mgr absolutorium na UG</t>
  </si>
  <si>
    <t>Studia psychologii biznesu na UG</t>
  </si>
  <si>
    <t>2020-12-18 11:23:28</t>
  </si>
  <si>
    <t>2020-12-18 11:30:10</t>
  </si>
  <si>
    <t>Chemia, Ochrona Środowiska</t>
  </si>
  <si>
    <t>zdolność analitycznego myślenia</t>
  </si>
  <si>
    <t>ludzie</t>
  </si>
  <si>
    <t>Kadra naukowa</t>
  </si>
  <si>
    <t>Pozytywnie nastawieni wykładowcy.</t>
  </si>
  <si>
    <t>Negatywne nastawienie nauczycieli i ich osobiste emocje powodujące odgrywanie się na studentach, przeładowany program zbędną treścią.</t>
  </si>
  <si>
    <t>2020-12-18 11:23:52</t>
  </si>
  <si>
    <t>2020-12-18 11:24:10</t>
  </si>
  <si>
    <t>2020-12-18 11:35:15</t>
  </si>
  <si>
    <t>AWFiS Gdańsk</t>
  </si>
  <si>
    <t>Turystyka i rekreacja</t>
  </si>
  <si>
    <t>Nawiązywanie kontaktów z ludźmi, umiejętność radzenia sobie w każdej sytuacji.</t>
  </si>
  <si>
    <t>Przyjaźnie, sport, rozrywka, ciekawe zajęcia dodatkowe.</t>
  </si>
  <si>
    <t>Przestarzała i nieprzydatna merytoryka niektórych zajęć.</t>
  </si>
  <si>
    <t>Umożliwienie studentom rozwoju na najróżniejsze sposoby, indywidualne podejście.</t>
  </si>
  <si>
    <t xml:space="preserve">Świetne wspomnienia, zetknięcie się z różnorodnymi aktywnościami sportowymi. </t>
  </si>
  <si>
    <t>Dość wąska specjalizacja merytoryczna i teoretyczna.</t>
  </si>
  <si>
    <t>Studia podyplomowe na UG.</t>
  </si>
  <si>
    <t>2020-12-18 11:24:25</t>
  </si>
  <si>
    <t>2020-12-18 11:32:40</t>
  </si>
  <si>
    <t>Uniwersytet Ekonomiczny w Poznaniu</t>
  </si>
  <si>
    <t>NA</t>
  </si>
  <si>
    <t>Międzynarodowe Stosunki Gospodarcze i Polityczne</t>
  </si>
  <si>
    <t>w trakcie ostatniego roku studiów</t>
  </si>
  <si>
    <t>interdyscyplinarne spojrzenie na realizowane projekty</t>
  </si>
  <si>
    <t>tematyka, poziom merytoryczny, poziom kadry naukowej, osadzenie przekazywanej wiedzy w realiach biznesowych</t>
  </si>
  <si>
    <t>jakość i zawartość merytoryczna programów, poziom kadry</t>
  </si>
  <si>
    <t>studia podyplomowe z rachunkowości</t>
  </si>
  <si>
    <t>2020-12-18 11:26:13</t>
  </si>
  <si>
    <t>2020-12-18 11:26:18</t>
  </si>
  <si>
    <t>2020-12-18 11:35:40</t>
  </si>
  <si>
    <t>Socjologia</t>
  </si>
  <si>
    <t>10 miesięcy</t>
  </si>
  <si>
    <t>inni studenci</t>
  </si>
  <si>
    <t>Niemiła obsługa dziekanatu; traktujący studentów z góry nauczyciele; nauczyciele z syndromem "doktora", do których należało mówić  per Pani/Pan Doktor inaczej była obraza majestatu</t>
  </si>
  <si>
    <t>Wybór przedmiotów</t>
  </si>
  <si>
    <t>Jakość prowadzenia zajęć</t>
  </si>
  <si>
    <t>Złe traktowanie studentów</t>
  </si>
  <si>
    <t>2020-12-18 11:28:40</t>
  </si>
  <si>
    <t>2020-12-18 11:31:27</t>
  </si>
  <si>
    <t>2020-12-18 11:39:16</t>
  </si>
  <si>
    <t>2020-12-18 11:41:43</t>
  </si>
  <si>
    <t>2020-12-18 12:18:08</t>
  </si>
  <si>
    <t>Informatyka i Ekonometria</t>
  </si>
  <si>
    <t>Doświadczona kadra</t>
  </si>
  <si>
    <t>Kadra, program nauczania, topowe przedmioty</t>
  </si>
  <si>
    <t>2020-12-18 11:46:02</t>
  </si>
  <si>
    <t>158.233.247.37</t>
  </si>
  <si>
    <t>2020-12-18 11:53:59</t>
  </si>
  <si>
    <t>2020-12-18 12:11:26</t>
  </si>
  <si>
    <t>2020-12-18 12:36:11</t>
  </si>
  <si>
    <t>Akademia Morska w Gdyni</t>
  </si>
  <si>
    <t>Innowacyjna gospodark</t>
  </si>
  <si>
    <t>Ogólna wiedza różnych rodzajów systemów wykorzystywanych w różnych rodzajach biznesu</t>
  </si>
  <si>
    <t>Późniejsze  skupienie na bardziej praktycznych rodzajach zajęć</t>
  </si>
  <si>
    <t>Kiepska organizacja uczelni</t>
  </si>
  <si>
    <t>Rodzaje kierunków i stopień zaawansowania w wyborze kierunku</t>
  </si>
  <si>
    <t>Podejście co niektórych profesorów do ich przedmiotu i do studentów</t>
  </si>
  <si>
    <t>Jakość pracy HR'ów</t>
  </si>
  <si>
    <t>212.237.134.195</t>
  </si>
  <si>
    <t>2020-12-18 13:27:06</t>
  </si>
  <si>
    <t>2020-12-18 14:11:51</t>
  </si>
  <si>
    <t xml:space="preserve">University of Suffolk </t>
  </si>
  <si>
    <t>BA Business Admin</t>
  </si>
  <si>
    <t xml:space="preserve">2 months </t>
  </si>
  <si>
    <t xml:space="preserve">Good base knowledge. </t>
  </si>
  <si>
    <t xml:space="preserve">Good social atmosphere </t>
  </si>
  <si>
    <t xml:space="preserve">Too much socialising </t>
  </si>
  <si>
    <t xml:space="preserve">Suffolk university </t>
  </si>
  <si>
    <t xml:space="preserve">Finance </t>
  </si>
  <si>
    <t>Technology in finance</t>
  </si>
  <si>
    <t>Student culture. Teaching staff</t>
  </si>
  <si>
    <t>Teaching staff</t>
  </si>
  <si>
    <t xml:space="preserve">Bad scheduling </t>
  </si>
  <si>
    <t>ITIL masters</t>
  </si>
  <si>
    <t>2020-12-18 14:09:47</t>
  </si>
  <si>
    <t>2020-12-18 14:29:31</t>
  </si>
  <si>
    <t>2020-12-18 14:36:37</t>
  </si>
  <si>
    <t>IT</t>
  </si>
  <si>
    <t>praca przed ukonczeniem studiow</t>
  </si>
  <si>
    <t>osiągniecie dyplomu</t>
  </si>
  <si>
    <t>nauczanie zdalne</t>
  </si>
  <si>
    <t>ograniczona dostepnosc narzedzi</t>
  </si>
  <si>
    <t>dostepnosc narzedzi, elastycznosc nauczania</t>
  </si>
  <si>
    <t>powyzsze</t>
  </si>
  <si>
    <t>brak powyzszego, trudna komunikacja z uczelnia</t>
  </si>
  <si>
    <t>inzynier</t>
  </si>
  <si>
    <t>n/a</t>
  </si>
  <si>
    <t>146.119.114.150</t>
  </si>
  <si>
    <t>2020-12-18 15:15:52</t>
  </si>
  <si>
    <t>2020-12-18 15:19:05</t>
  </si>
  <si>
    <t>Politechnika Gd.</t>
  </si>
  <si>
    <t>Autmatyka</t>
  </si>
  <si>
    <t>188.114.87.10</t>
  </si>
  <si>
    <t>2020-12-18 15:18:54</t>
  </si>
  <si>
    <t>2020-12-18 15:44:50</t>
  </si>
  <si>
    <t>większa świadomość technlogiczna aktualnego świata, zadowolenie z osiągnięcia tytułu naukowego</t>
  </si>
  <si>
    <t>zajęcia z ludźmi pracującymi nie tylko na uczelni, podejście bardziej jak do dorosłych osób w odróżnieniu do studiów stacjonarnych I stopnia, moja większa dojrzałość i chęć zdobywania wiedzy</t>
  </si>
  <si>
    <t>Według mnie formuła "wykładów" jest niezbyt efektywnym sposobem na przyswojenie teorii</t>
  </si>
  <si>
    <t xml:space="preserve">ilość osób z darem do zainteresowania studentów nauką, rozwinięte koła naukowe, wyposażenie laboratoriów   </t>
  </si>
  <si>
    <t>znaczące projekty naukowe</t>
  </si>
  <si>
    <t xml:space="preserve">przestarzałe technologie używane na zajęciach </t>
  </si>
  <si>
    <t>Politechnika Gdańska, Automatyka i Robotyka I st. inżynierskie dzienne</t>
  </si>
  <si>
    <t>37.47.212.241</t>
  </si>
  <si>
    <t>2020-12-18 15:25:33</t>
  </si>
  <si>
    <t>2020-12-18 15:44:12</t>
  </si>
  <si>
    <t>Automatyka i Robotyka</t>
  </si>
  <si>
    <t>Praca przed ukonczeniem studiow</t>
  </si>
  <si>
    <t>Szeroka wiedza</t>
  </si>
  <si>
    <t>Dobra wspolpraca studentow, otwarci wykladowcy</t>
  </si>
  <si>
    <t>Ubogie zaplecze dydaktyczne</t>
  </si>
  <si>
    <t>Kadra z wiedza praktyczna</t>
  </si>
  <si>
    <t>Otwartosc na wiedze z roznych dziedzin</t>
  </si>
  <si>
    <t>Brak zaplecza dydaktycznego</t>
  </si>
  <si>
    <t>Technikum mechaniczne</t>
  </si>
  <si>
    <t>2020-12-18 15:26:50</t>
  </si>
  <si>
    <t>Towaroznawstwo</t>
  </si>
  <si>
    <t>przed ukonczeniem studiow</t>
  </si>
  <si>
    <t>bliskosc domu</t>
  </si>
  <si>
    <t>5 letnie  mgr/inz</t>
  </si>
  <si>
    <t>89.64.126.173</t>
  </si>
  <si>
    <t>2020-12-18 15:27:40</t>
  </si>
  <si>
    <t>89.64.113.101</t>
  </si>
  <si>
    <t>2020-12-18 15:32:24</t>
  </si>
  <si>
    <t>2020-12-18 15:44:05</t>
  </si>
  <si>
    <t>Nie pamietam</t>
  </si>
  <si>
    <t>Inżynieria Środowska</t>
  </si>
  <si>
    <t>Możliwość mieszkania a akademiku</t>
  </si>
  <si>
    <t>Przedmioty na których co innego było na wykładzie a co innego na zaliczeniu</t>
  </si>
  <si>
    <t>Dzienne 1 i 2 stopnia łącznie</t>
  </si>
  <si>
    <t>Poziom kształcenia</t>
  </si>
  <si>
    <t>Renoma</t>
  </si>
  <si>
    <t>Jakoś prowadzenia niektórych wykładów</t>
  </si>
  <si>
    <t>Nie posiadam</t>
  </si>
  <si>
    <t>Nie zdobywam</t>
  </si>
  <si>
    <t>5.173.0.225</t>
  </si>
  <si>
    <t>2020-12-18 15:32:59</t>
  </si>
  <si>
    <t>2020-12-18 16:02:47</t>
  </si>
  <si>
    <t>BM</t>
  </si>
  <si>
    <t>nieporównywalnie wyższy poziom wiedzy niż mają obecni absolwenci</t>
  </si>
  <si>
    <t>ciekawe zajęcia</t>
  </si>
  <si>
    <t>?</t>
  </si>
  <si>
    <t>Mechaniczny</t>
  </si>
  <si>
    <t>praca przed ukończeniem</t>
  </si>
  <si>
    <t>kontakty z rówieśnikami</t>
  </si>
  <si>
    <t>wiedza praktyczna</t>
  </si>
  <si>
    <t>w zależności od umiejętności i wiedzy</t>
  </si>
  <si>
    <t>uniwersytet warmińsko-mazurski w olsztynie</t>
  </si>
  <si>
    <t>Umiejętność praktycznego zastosowania informacji (na uczelni obecnie wiedzy się nie zdobywa) uzyskanych w trakcie studiów</t>
  </si>
  <si>
    <t>w zależności od umiejętności - od pracy fizycznej, poprzez proste zadania rysunkowe po projektowanie pod kierunkiem osoby coś potrafiącej</t>
  </si>
  <si>
    <t>Jakość kadry dydaktycznej, ilość zajęć laboratoryjnych i praktycznych</t>
  </si>
  <si>
    <t>Nic. Jestem zawiedziony tak bardzo niskim poziomem przygotowania absolwentów do pracy zawodowej</t>
  </si>
  <si>
    <t>Stosowanie testowego sposobu oceny pozomu wiadomości studenta</t>
  </si>
  <si>
    <t>budowlane, elekrtyczne, elektroniczne - średnie</t>
  </si>
  <si>
    <t>nie ma</t>
  </si>
  <si>
    <t>Proszę nie wprowadzać w błąd, bo ankieta nie zajmuje min.</t>
  </si>
  <si>
    <t>2020-12-18 15:41:41</t>
  </si>
  <si>
    <t>2020-12-18 17:03:27</t>
  </si>
  <si>
    <t>praca przed rozpoczeciem pracy</t>
  </si>
  <si>
    <t>dostęp do wiedzy i otwartosc profesorów</t>
  </si>
  <si>
    <t>tryb zaoczny</t>
  </si>
  <si>
    <t>niestacjonarne(zaoczne) studia jednolite 5 letnie (magisterskie)</t>
  </si>
  <si>
    <t xml:space="preserve">rożnorodność kierunków, kadra, </t>
  </si>
  <si>
    <t>nd</t>
  </si>
  <si>
    <t>188.147.98.130</t>
  </si>
  <si>
    <t>2020-12-18 15:44:08</t>
  </si>
  <si>
    <t>188.147.98.66</t>
  </si>
  <si>
    <t>2020-12-18 15:46:04</t>
  </si>
  <si>
    <t>2020-12-18 16:17:35</t>
  </si>
  <si>
    <t>Akademia Morska</t>
  </si>
  <si>
    <t>organizacja obrotu portowo-morskiego</t>
  </si>
  <si>
    <t>3 lata</t>
  </si>
  <si>
    <t>poznałem żonę</t>
  </si>
  <si>
    <t>pozanaukowe atrakcje</t>
  </si>
  <si>
    <t>niektórzy wykładowcy nie przykładali się do zajęć</t>
  </si>
  <si>
    <t>tredycja, solidne zaplecze np akademiki, dobrze dobrana kadra</t>
  </si>
  <si>
    <t>fachowość wykładowców, dobrze dobrane zajecia</t>
  </si>
  <si>
    <t>zbędne obciążenia dla studentów, np nieodpowiednia lokalizacja budynkow</t>
  </si>
  <si>
    <t>wieś gminna</t>
  </si>
  <si>
    <t>Kolegium Teologiczne</t>
  </si>
  <si>
    <t>46.151.141.27</t>
  </si>
  <si>
    <t>2020-12-18 15:47:02</t>
  </si>
  <si>
    <t>2020-12-18 15:51:44</t>
  </si>
  <si>
    <t>2020-12-18 16:00:49</t>
  </si>
  <si>
    <t>Uniwersytet Mikołaja Kopernika w Toruniu</t>
  </si>
  <si>
    <t>Zarządzanie i marketing</t>
  </si>
  <si>
    <t>Praca 2 lata przed ukończeniem studiów</t>
  </si>
  <si>
    <t>Chęć nauki pozostała na zawsze.</t>
  </si>
  <si>
    <t>Wykładowcy, organizacja studencka, możliwość pracy i dziennego studiowania na 4-5 roku</t>
  </si>
  <si>
    <t>Poziom wykładowców, różnorodność zajęć, praktyczne podejście do wykładanych przedmiotów</t>
  </si>
  <si>
    <t>Nauka która ma przełożenie na praktykę</t>
  </si>
  <si>
    <t>Odtwórcze nauczanie niepraktycznej wiedzy</t>
  </si>
  <si>
    <t>Olsztyn</t>
  </si>
  <si>
    <t>Studia podyplomowe na University of Illinois</t>
  </si>
  <si>
    <t>5.173.8.128</t>
  </si>
  <si>
    <t>https://zasobygwp.pl/</t>
  </si>
  <si>
    <t>2020-12-18 15:55:27</t>
  </si>
  <si>
    <t>37.248.209.90</t>
  </si>
  <si>
    <t>2020-12-18 16:02:52</t>
  </si>
  <si>
    <t>2020-12-18 16:09:18</t>
  </si>
  <si>
    <t>Elektrotechnika</t>
  </si>
  <si>
    <t>Odporność na stres.</t>
  </si>
  <si>
    <t>Perspektywa dobrej pracy i ludzie na studiach.</t>
  </si>
  <si>
    <t>Egzaminy, traktowanie studentów przez wykładowców w sposób lekceważący.</t>
  </si>
  <si>
    <t>Zarobki po studiach.</t>
  </si>
  <si>
    <t>Podejście do studentów.</t>
  </si>
  <si>
    <t>Podejście do studentów przez wykładowców.</t>
  </si>
  <si>
    <t>185.244.97.163</t>
  </si>
  <si>
    <t>2020-12-18 16:04:15</t>
  </si>
  <si>
    <t>2020-12-18 16:14:29</t>
  </si>
  <si>
    <t>Budownictwo Lądowe</t>
  </si>
  <si>
    <t>sumienność, pracowitość, zdolność do poświęceń</t>
  </si>
  <si>
    <t>studiowałem co lubię, bliskość uczelni</t>
  </si>
  <si>
    <t>nie było takich cech</t>
  </si>
  <si>
    <t>Chemia</t>
  </si>
  <si>
    <t>umiejętność przyswajania wiedzy</t>
  </si>
  <si>
    <t>programistyczne</t>
  </si>
  <si>
    <t xml:space="preserve">uczenie obsługi narzędzi które sa przydatne w biznesie </t>
  </si>
  <si>
    <t>zdolność do przyswajania wiedzy</t>
  </si>
  <si>
    <t>nauka starych narzędzi</t>
  </si>
  <si>
    <t>79.163.162.90</t>
  </si>
  <si>
    <t>2020-12-18 16:25:20</t>
  </si>
  <si>
    <t>87.206.5.55</t>
  </si>
  <si>
    <t>2020-12-18 16:32:02</t>
  </si>
  <si>
    <t>2020-12-18 16:39:27</t>
  </si>
  <si>
    <t>poszerzenie wiedzy</t>
  </si>
  <si>
    <t>dostęp do nowych technologii</t>
  </si>
  <si>
    <t>niektóre przedmioty nie związane z wybrany kierunkiem</t>
  </si>
  <si>
    <t>Dostęp do różnych programów, technologii</t>
  </si>
  <si>
    <t>Papierologia</t>
  </si>
  <si>
    <t>83.25.141.197</t>
  </si>
  <si>
    <t>2020-12-18 16:43:22</t>
  </si>
  <si>
    <t>153.19.11.181</t>
  </si>
  <si>
    <t>2020-12-18 17:17:49</t>
  </si>
  <si>
    <t>ug</t>
  </si>
  <si>
    <t>humanistyczny</t>
  </si>
  <si>
    <t>3 mc</t>
  </si>
  <si>
    <t>zadnych</t>
  </si>
  <si>
    <t>interesowało mnie to co studiuje</t>
  </si>
  <si>
    <t xml:space="preserve">zadnych </t>
  </si>
  <si>
    <t>94.158.131.3</t>
  </si>
  <si>
    <t>2020-12-18 17:29:12</t>
  </si>
  <si>
    <t>46.175.228.124</t>
  </si>
  <si>
    <t>2020-12-18 17:30:51</t>
  </si>
  <si>
    <t>Poligrafia</t>
  </si>
  <si>
    <t>W 1991 roku wynagrodzenie wynosiło 2 200 000 złotych</t>
  </si>
  <si>
    <t>Zainteresowanie przedmiotem, praktyczne wykorzystanie, niewielki wydział (instytut), kierunek techniczny zbliżony do humanistycznego</t>
  </si>
  <si>
    <t>Odległość od domu rodzinnego</t>
  </si>
  <si>
    <t>W XX wieku w Polsce nie było podziału na studia I i II stopnia. Ankieta tego nie uwzględnia.</t>
  </si>
  <si>
    <t>188.147.68.194</t>
  </si>
  <si>
    <t>2020-12-18 17:56:43</t>
  </si>
  <si>
    <t>Politechnika Koszalinska</t>
  </si>
  <si>
    <t xml:space="preserve">Wartości moralne, </t>
  </si>
  <si>
    <t>Przyjazna atmosfera, rzetelni profesorowie, dostęp do publikacji</t>
  </si>
  <si>
    <t>Sprawy organizacyjne</t>
  </si>
  <si>
    <t>37.248.164.238</t>
  </si>
  <si>
    <t>2020-12-18 18:01:11</t>
  </si>
  <si>
    <t>178.235.177.180</t>
  </si>
  <si>
    <t>2020-12-18 19:02:15</t>
  </si>
  <si>
    <t>2020-12-18 19:12:03</t>
  </si>
  <si>
    <t>Uniwersytet Medyczny w Poznaniu</t>
  </si>
  <si>
    <t>położnictwo</t>
  </si>
  <si>
    <t>3 miesiące przed ukończeniem studiów</t>
  </si>
  <si>
    <t>jedyna możliwośc pracy w tym zawodzie</t>
  </si>
  <si>
    <t>wiedza i praktyki w osrodkach o wysokich stopniach referencji</t>
  </si>
  <si>
    <t>brak możliwości indywidualnych  praktyk</t>
  </si>
  <si>
    <t>możliwość edukacji w najbardziej rozwiniętych ośrodkach</t>
  </si>
  <si>
    <t>możliwość praktyk w kameralnych małych grupach lub indywidualnie</t>
  </si>
  <si>
    <t>zajęcia prowadzone by zakuć-zdać-zapomnieć</t>
  </si>
  <si>
    <t xml:space="preserve">specjalizacja </t>
  </si>
  <si>
    <t>91.231.25.141</t>
  </si>
  <si>
    <t>2020-12-18 19:07:51</t>
  </si>
  <si>
    <t xml:space="preserve">Uniwersytet Gdański </t>
  </si>
  <si>
    <t xml:space="preserve">Matematyka </t>
  </si>
  <si>
    <t xml:space="preserve">Dobre przygotowanie do wykonywanego zawodu. </t>
  </si>
  <si>
    <t xml:space="preserve">Ludzie, którzy ze mną studiowali. </t>
  </si>
  <si>
    <t xml:space="preserve">Trudny materiał. </t>
  </si>
  <si>
    <t>89.76.3.3</t>
  </si>
  <si>
    <t>2020-12-18 19:10:18</t>
  </si>
  <si>
    <t>46.151.143.138</t>
  </si>
  <si>
    <t>2020-12-18 19:12:20</t>
  </si>
  <si>
    <t>37.8.249.162</t>
  </si>
  <si>
    <t>2020-12-18 22:45:35</t>
  </si>
  <si>
    <t>178.235.188.104</t>
  </si>
  <si>
    <t>https://poczta.wp.pl/</t>
  </si>
  <si>
    <t>2020-12-18 23:05:08</t>
  </si>
  <si>
    <t>2020-12-19 09:07:09</t>
  </si>
  <si>
    <t>2020-12-19 09:25:41</t>
  </si>
  <si>
    <t>Praca przed ukończeniem 2-go kierunku studiów. Ok 8 miesięcy po ukończeniu studiow podstawowowych.</t>
  </si>
  <si>
    <t>Poszerzenie horyzontów, zwłaszcza technicznych.</t>
  </si>
  <si>
    <t xml:space="preserve">Interesujące przedmioty, możliwość wymiany doświadczeń, wiedzy z innymi studentami. </t>
  </si>
  <si>
    <t xml:space="preserve">Bardzo uciążliwe zaliczanie trudnych przedmiotów. Frustrujace, długotrwałe, zaniżające samoocenę. Zazwyczaj te przedmioty były złe wykładane lub bez niezbędnego przygotowania na wczesniejsCzych latach studiów lub poprzednich etapach edukacji.   </t>
  </si>
  <si>
    <t>Stacjonarne, dzienne studia magisterskie z tytułem inżyniera, 5 letnie.</t>
  </si>
  <si>
    <t>Zbyt ogólne pytanie. Mógłbym pisać przez kilka stron.</t>
  </si>
  <si>
    <t>Efekty jej działalności: to kim jestem i co wiem, oraz znani mi absolwenci.</t>
  </si>
  <si>
    <t>Bardzo duży wysiłek i stres związany ze studiowaniem przez większość semestrów..</t>
  </si>
  <si>
    <t>2-letnie uzupełniające, magisterskie studia Zarządzania na PG.</t>
  </si>
  <si>
    <t>Doradca rodzinny - nauczyciel metod Naturalnego Planowania Rodziny</t>
  </si>
  <si>
    <t>Ankieta do drobnej korekty po zebraniu pilotażowej ilości odpowiedzi.</t>
  </si>
  <si>
    <t>5.173.0.252</t>
  </si>
  <si>
    <t>2020-12-19 11:44:43</t>
  </si>
  <si>
    <t>2020-12-19 11:55:08</t>
  </si>
  <si>
    <t>Poziom nauki, atmosfera znajomych</t>
  </si>
  <si>
    <t>Niektóre zajęcia były nudne/nieadekwatne/nieżyciowe</t>
  </si>
  <si>
    <t>Jednolite 1 i 2 stopnia na raz (mgr inż.)</t>
  </si>
  <si>
    <t>Wysokie wymagania stawiane studentom i pracownikom jeżeli chodzi o poziom merytoryczny i kulturalny</t>
  </si>
  <si>
    <t>Całościowe spojrzenie i zajęcie się studentami</t>
  </si>
  <si>
    <t>Nielogiczny rozkład zajęć, brak szacunku do studentów</t>
  </si>
  <si>
    <t>89.64.103.56</t>
  </si>
  <si>
    <t>2020-12-19 20:34:26</t>
  </si>
  <si>
    <t>89.64.109.1</t>
  </si>
  <si>
    <t>2020-12-19 20:58:33</t>
  </si>
  <si>
    <t>2020-12-19 21:04:09</t>
  </si>
  <si>
    <t>1 m-c</t>
  </si>
  <si>
    <t>dobra organizacja zajęć, dobra kadra, praktyczna wiedza</t>
  </si>
  <si>
    <t>studia dzienne 5 letnie</t>
  </si>
  <si>
    <t>praktyczna wiedza, która jest uzywana w realnym świecie</t>
  </si>
  <si>
    <t>o tym pisałem</t>
  </si>
  <si>
    <t>2020-12-19 21:01:07</t>
  </si>
  <si>
    <t>2020-12-19 21:19:56</t>
  </si>
  <si>
    <t>konieczność uczęszczania na wszystkie zajęcia</t>
  </si>
  <si>
    <t>doświadczona kadra, wysokie wymagania wobec studenta</t>
  </si>
  <si>
    <t>elastyczność - indywidualne podejście do studenta</t>
  </si>
  <si>
    <t>mało doświadczona kadra, która nie potrafi zachęcić studentów, brak praktyki w Biznesie wśród kadry nauczającej</t>
  </si>
  <si>
    <t>SGH/ SP</t>
  </si>
  <si>
    <t>WSAiB/ studia II st. + SP</t>
  </si>
  <si>
    <t>89.69.234.213</t>
  </si>
  <si>
    <t>2020-12-20 11:29:24</t>
  </si>
  <si>
    <t>81.190.59.12</t>
  </si>
  <si>
    <t>https://poczta.o2.pl/</t>
  </si>
  <si>
    <t>2020-12-20 16:19:03</t>
  </si>
  <si>
    <t>2020-12-20 16:35:11</t>
  </si>
  <si>
    <t>Informatyka i ekonometria</t>
  </si>
  <si>
    <t>Znajomość z wykładowcami będącymi ekspertami w dziedzinie mojej obecnej pracy, współpraca z nimi już po zakończeniu studiów.</t>
  </si>
  <si>
    <t>Dobra lokalizacja uczelni, zaangażowani wykładowcy, super biblioteka.</t>
  </si>
  <si>
    <t>Część wykładowców nieco oderwana od rzeczywistości - mówiąca do studentów jak do osób z wieloletnim doświadczeniem w danej dziedzinie - trudno było uczyć się i rozumieć dane przedmioty.</t>
  </si>
  <si>
    <t>Wykładowcy</t>
  </si>
  <si>
    <t>Znalezienie pracy zgodnie z wykształceniem. Wykorzystanie w pracy umiejętności nabytych w czasie studiów (zwłaszcza takich, o których myślała się, że nie będą przydatne). Potwierdzenie w rzeczywistości, że to czego uczyło się na studiach stanowi wystarczającą podstawę do dalszego rozwoju w pracy.</t>
  </si>
  <si>
    <t>Porównywanie uczelni technicznych i nietechnicznych bez odnoszenia się do jakości samych zajęć.</t>
  </si>
  <si>
    <t>Szkoła wieczorowa</t>
  </si>
  <si>
    <t>37.47.226.179</t>
  </si>
  <si>
    <t>2020-12-20 17:46:57</t>
  </si>
  <si>
    <t>2020-12-20 17:54:42</t>
  </si>
  <si>
    <t>Inżynieria środowiska</t>
  </si>
  <si>
    <t>Nauczenie się kombinatorstwa i jest się nikim</t>
  </si>
  <si>
    <t>Koledzy i koleżanki z roku</t>
  </si>
  <si>
    <t>Nieudcziwosc prowadzących, brak uczciwości w wykonywaniu projektów</t>
  </si>
  <si>
    <t xml:space="preserve">Te uczelnie, których nauczyciele akademiccy wyjeżdżają na dłuższe staże zagraniczne salepszee. </t>
  </si>
  <si>
    <t>Nabycie umiejętności praktycznych</t>
  </si>
  <si>
    <t>Brak uczciwości, brak samodzielności, przeładowana siatka godzin</t>
  </si>
  <si>
    <t>31.60.245.10</t>
  </si>
  <si>
    <t>2020-12-20 19:09:01</t>
  </si>
  <si>
    <t>Przed ukończeniem</t>
  </si>
  <si>
    <t>Łatwiejsze przebranżowienie</t>
  </si>
  <si>
    <t>Niektórzy wykładowcy, niektóre przedmioty były bardzo ciekawe</t>
  </si>
  <si>
    <t>Kadra teoretyczna, brak praktyków, zakres niektórych przedmiotów sprzed 30 lat bez aktualizacji, podejście wykładowców, testy nie sprawdzające niczego</t>
  </si>
  <si>
    <t>2020-12-21 10:11:48</t>
  </si>
  <si>
    <t>2020-12-21 10:51:27</t>
  </si>
  <si>
    <t>Międzynarodowe Stosunku Gospodarcze</t>
  </si>
  <si>
    <t>zbudowanie sieci kontaktów</t>
  </si>
  <si>
    <t>ćwiczeniowa forma zajęć, współpraca z innymi studentami</t>
  </si>
  <si>
    <t>forma wykładów w ppt, duże skoncentrowanie na definicje, suche fakty a mało czasu poświęconego na zastosowanie umiejętności w praktyce</t>
  </si>
  <si>
    <t>również stacjonarne studia 2 stopnia: skandynawistyka</t>
  </si>
  <si>
    <t>kadra dydaktyczna i naukowa, program studiów oparty na ćwiczeniach i przedmiotach danej specjalności</t>
  </si>
  <si>
    <t>poziom dydaktyczny prowadzonych zajęć, zasoby biblioteczne, możliwości stypendialne/programów wymiany itp., oferta ponadprogramowa (np. kółka studenckie)</t>
  </si>
  <si>
    <t xml:space="preserve">przeładowanie programu przedmiotami "ogólnymi" prowadzonymi w formie wykładu, przestarzałe formy dydaktyczne (skoncentrowanie na testy zaliczeniowe, </t>
  </si>
  <si>
    <t>studia 2 stopnia (magisterskie): skandynawistyka</t>
  </si>
  <si>
    <t>studia podyplomowe: Analiza Biznesowa w IT</t>
  </si>
  <si>
    <t>2020-12-21 11:06:03</t>
  </si>
  <si>
    <t>Juź pracuję</t>
  </si>
  <si>
    <t>robię tylko papier</t>
  </si>
  <si>
    <t>byle jak najłatwiej żeby zdobyć papier</t>
  </si>
  <si>
    <t>nuda, upierdliwi wykładowcy, prace w grupach</t>
  </si>
  <si>
    <t>81.219.63.41</t>
  </si>
  <si>
    <t>2020-12-21 11:40:16</t>
  </si>
  <si>
    <t>37.47.234.245</t>
  </si>
  <si>
    <t>2020-12-21 14:03:37</t>
  </si>
  <si>
    <t>2020-12-21 14:14:50</t>
  </si>
  <si>
    <t>uniwersytet gdański</t>
  </si>
  <si>
    <t>informatyka</t>
  </si>
  <si>
    <t>zawód jest jednocześnie moim hobby</t>
  </si>
  <si>
    <t>ciekawe przedmioty, fajna atmosfera, czas na samodokształcanie</t>
  </si>
  <si>
    <t>niektóre egzaminy matematyczne były trudne, tj. wymagały dużego nakładu pracy, a nie były ściśle związane z kierunkiem</t>
  </si>
  <si>
    <t>ETI</t>
  </si>
  <si>
    <t>studenci są bardzo dobrze przygotowani do zawodu i dobrze sobie radzą na ryku pracy</t>
  </si>
  <si>
    <t xml:space="preserve">współpraca z biznesem, rozwój kadry </t>
  </si>
  <si>
    <t>gdy widzę,  że to, czego się uczyłam ma zastosowanie w praktyce</t>
  </si>
  <si>
    <t>gdy nie widzę,  że to, czego się uczyłam ma zastosowanie w praktyce</t>
  </si>
  <si>
    <t>stopień naukowy doktora</t>
  </si>
  <si>
    <t>37.109.33.71</t>
  </si>
  <si>
    <t>2020-12-21 15:31:11</t>
  </si>
  <si>
    <t>2020-12-22 10:57:16</t>
  </si>
  <si>
    <t>2020-12-22 11:49:51</t>
  </si>
  <si>
    <t>89.64.114.63</t>
  </si>
  <si>
    <t>2020-12-22 16:37:12</t>
  </si>
  <si>
    <t>2020-12-22 16:50:22</t>
  </si>
  <si>
    <t xml:space="preserve">8 miesięcy </t>
  </si>
  <si>
    <t xml:space="preserve">Łatwość nawiązywania kontaktów, łatwość w formułowaniu wypowiedzi pisemnych i ustnych </t>
  </si>
  <si>
    <t>Tematyka wykładów, interesująca firma prowadzenia zajęć</t>
  </si>
  <si>
    <t xml:space="preserve">Natłok materiału, niedostateczna ilość czasu na przerobienie całego materiału </t>
  </si>
  <si>
    <t xml:space="preserve">Innowacyjne metody prowadzenia zajęć, elastyczni i wyrozumiali wykładowcy </t>
  </si>
  <si>
    <t xml:space="preserve">Zdobyte umiejętności, poszerzenie moich zainteresowań </t>
  </si>
  <si>
    <t xml:space="preserve">Rozczarowanie prowadzeniem zajęć z mojej specjalizacji, brak zaangażowania niektórych wykładowców </t>
  </si>
  <si>
    <t>Gdansk</t>
  </si>
  <si>
    <t>Podyplomowe studia z zakresu kadr i płac</t>
  </si>
  <si>
    <t>87.206.173.46</t>
  </si>
  <si>
    <t>2020-12-22 21:06:41</t>
  </si>
  <si>
    <t>46.204.49.41</t>
  </si>
  <si>
    <t>http://lnkd.in/</t>
  </si>
  <si>
    <t>2020-12-23 16:54:18</t>
  </si>
  <si>
    <t>91.233.25.80</t>
  </si>
  <si>
    <t>2020-12-23 17:18:03</t>
  </si>
  <si>
    <t>205.201.55.77</t>
  </si>
  <si>
    <t>2020-12-23 17:52:30</t>
  </si>
  <si>
    <t>2020-12-23 18:02:37</t>
  </si>
  <si>
    <t>Matematyka</t>
  </si>
  <si>
    <t>Pracę znalazłem podczas magisterki, której ostatecznie nie ukończyłem</t>
  </si>
  <si>
    <t>Dość cenne znajomości oraz, przede wszystkim, sposób myślenia i podejście do rozwiązywania problemów</t>
  </si>
  <si>
    <t>Lubiłem matematykę jako taką, podobała mi się jednoznaczność i obiektywność tego, czego się tam uczyłem</t>
  </si>
  <si>
    <t>Wyłącznie moje wady, takie, jak lenistwo</t>
  </si>
  <si>
    <t>Wiedza, którą umiem wykorzystać w praktyce</t>
  </si>
  <si>
    <t>Jeśli już, to niechęć do bycia sprawdzanym i ocenianym</t>
  </si>
  <si>
    <t>89.64.102.166</t>
  </si>
  <si>
    <t>2020-12-23 20:17:37</t>
  </si>
  <si>
    <t>Zarządzanie marketing</t>
  </si>
  <si>
    <t>Praca podczas studiów</t>
  </si>
  <si>
    <t>Interesuje mnie przedmiot studiów</t>
  </si>
  <si>
    <t>Mam poczucie że uczymy się teorii która nie jest tak przydatna w pracy</t>
  </si>
  <si>
    <t>46.151.137.185</t>
  </si>
  <si>
    <t>2020-12-23 20:20:18</t>
  </si>
  <si>
    <t>2020-12-23 20:30:45</t>
  </si>
  <si>
    <t xml:space="preserve">Zarządzanie i marketing </t>
  </si>
  <si>
    <t>6 mcy</t>
  </si>
  <si>
    <t>Rozwiązywanie problemów, wykorzystanie technicznej wiedzy - praca w firmie produkcyjnej, bardzo dobra znajomość Office, zarządzanie zespołem i zadaniami, odporność na stres</t>
  </si>
  <si>
    <t>Praktyczne wykorzystanie, trudne zadania, praca w zespole i indywidualnie</t>
  </si>
  <si>
    <t>Okienka, czasami słabe wyklady- wina prowadzacych</t>
  </si>
  <si>
    <t>Mgr-inż- dzienne</t>
  </si>
  <si>
    <t>Nd</t>
  </si>
  <si>
    <t>89.78.2.27</t>
  </si>
  <si>
    <t>2020-12-23 21:37:59</t>
  </si>
  <si>
    <t>2020-12-23 21:49:19</t>
  </si>
  <si>
    <t>Mechanika i Budowa Maszyn</t>
  </si>
  <si>
    <t>Dobre towarzystwo, ciekawe zajęcia</t>
  </si>
  <si>
    <t>Niektóre przedmioty/zajęcia wydawały się niepotrzebne</t>
  </si>
  <si>
    <t>Wiedza wykladowców i sposób prowadzenia wykladów lub ćwiczeń</t>
  </si>
  <si>
    <t>Zdobyta wiedza, możliwość jej wykorzystania w pracy</t>
  </si>
  <si>
    <t>Za mala ilość zajęć praktycznych</t>
  </si>
  <si>
    <t>178.235.180.207</t>
  </si>
  <si>
    <t>2020-12-23 23:08:34</t>
  </si>
  <si>
    <t>2020-12-23 23:19:24</t>
  </si>
  <si>
    <t>Żadnych ; nie pracuje w zawodzie</t>
  </si>
  <si>
    <t>Sam fakt studiowania, poznawania</t>
  </si>
  <si>
    <t>Trudności w dogadaniu się z promotorami</t>
  </si>
  <si>
    <t>5 letnie magisterskie</t>
  </si>
  <si>
    <t>Zatrudnienie po studiach, wyniesione konkretne umiejętności</t>
  </si>
  <si>
    <t>Dobra atmosfera, która sprzyja rozwojowi</t>
  </si>
  <si>
    <t>Brak powyższego</t>
  </si>
  <si>
    <t>Beak</t>
  </si>
  <si>
    <t>109.206.213.146</t>
  </si>
  <si>
    <t>https://www.linkedin.com/</t>
  </si>
  <si>
    <t>2020-12-24 07:44:53</t>
  </si>
  <si>
    <t>2020-12-24 08:01:59</t>
  </si>
  <si>
    <t>Zarządzanie i Marketing / Zarządzanie Systemami Produkcyjnymi</t>
  </si>
  <si>
    <t xml:space="preserve">Lepszy zmysł techniczny </t>
  </si>
  <si>
    <t xml:space="preserve">Wykładowcy </t>
  </si>
  <si>
    <t>Wybrane Zajęcia czasem nie zmieniane od lat, kiedy inne starały się iść z duchem czasu</t>
  </si>
  <si>
    <t>Stacjonarne magistersko-inżynierskie 5-letnie</t>
  </si>
  <si>
    <t xml:space="preserve">Program - czy jest dopasowany do tego, czego będzie potrzebować za kilka lat rynek (trendwatching), a nie </t>
  </si>
  <si>
    <t>Prestiż uczelni</t>
  </si>
  <si>
    <t>Wciąż za mało praktycznych rzeczy, które realnie wykorzystałam w zawodzie</t>
  </si>
  <si>
    <t>SWPS Warszawa, SWPS Poznań</t>
  </si>
  <si>
    <t xml:space="preserve">Nie dotyczy </t>
  </si>
  <si>
    <t xml:space="preserve">Pytania można byłoby prościej opisać / przystępniej :) </t>
  </si>
  <si>
    <t>89.64.111.201</t>
  </si>
  <si>
    <t>2020-12-25 22:56:00</t>
  </si>
  <si>
    <t>https://www.yammer.com/</t>
  </si>
  <si>
    <t>2020-12-28 12:30:20</t>
  </si>
  <si>
    <t>2020-12-28 12:54:29</t>
  </si>
  <si>
    <t>PWSZ w Elblągu</t>
  </si>
  <si>
    <t>Informatyka - Sieci komputerowe</t>
  </si>
  <si>
    <t>pracę rozpoczęłem w trakcie studiów na ostatnim roku, zamiast praktyk.</t>
  </si>
  <si>
    <t>braki w kilku obszarach technicznych stosowania w praktyce. Generalnie przydałoby się więcej laboratoriów i ćwiczeń, mniej wykładów</t>
  </si>
  <si>
    <t xml:space="preserve">Dobra infrastruktura i wyposażenie wnętrz sal labolatoriów. </t>
  </si>
  <si>
    <t>Sucha teoria, dużo matematyki, mało budowania konkretnych projektów w praktyce, np. konfiguracja sieci lan, zdalne instalowanie programów na wiele maszyn itp.</t>
  </si>
  <si>
    <t>studiowałem stacjonarnie i później od 2 roku przeniosłem się na niestacjonarne.</t>
  </si>
  <si>
    <t>kadra dydaktyczna, praktyczne zajęcia związane z tym co może nas spotkać na rynku pracy</t>
  </si>
  <si>
    <t>kadra dydaktyczna, infrastruktura informayczna (pod studia IT), możliwość kursów na uczelni</t>
  </si>
  <si>
    <t>niektóre zajęcia wydawały się zbędne, za dużo nudnych wykładów za mało praktycznych zajeć</t>
  </si>
  <si>
    <t>Magister na PG na wydziale ETI</t>
  </si>
  <si>
    <t>185.244.96.132</t>
  </si>
  <si>
    <t>2020-12-29 08:53:58</t>
  </si>
  <si>
    <t>188.47.126.140</t>
  </si>
  <si>
    <t>2020-12-29 20:12:53</t>
  </si>
  <si>
    <t>Automatyka</t>
  </si>
  <si>
    <t>spotkanie z profesorami starej daty</t>
  </si>
  <si>
    <t>matematyczne techniczne</t>
  </si>
  <si>
    <t>polityczne/ekonomia</t>
  </si>
  <si>
    <t>2020-12-31 09:23:18</t>
  </si>
  <si>
    <t>2020-12-31 13:43:01</t>
  </si>
  <si>
    <t>81.15.175.65</t>
  </si>
  <si>
    <t>2021-01-05 17:01:54</t>
  </si>
  <si>
    <t>2021-01-05 17:17:36</t>
  </si>
  <si>
    <t xml:space="preserve">Uniwersytet Gdański Wydział Prawa i Administracji </t>
  </si>
  <si>
    <t xml:space="preserve">Obiektywne patrzenie na niektóre aspekty życia </t>
  </si>
  <si>
    <t>Poznani ludzie</t>
  </si>
  <si>
    <t xml:space="preserve">Wyścig szczurów </t>
  </si>
  <si>
    <t>Podejście kadry do studenta</t>
  </si>
  <si>
    <t xml:space="preserve">Atmosfera na uczelni, szacunek do studenta, fajni ludzie </t>
  </si>
  <si>
    <t>Przeciwieństwo powyższego</t>
  </si>
  <si>
    <t>Technikum Hotelarsko Turystyczne</t>
  </si>
  <si>
    <t>2021-01-07 08:59:06</t>
  </si>
  <si>
    <t>Wojskowa Akademia Techniczna</t>
  </si>
  <si>
    <t>wiedza wykładowców, większość studentów chciała się czegoś nauczyć a nie tylko zdobyć dyplom</t>
  </si>
  <si>
    <t>188.147.123.202</t>
  </si>
  <si>
    <t>https://poczta.o2.pl/d/</t>
  </si>
  <si>
    <t>2021-01-10 23:52:12</t>
  </si>
  <si>
    <t>2021-01-11 00:00:36</t>
  </si>
  <si>
    <t>laboratoria, praktyczne doświadczenie</t>
  </si>
  <si>
    <t>lubienie większości przedmiotów</t>
  </si>
  <si>
    <t>dużo godzin</t>
  </si>
  <si>
    <t>5-letnie</t>
  </si>
  <si>
    <t>dobra pozycja absolwentów na rynku pracy</t>
  </si>
  <si>
    <t>program nauczania nieskorelowany z zapotrzebowaniem na rynku pracy</t>
  </si>
  <si>
    <t>83.8.248.198</t>
  </si>
  <si>
    <t>2021-01-11 00:05:31</t>
  </si>
  <si>
    <t>2021-01-11 00:06:41</t>
  </si>
  <si>
    <t>2021-01-11 00:06:44</t>
  </si>
  <si>
    <t>2021-01-13 09:24:04</t>
  </si>
  <si>
    <t>2021-01-13 09:41:10</t>
  </si>
  <si>
    <t>Uniwersytet Łódzki, Wydział Ekonomiczno - Socjologiczny</t>
  </si>
  <si>
    <t>Bankowość i Finanse Cyfrowe</t>
  </si>
  <si>
    <t>w trakcie pracy</t>
  </si>
  <si>
    <t>powyżej 9000 zł, ale nie więcej niż 10.000 zł</t>
  </si>
  <si>
    <t>rozwój osobisty, umiejętności czysto technicznych</t>
  </si>
  <si>
    <t>ciekawie dobrany program studiów, doświadczeni wykładowcy, nieolewający studenci</t>
  </si>
  <si>
    <t>wykładowcy, którzy mają na celu tylko odbycie zajęć, bez chęci nauczenia czegokolwiek</t>
  </si>
  <si>
    <t>specjalizacja w określonych dziedzinach, nie powinno się kształcić ludzi na dziesiątkach kierunków w których kadra nie ma doświadczenia</t>
  </si>
  <si>
    <t>współpraca z innymi uczelniami, także z zagranicy, dobre wyposażenie techniczne</t>
  </si>
  <si>
    <t>wykładowcy niezbyt doświadczeni w wykładanych dziedzinach</t>
  </si>
  <si>
    <t>Finanse i Rachunkowość I st., Wydział Ekonomiczno - Socjologiczny UŁ</t>
  </si>
  <si>
    <t>188.146.37.95</t>
  </si>
  <si>
    <t>2021-01-19 17:34:50</t>
  </si>
  <si>
    <t>81.190.56.87</t>
  </si>
  <si>
    <t>2021-01-26 09:31:06</t>
  </si>
  <si>
    <t>5.173.129.211</t>
  </si>
  <si>
    <t>2021-01-26 09:50:10</t>
  </si>
  <si>
    <t>5.173.169.102</t>
  </si>
  <si>
    <t>2021-01-26 13:01:31</t>
  </si>
  <si>
    <t>5.173.225.128</t>
  </si>
  <si>
    <t>2021-01-26 18:04:13</t>
  </si>
  <si>
    <t xml:space="preserve">Uniwersytet Przyrodniczy </t>
  </si>
  <si>
    <t>Dietetyka</t>
  </si>
  <si>
    <t xml:space="preserve">Od 6 do 12 miesięcy </t>
  </si>
  <si>
    <t xml:space="preserve">Umiejętności pracy z ludźmi, zadowolenia ze swojej pracy </t>
  </si>
  <si>
    <t xml:space="preserve">dobre wyniki, pochwały, miłe nastawienie prowadzących </t>
  </si>
  <si>
    <t xml:space="preserve">Krytyka, niemiła atmosfera </t>
  </si>
  <si>
    <t>89.64.112.139</t>
  </si>
  <si>
    <t>2021-01-27 08:28:18</t>
  </si>
  <si>
    <t>40.94.95.86</t>
  </si>
  <si>
    <t>2022-06-15 20:16:23</t>
  </si>
  <si>
    <t>40.94.95.52</t>
  </si>
  <si>
    <t>2022-06-15 20:18:39</t>
  </si>
  <si>
    <t>5.173.8.81</t>
  </si>
  <si>
    <t>2022-08-15 09:35:07</t>
  </si>
  <si>
    <t>2022-08-15 09:58:57</t>
  </si>
  <si>
    <t>architektura i budownictwo (ISCED '11 - 58)</t>
  </si>
  <si>
    <t>Ukierunkowanie w pracy samorządowej, kontakty, umiejętność myślenia, poszerzenie horyzontów (również pozaedukacyjnie)</t>
  </si>
  <si>
    <t>inż. energetyka ; mgr. wentylacje</t>
  </si>
  <si>
    <t>praca jeszcze przed ukończeniem studiów</t>
  </si>
  <si>
    <t>umiejętność uczenia się, przebranżowienia, wiedza techniczna, umiejętność myślenia</t>
  </si>
  <si>
    <t>Tak (kontynuacja badania przedstawicieli władz samorządowych)</t>
  </si>
  <si>
    <t>przedstawiciel władz gminy</t>
  </si>
  <si>
    <t>Gmina Czersk</t>
  </si>
  <si>
    <t>pozytywny wpływ na przedsięwzięcia w regionie, komunikacja, zagospodarowanie przestrzeni</t>
  </si>
  <si>
    <t>Studia podyplomowe</t>
  </si>
  <si>
    <t>B01</t>
  </si>
  <si>
    <t>2022-08-15 10:01:31</t>
  </si>
  <si>
    <t>2022-08-15 10:13:32</t>
  </si>
  <si>
    <t>Studia muzyczne, wydział instrumentalny</t>
  </si>
  <si>
    <t>praktyczne uprawianie zawodu muzyka; otoczenie, spotkane osobowości z różnych dziedzin</t>
  </si>
  <si>
    <t>jednolite magisterskie</t>
  </si>
  <si>
    <t xml:space="preserve">  </t>
  </si>
  <si>
    <t>2022-08-15 10:14:24</t>
  </si>
  <si>
    <t>2022-08-15 10:33:35</t>
  </si>
  <si>
    <t>brak odp.</t>
  </si>
  <si>
    <t>jednolite magisterkie</t>
  </si>
  <si>
    <t>Robotyka</t>
  </si>
  <si>
    <t>praca przed ukończeniem studió</t>
  </si>
  <si>
    <t>w pracy 10% wiedzy wykorzystanej</t>
  </si>
  <si>
    <t>dodatkowy kurs pedagogiczny dający możliwość uczenia w szkole</t>
  </si>
  <si>
    <t>Inżynieria maszyn i urządzeń (ISCED '11 - 52)</t>
  </si>
  <si>
    <t>zwiększona wiedza techniczna</t>
  </si>
  <si>
    <t>studia doktoranckie</t>
  </si>
  <si>
    <t>[03]</t>
  </si>
  <si>
    <t>2022-08-15 10:35:41</t>
  </si>
  <si>
    <t>2022-08-15 10:47:28</t>
  </si>
  <si>
    <t>umiejętności uczenia się, wnioskowania logicznego, tworzenia</t>
  </si>
  <si>
    <t>inżynieria maszyn i urządzeń (ISCED '11 - 52)</t>
  </si>
  <si>
    <t>wiedza teoretyczna, mało wiedzy praktycznej</t>
  </si>
  <si>
    <t>Informatyka - umiejętności zawodowe, uczenie się, kreatywność</t>
  </si>
  <si>
    <t>Informatyka, wsparcie techniczne</t>
  </si>
  <si>
    <t>Kontakt z ludźmi, wiedza o zarządzaniu, uczenie się, kreatywność</t>
  </si>
  <si>
    <t>Wdrażanie, sprzedaż, marketing</t>
  </si>
  <si>
    <t>Podyplomowe - Zarządzanie</t>
  </si>
  <si>
    <t>[A01]</t>
  </si>
  <si>
    <t>2022-08-15 10:49:03</t>
  </si>
  <si>
    <t>2022-08-15 10:59:19</t>
  </si>
  <si>
    <t>Historia</t>
  </si>
  <si>
    <t>poszerzenie horyzontów, kontakt ze środowiskiem zawodowym</t>
  </si>
  <si>
    <t>kształtowanie poglądów; kontakty w środowisku zawodowym</t>
  </si>
  <si>
    <t>Podyplomowe - logopedia</t>
  </si>
  <si>
    <t>Rada gminy Czersk</t>
  </si>
  <si>
    <t>[A02]</t>
  </si>
  <si>
    <t>Kolumna1</t>
  </si>
  <si>
    <t>Kolumna2</t>
  </si>
  <si>
    <t>Kolumna3</t>
  </si>
  <si>
    <t>Kolumna4</t>
  </si>
  <si>
    <t>Kolumna5</t>
  </si>
  <si>
    <t>Kolumna6</t>
  </si>
  <si>
    <t>Usługi edukacyjne ocenianej uczelni mają wysoką wartość (okazja / szansa rozwoju własnego lub kariery).3</t>
  </si>
  <si>
    <t>w pierwszym roku po ukończeniu studiów : wybierz wartość z listy rozwijanej4</t>
  </si>
  <si>
    <t>w 3 lata po ukończeniu studiów : wybierz wartość z listy rozwijanej5</t>
  </si>
  <si>
    <t>Pole dodatkowe7</t>
  </si>
  <si>
    <t>Moja satysfakcja z (efektów) usług edukacyjnych ocenianej uczelni jest wysoka.8</t>
  </si>
  <si>
    <t>Usługi edukacyjne ocenianej uczelni mają wysoką wartość (okazja / szansa rozwoju własnego lub kariery).9</t>
  </si>
  <si>
    <t>Pole dodatkowe10</t>
  </si>
  <si>
    <t>Jak się nazywa uczelnia, którą ukończył/a Twoja/Twój podopieczna/podopieczny? (proszę o wybranie jednej uczelni podlegającej ocenie)11</t>
  </si>
  <si>
    <t>W którym roku Twoja/Twój podopieczna/y ukończył/a studia (rok w którym uzyskano dyplom ukończenia studiów drugiego stopnia, albo pierwszego stopnia, jeśli nie uzyskano dyplomu 2. stopnia)?12</t>
  </si>
  <si>
    <t>Czy ukończony kierunek był kierunkiem technicznym, tzn. takim, po którym uzyskano tytuł inżyniera?13</t>
  </si>
  <si>
    <t>Jak się nazywa kierunek, który ukończył/a Twoja/Twój podopieczna/podopieczny?14</t>
  </si>
  <si>
    <t>Moja satysfakcja z (efektów) usług edukacyjnych ocenianej uczelni jest wysoka.15</t>
  </si>
  <si>
    <t>Usługi edukacyjne ocenianej uczelni mają wysoką wartość (okazja / szansa rozwoju własnego lub kariery).16</t>
  </si>
  <si>
    <t>Kształcenie na ocenianej uczelni ma/będzie miało pozytywny wpływ na zwiększenie zarobków mojej/mojego podopiecznej/podopiecznego.17</t>
  </si>
  <si>
    <t>Zarobki uzyskiwane przez mojego/moją podopieczną/podopiecznego w pierwszym roku po ukończeniu studiów były satysfakcjonujące (z mojego punktu widzenia)18</t>
  </si>
  <si>
    <t>Zarobki uzyskiwane przez mojego/moją podopieczną/podopiecznego w 3 lata po ukończeniu studiów były satysfakcjonujące (z mojego punktu widzenia)19</t>
  </si>
  <si>
    <t>W ile miesięcy po ukończeniu studiów Twoja/Twój podopieczna/podopieczny uzyskał/a zatrudnienie? Proszę podać liczbę miesięcy lub wpisać inną opcję (np. praca przed ukończeniem studiów; założenie własnej firmy; nie zamierzam pracować)20</t>
  </si>
  <si>
    <t>Jakie inne (poza zarobkami) efekty kształcenia na ocenianej uczelni się dostrzegasz obecnie?21</t>
  </si>
  <si>
    <t>Jakiego rodzaju były studia, które ukończył/a Twoja/Twój podopieczna/podopieczny?22</t>
  </si>
  <si>
    <t>Pole dodatkowe23</t>
  </si>
  <si>
    <t>Jeśli Twoja/Twój podopieczna/podopieczny ukończył/a również inne szkoły / kierunki studiów to proszę wpisz je tutaj.24</t>
  </si>
  <si>
    <t>Jak się nazywa uczelnia, którą ukończył/a Twoja/Twój podopieczna/podopieczny? (proszę o wybranie jednej uczelni podlegającej ocenie)25</t>
  </si>
  <si>
    <t>W którym roku Twoja/Twój podopieczna/y ukończył/a studia (rok w którym uzyskano dyplom ukończenia studiów drugiego stopnia, albo pierwszego stopnia, jeśli nie uzyskano dyplomu 2. stopnia)?26</t>
  </si>
  <si>
    <t>Czy ukończony kierunek był kierunkiem technicznym, tzn. takim, po którym uzyskano tytuł inżyniera?27</t>
  </si>
  <si>
    <t>Jak się nazywa kierunek, który ukończył/a Twoja/Twój podopieczna/podopieczny?28</t>
  </si>
  <si>
    <t>Moja satysfakcja z (efektów) usług edukacyjnych ocenianej uczelni jest wysoka.29</t>
  </si>
  <si>
    <t>Usługi edukacyjne ocenianej uczelni mają wysoką wartość (okazja / szansa rozwoju własnego lub kariery).30</t>
  </si>
  <si>
    <t>Kształcenie na ocenianej uczelni ma/będzie miało pozytywny wpływ na zwiększenie zarobków mojej/mojego podopiecznej/podopiecznego.31</t>
  </si>
  <si>
    <t>Zarobki uzyskiwane przez mojego/moją podopieczną/podopiecznego w pierwszym roku po ukończeniu studiów były satysfakcjonujące (z mojego punktu widzenia)32</t>
  </si>
  <si>
    <t>Zarobki uzyskiwane przez mojego/moją podopieczną/podopiecznego w 3 lata po ukończeniu studiów były satysfakcjonujące (z mojego punktu widzenia)33</t>
  </si>
  <si>
    <t>W ile miesięcy po ukończeniu studiów Twoja/Twój podopieczna/podopieczny uzyskał/a zatrudnienie? Proszę podać liczbę miesięcy lub wpisać inną opcję (np. praca przed ukończeniem studiów; założenie własnej firmy; nie zamierzam pracować)34</t>
  </si>
  <si>
    <t>Jakie inne (poza zarobkami) efekty kształcenia na ocenianej uczelni się dostrzegasz obecnie?35</t>
  </si>
  <si>
    <t>Jakiego rodzaju były studia, które ukończył/a Twoja/Twój podopieczna/podopieczny?36</t>
  </si>
  <si>
    <t>Pole dodatkowe37</t>
  </si>
  <si>
    <t>Jeśli Twoja/Twój podopieczna/podopieczny ukończył/a również inne szkoły / kierunki studiów to proszę wpisz je tutaj.38</t>
  </si>
  <si>
    <t>Jakie inne (poza zarobkami) efekty kształcenia na ocenianej uczelni się dostrzegasz obecnie?39</t>
  </si>
  <si>
    <t>Jak się nazywa uczelnia, na której pracujesz? (proszę o wybranie jednej uczelni podlegającej ocenie)40</t>
  </si>
  <si>
    <t>Na jakim wydziale pracujesz?41</t>
  </si>
  <si>
    <t>Moja satysfakcja z pracy na ocenianej uczelni jest wysoka.42</t>
  </si>
  <si>
    <t>Atmosfera w zespole współpracowników jest dobra.43</t>
  </si>
  <si>
    <t>Moje zarobki są satysfakcjonujące.44</t>
  </si>
  <si>
    <t>Praca na ocenianej uczelni daje mi duże szanse rozwoju.45</t>
  </si>
  <si>
    <t>Wartość wykształcenia zdobywanego przez studentów ocenianej uczelni jest wysoka.46</t>
  </si>
  <si>
    <t>Zdobyte na ocenianej uczelni wykształcenie ma pozytywny wpływ na zwiększenie zarobków absolwentów.47</t>
  </si>
  <si>
    <t>Jakie inne (poza zarobkami) efekty kształcenia na ocenianej uczelni dostrzegasz obecnie?48</t>
  </si>
  <si>
    <t>Pole dodatkowe4</t>
  </si>
  <si>
    <t>Studenci : wybierz wartość z listy rozwijanej5</t>
  </si>
  <si>
    <t>Absolwenci : wybierz wartość z listy rozwijanej6</t>
  </si>
  <si>
    <t>Rodzice absolwentów : wybierz wartość z listy rozwijanej7</t>
  </si>
  <si>
    <t>Pracownicy administracyjni : wybierz wartość z listy rozwijanej8</t>
  </si>
  <si>
    <t>Pracownicy naukowi i dydaktyczni : wybierz wartość z listy rozwijanej9</t>
  </si>
  <si>
    <t>Pracodawcy : wybierz wartość z listy rozwijanej10</t>
  </si>
  <si>
    <t>Władze samorządowe i centralne : wybierz wartość z listy rozwijanej11</t>
  </si>
  <si>
    <t>Pole dodatkowe12</t>
  </si>
  <si>
    <t>Jak się nazywa uczelnia, którą ocenisz? 13</t>
  </si>
  <si>
    <t>Moja satysfakcja z (efektów) usług edukacyjnych na ocenianej uczelni jest wysoka.14</t>
  </si>
  <si>
    <t>Kompetencje absolwentów ocenianej uczelni są wysokie.15</t>
  </si>
  <si>
    <t>Zarobki absolwentów ocenianej uczelni zatrudnionych w mojej firmie są wyższe od zarobków absolwentów innych polskich uczelni.16</t>
  </si>
  <si>
    <t>Czy w Twojej firmie są zatrudniani absolwenci uczelni w pierwszym roku po ukończeniu studiów (do 12 miesięcy od uzyskania dyplomu)?17</t>
  </si>
  <si>
    <t>Jakie kompetencje absolwentów ocenianej uczelni są w Twojej firmie najwyżej wyceniane?18</t>
  </si>
  <si>
    <t>Jakiego rodzaju prace wykonują absolwenci ocenianej uczelni w Twojej firmie?19</t>
  </si>
  <si>
    <t>Jak się nazywa uczelnia, którą ocenisz? 20</t>
  </si>
  <si>
    <t>Moja satysfakcja z (efektów) usług edukacyjnych na ocenianej uczelni jest wysoka.21</t>
  </si>
  <si>
    <t>Kompetencje absolwentów ocenianej uczelni są wysokie.22</t>
  </si>
  <si>
    <t>Zarobki absolwentów ocenianej uczelni zatrudnionych w mojej firmie są wyższe od zarobków absolwentów innych polskich uczelni.23</t>
  </si>
  <si>
    <t>Czy w Twojej firmie są zatrudniani absolwenci uczelni w pierwszym roku po ukończeniu studiów (do 12 miesięcy od uzyskania dyplomu)?24</t>
  </si>
  <si>
    <t>Jakie kompetencje absolwentów ocenianej uczelni są w Twojej firmie najwyżej wyceniane?25</t>
  </si>
  <si>
    <t>Ile uczelni będziesz oceniać?26</t>
  </si>
  <si>
    <t>Wartość wykształcenia zdobywanego przez studentów na ocenianej uczelni jest wysoka.27</t>
  </si>
  <si>
    <t>Zdobyte przez studentów ocenianej uczelni wykształcenie miało/ma pozytywny wpływ na ich zarobki.28</t>
  </si>
  <si>
    <t>Efekty działań ocenianej uczelni na rzecz jakości edukacji mają dobry wpływ na rozwój regionu.29</t>
  </si>
  <si>
    <t>Efekty działań ocenianej uczelni na rzecz jakości edukacji mają dobry wpływ na rozwój Polski.30</t>
  </si>
  <si>
    <t>Współpraca ocenianej uczelni z biznesem ma pozytywne efekty dla rozwoju regionu / kraju.31</t>
  </si>
  <si>
    <t>Ogólny poziom mojej satysfakcji z jakości usług edukacyjnych ocenianej uczelni jest wysoki.32</t>
  </si>
  <si>
    <t>Pole dodatkowe33</t>
  </si>
  <si>
    <t>Jak się nazywa uczelnia, którą ocenisz?34</t>
  </si>
  <si>
    <t>Efekty działań ocenianej uczelni na rzesz jakości edukacji są zgodne ze strategią rozwoju w regionie.35</t>
  </si>
  <si>
    <t>Wartość wykształcenia zdobywanego przez studentów na ocenianej uczelni jest wysoka.36</t>
  </si>
  <si>
    <t>Zdobyte przez studentów ocenianej uczelni wykształcenie miało/ma pozytywny wpływ na ich zarobki.37</t>
  </si>
  <si>
    <t>Efekty działań ocenianej uczelni na rzecz jakości edukacji mają dobry wpływ na rozwój regionu.38</t>
  </si>
  <si>
    <t>Efekty działań ocenianej uczelni na rzecz jakości edukacji mają dobry wpływ na rozwój Polski.39</t>
  </si>
  <si>
    <t>Współpraca ocenianej uczelni z biznesem ma pozytywne efekty dla rozwoju regionu / kraju.40</t>
  </si>
  <si>
    <t>Ogólny poziom mojej satysfakcji z jakości usług edukacyjnych ocenianej uczelni jest wysoki.41</t>
  </si>
  <si>
    <t>Jak się nazywa uczelnia, którą ocenisz?42</t>
  </si>
  <si>
    <t>Efekty działań ocenianej uczelni na rzesz jakości edukacji są zgodne ze strategią rozwoju w regionie.43</t>
  </si>
  <si>
    <t>Wartość wykształcenia zdobywanego przez studentów na ocenianej uczelni jest wysoka.44</t>
  </si>
  <si>
    <t>Zdobyte przez studentów ocenianej uczelni wykształcenie miało/ma pozytywny wpływ na ich zarobki.45</t>
  </si>
  <si>
    <t>Efekty działań ocenianej uczelni na rzecz jakości edukacji mają dobry wpływ na rozwój regionu.46</t>
  </si>
  <si>
    <t>Efekty działań ocenianej uczelni na rzecz jakości edukacji mają dobry wpływ na rozwój Polski.47</t>
  </si>
  <si>
    <t>Współpraca ocenianej uczelni z biznesem ma pozytywne efekty dla rozwoju regionu / kraju.48</t>
  </si>
  <si>
    <t>Ogólny poziom mojej satysfakcji z jakości usług edukacyjnych ocenianej uczelni jest wysoki.49</t>
  </si>
  <si>
    <t>Jakie inne efekty pracy ocenianej uczelni dostrzegasz obecnie?50</t>
  </si>
  <si>
    <t>Kolumna51</t>
  </si>
  <si>
    <t>Kolumna52</t>
  </si>
  <si>
    <t>Pole dodatkowe52</t>
  </si>
  <si>
    <t>Usługi edukacyjne ocenianej uczelni mają wysoką wartość (okazja / szansa rozwoju własnego lub kariery).2</t>
  </si>
  <si>
    <t>w pierwszym roku po ukończeniu studiów : wybierz wartość z listy rozwijanej3</t>
  </si>
  <si>
    <t>w 3 lata po ukończeniu studiów : wybierz wartość z listy rozwijanej4</t>
  </si>
  <si>
    <t>Pole dodatkowe6</t>
  </si>
  <si>
    <t>Moja satysfakcja z (efektów) usług edukacyjnych ocenianej uczelni jest wysoka.7</t>
  </si>
  <si>
    <t>Usługi edukacyjne ocenianej uczelni mają wysoką wartość (okazja / szansa rozwoju własnego lub kariery).8</t>
  </si>
  <si>
    <t>Pole dodatkowe9</t>
  </si>
  <si>
    <t>Jak się nazywa uczelnia, którą ukończył/a Twoja/Twój podopieczna/podopieczny? (proszę o wybranie jednej uczelni podlegającej ocenie)10</t>
  </si>
  <si>
    <t>W którym roku Twoja/Twój podopieczna/y ukończył/a studia (rok w którym uzyskano dyplom ukończenia studiów drugiego stopnia, albo pierwszego stopnia, jeśli nie uzyskano dyplomu 2. stopnia)?11</t>
  </si>
  <si>
    <t>Czy ukończony kierunek był kierunkiem technicznym, tzn. takim, po którym uzyskano tytuł inżyniera?12</t>
  </si>
  <si>
    <t>Jak się nazywa kierunek, który ukończył/a Twoja/Twój podopieczna/podopieczny?13</t>
  </si>
  <si>
    <t>Moja satysfakcja z (efektów) usług edukacyjnych ocenianej uczelni jest wysoka.14</t>
  </si>
  <si>
    <t>Usługi edukacyjne ocenianej uczelni mają wysoką wartość (okazja / szansa rozwoju własnego lub kariery).15</t>
  </si>
  <si>
    <t>Kształcenie na ocenianej uczelni ma/będzie miało pozytywny wpływ na zwiększenie zarobków mojej/mojego podopiecznej/podopiecznego.16</t>
  </si>
  <si>
    <t>Zarobki uzyskiwane przez mojego/moją podopieczną/podopiecznego w pierwszym roku po ukończeniu studiów były satysfakcjonujące (z mojego punktu widzenia)17</t>
  </si>
  <si>
    <t>Zarobki uzyskiwane przez mojego/moją podopieczną/podopiecznego w 3 lata po ukończeniu studiów były satysfakcjonujące (z mojego punktu widzenia)18</t>
  </si>
  <si>
    <t>W ile miesięcy po ukończeniu studiów Twoja/Twój podopieczna/podopieczny uzyskał/a zatrudnienie? Proszę podać liczbę miesięcy lub wpisać inną opcję (np. praca przed ukończeniem studiów; założenie własnej firmy; nie zamierzam pracować)19</t>
  </si>
  <si>
    <t>Jakie inne (poza zarobkami) efekty kształcenia na ocenianej uczelni się dostrzegasz obecnie?20</t>
  </si>
  <si>
    <t>Jakiego rodzaju były studia, które ukończył/a Twoja/Twój podopieczna/podopieczny?21</t>
  </si>
  <si>
    <t>Pole dodatkowe22</t>
  </si>
  <si>
    <t>Jeśli Twoja/Twój podopieczna/podopieczny ukończył/a również inne szkoły / kierunki studiów to proszę wpisz je tutaj.23</t>
  </si>
  <si>
    <t>Jak się nazywa uczelnia, którą ukończył/a Twoja/Twój podopieczna/podopieczny? (proszę o wybranie jednej uczelni podlegającej ocenie)24</t>
  </si>
  <si>
    <t>W którym roku Twoja/Twój podopieczna/y ukończył/a studia (rok w którym uzyskano dyplom ukończenia studiów drugiego stopnia, albo pierwszego stopnia, jeśli nie uzyskano dyplomu 2. stopnia)?25</t>
  </si>
  <si>
    <t>Czy ukończony kierunek był kierunkiem technicznym, tzn. takim, po którym uzyskano tytuł inżyniera?26</t>
  </si>
  <si>
    <t>Jak się nazywa kierunek, który ukończył/a Twoja/Twój podopieczna/podopieczny?27</t>
  </si>
  <si>
    <t>Moja satysfakcja z (efektów) usług edukacyjnych ocenianej uczelni jest wysoka.28</t>
  </si>
  <si>
    <t>Usługi edukacyjne ocenianej uczelni mają wysoką wartość (okazja / szansa rozwoju własnego lub kariery).29</t>
  </si>
  <si>
    <t>Kształcenie na ocenianej uczelni ma/będzie miało pozytywny wpływ na zwiększenie zarobków mojej/mojego podopiecznej/podopiecznego.30</t>
  </si>
  <si>
    <t>Zarobki uzyskiwane przez mojego/moją podopieczną/podopiecznego w pierwszym roku po ukończeniu studiów były satysfakcjonujące (z mojego punktu widzenia)31</t>
  </si>
  <si>
    <t>Zarobki uzyskiwane przez mojego/moją podopieczną/podopiecznego w 3 lata po ukończeniu studiów były satysfakcjonujące (z mojego punktu widzenia)32</t>
  </si>
  <si>
    <t>W ile miesięcy po ukończeniu studiów Twoja/Twój podopieczna/podopieczny uzyskał/a zatrudnienie? Proszę podać liczbę miesięcy lub wpisać inną opcję (np. praca przed ukończeniem studiów; założenie własnej firmy; nie zamierzam pracować)33</t>
  </si>
  <si>
    <t>Jakie inne (poza zarobkami) efekty kształcenia na ocenianej uczelni się dostrzegasz obecnie?34</t>
  </si>
  <si>
    <t>Jakiego rodzaju były studia, które ukończył/a Twoja/Twój podopieczna/podopieczny?35</t>
  </si>
  <si>
    <t>Pole dodatkowe36</t>
  </si>
  <si>
    <t>Jeśli Twoja/Twój podopieczna/podopieczny ukończył/a również inne szkoły / kierunki studiów to proszę wpisz je tutaj.37</t>
  </si>
  <si>
    <t>Jakie inne (poza zarobkami) efekty kształcenia na ocenianej uczelni się dostrzegasz obecnie?38</t>
  </si>
  <si>
    <t>Jak się nazywa uczelnia, na której pracujesz? (proszę o wybranie jednej uczelni podlegającej ocenie)39</t>
  </si>
  <si>
    <t>Na jakim wydziale pracujesz?40</t>
  </si>
  <si>
    <t>Moja satysfakcja z pracy na ocenianej uczelni jest wysoka.41</t>
  </si>
  <si>
    <t>Atmosfera w zespole współpracowników jest dobra.42</t>
  </si>
  <si>
    <t>Moje zarobki są satysfakcjonujące.43</t>
  </si>
  <si>
    <t>Praca na ocenianej uczelni daje mi duże szanse rozwoju.44</t>
  </si>
  <si>
    <t>Wartość wykształcenia zdobywanego przez studentów ocenianej uczelni jest wysoka.45</t>
  </si>
  <si>
    <t>Zdobyte na ocenianej uczelni wykształcenie ma pozytywny wpływ na zwiększenie zarobków absolwentów.46</t>
  </si>
  <si>
    <t>Jakie inne (poza zarobkami) efekty kształcenia na ocenianej uczelni dostrzegasz obecnie?47</t>
  </si>
  <si>
    <t>Kolumna48</t>
  </si>
  <si>
    <t>Kolumna49</t>
  </si>
  <si>
    <t>Kolumna50</t>
  </si>
  <si>
    <t>Pole dodatkowe51</t>
  </si>
  <si>
    <t>Studenci : wybierz wartość z listy rozwijanej52</t>
  </si>
  <si>
    <t>Absolwenci : wybierz wartość z listy rozwijanej53</t>
  </si>
  <si>
    <t>Rodzice absolwentów : wybierz wartość z listy rozwijanej54</t>
  </si>
  <si>
    <t>Pracownicy administracyjni : wybierz wartość z listy rozwijanej55</t>
  </si>
  <si>
    <t>Pracownicy naukowi i dydaktyczni : wybierz wartość z listy rozwijanej56</t>
  </si>
  <si>
    <t>Pracodawcy : wybierz wartość z listy rozwijanej57</t>
  </si>
  <si>
    <t>Władze samorządowe i centralne : wybierz wartość z listy rozwijanej58</t>
  </si>
  <si>
    <t>Pole dodatkowe59</t>
  </si>
  <si>
    <t>Jak się nazywa uczelnia, którą ocenisz? 60</t>
  </si>
  <si>
    <t>Moja satysfakcja z (efektów) usług edukacyjnych na ocenianej uczelni jest wysoka.61</t>
  </si>
  <si>
    <t>Kompetencje absolwentów ocenianej uczelni są wysokie.62</t>
  </si>
  <si>
    <t>Zarobki absolwentów ocenianej uczelni zatrudnionych w mojej firmie są wyższe od zarobków absolwentów innych polskich uczelni.63</t>
  </si>
  <si>
    <t>Czy w Twojej firmie są zatrudniani absolwenci uczelni w pierwszym roku po ukończeniu studiów (do 12 miesięcy od uzyskania dyplomu)?64</t>
  </si>
  <si>
    <t>Jakie kompetencje absolwentów ocenianej uczelni są w Twojej firmie najwyżej wyceniane?65</t>
  </si>
  <si>
    <t>Jakiego rodzaju prace wykonują absolwenci ocenianej uczelni w Twojej firmie?66</t>
  </si>
  <si>
    <t>Jak się nazywa uczelnia, którą ocenisz? 67</t>
  </si>
  <si>
    <t>Moja satysfakcja z (efektów) usług edukacyjnych na ocenianej uczelni jest wysoka.68</t>
  </si>
  <si>
    <t>Kompetencje absolwentów ocenianej uczelni są wysokie.69</t>
  </si>
  <si>
    <t>Zarobki absolwentów ocenianej uczelni zatrudnionych w mojej firmie są wyższe od zarobków absolwentów innych polskich uczelni.70</t>
  </si>
  <si>
    <t>Czy w Twojej firmie są zatrudniani absolwenci uczelni w pierwszym roku po ukończeniu studiów (do 12 miesięcy od uzyskania dyplomu)?71</t>
  </si>
  <si>
    <t>Jakie kompetencje absolwentów ocenianej uczelni są w Twojej firmie najwyżej wyceniane?72</t>
  </si>
  <si>
    <t>Ile uczelni będziesz oceniać?73</t>
  </si>
  <si>
    <t>Wartość wykształcenia zdobywanego przez studentów na ocenianej uczelni jest wysoka.74</t>
  </si>
  <si>
    <t>Zdobyte przez studentów ocenianej uczelni wykształcenie miało/ma pozytywny wpływ na ich zarobki.75</t>
  </si>
  <si>
    <t>Efekty działań ocenianej uczelni na rzecz jakości edukacji mają dobry wpływ na rozwój regionu.76</t>
  </si>
  <si>
    <t>Efekty działań ocenianej uczelni na rzecz jakości edukacji mają dobry wpływ na rozwój Polski.77</t>
  </si>
  <si>
    <t>Współpraca ocenianej uczelni z biznesem ma pozytywne efekty dla rozwoju regionu / kraju.78</t>
  </si>
  <si>
    <t>Ogólny poziom mojej satysfakcji z jakości usług edukacyjnych ocenianej uczelni jest wysoki.79</t>
  </si>
  <si>
    <t>Pole dodatkowe80</t>
  </si>
  <si>
    <t>Jak się nazywa uczelnia, którą ocenisz?81</t>
  </si>
  <si>
    <t>Efekty działań ocenianej uczelni na rzesz jakości edukacji są zgodne ze strategią rozwoju w regionie.82</t>
  </si>
  <si>
    <t>Wartość wykształcenia zdobywanego przez studentów na ocenianej uczelni jest wysoka.83</t>
  </si>
  <si>
    <t>Zdobyte przez studentów ocenianej uczelni wykształcenie miało/ma pozytywny wpływ na ich zarobki.84</t>
  </si>
  <si>
    <t>Efekty działań ocenianej uczelni na rzecz jakości edukacji mają dobry wpływ na rozwój regionu.85</t>
  </si>
  <si>
    <t>Efekty działań ocenianej uczelni na rzecz jakości edukacji mają dobry wpływ na rozwój Polski.86</t>
  </si>
  <si>
    <t>Współpraca ocenianej uczelni z biznesem ma pozytywne efekty dla rozwoju regionu / kraju.87</t>
  </si>
  <si>
    <t>Ogólny poziom mojej satysfakcji z jakości usług edukacyjnych ocenianej uczelni jest wysoki.88</t>
  </si>
  <si>
    <t>Jak się nazywa uczelnia, którą ocenisz?89</t>
  </si>
  <si>
    <t>Efekty działań ocenianej uczelni na rzesz jakości edukacji są zgodne ze strategią rozwoju w regionie.90</t>
  </si>
  <si>
    <t>Wartość wykształcenia zdobywanego przez studentów na ocenianej uczelni jest wysoka.91</t>
  </si>
  <si>
    <t>Zdobyte przez studentów ocenianej uczelni wykształcenie miało/ma pozytywny wpływ na ich zarobki.92</t>
  </si>
  <si>
    <t>Efekty działań ocenianej uczelni na rzecz jakości edukacji mają dobry wpływ na rozwój regionu.93</t>
  </si>
  <si>
    <t>Efekty działań ocenianej uczelni na rzecz jakości edukacji mają dobry wpływ na rozwój Polski.94</t>
  </si>
  <si>
    <t>Współpraca ocenianej uczelni z biznesem ma pozytywne efekty dla rozwoju regionu / kraju.95</t>
  </si>
  <si>
    <t>Ogólny poziom mojej satysfakcji z jakości usług edukacyjnych ocenianej uczelni jest wysoki.96</t>
  </si>
  <si>
    <t>Jakie inne efekty pracy ocenianej uczelni dostrzegasz obecnie?97</t>
  </si>
  <si>
    <t>Kolumna98</t>
  </si>
  <si>
    <t>Kolumna99</t>
  </si>
  <si>
    <t>Pole dodatkowe100</t>
  </si>
  <si>
    <t>ID_zakończone</t>
  </si>
  <si>
    <t>Jakie elementy lub cechy sprawiały, że Tobie studiowało się dobrze?</t>
  </si>
  <si>
    <t>Jakie elementy lub cechy sprawiały, że Tobie studiowało się źle?</t>
  </si>
  <si>
    <t>ILE niepustych</t>
  </si>
  <si>
    <t>Akademia Sztuk Pięknych we Wrocławiu</t>
  </si>
  <si>
    <t>Akademia Sztuk Pięknych w Łodzi</t>
  </si>
  <si>
    <t>Akademia Nauk Stosowanych w Elblągu</t>
  </si>
  <si>
    <t>Uniwersytet Adama Mickiewicza w Poznaniu</t>
  </si>
  <si>
    <t>Uniwersytet Kardynała Stefana Wyszyńskiego w Warszawie</t>
  </si>
  <si>
    <t>Zarządzanie i Marketing</t>
  </si>
  <si>
    <t>Malarstwa i Rzeźby</t>
  </si>
  <si>
    <t>ASP w Gdańsku</t>
  </si>
  <si>
    <t>Architektura i Wzornictwo</t>
  </si>
  <si>
    <t>Wydział Elektroniki Telekomunikacji i Informatyki</t>
  </si>
  <si>
    <t>(Wszystko)</t>
  </si>
  <si>
    <t>Etykiety wierszy</t>
  </si>
  <si>
    <t>Suma końcowa</t>
  </si>
  <si>
    <t>Liczba z Czy jesteś absolwentem uczelni wyższej?</t>
  </si>
  <si>
    <t>(puste)</t>
  </si>
  <si>
    <t>Liczba z Czy jesteś studentem uczelni wyższej?</t>
  </si>
  <si>
    <t>Liczba z Czy jesteś rodzicem / opiekunem absolwenta uczelni wyższej?</t>
  </si>
  <si>
    <t>Liczba z Czy jesteś aktualnie pracownikiem administracyjnym uczelni wyższej?</t>
  </si>
  <si>
    <t>Liczba z Czy jesteś aktualnie pracownikiem naukowym lub dydaktycznym uczelni wyższej?</t>
  </si>
  <si>
    <t>Etykiety kolumn</t>
  </si>
  <si>
    <t>Wartości</t>
  </si>
  <si>
    <t>Liczba z Czy jesteś przedstawicielem władz uczelni z grupy rektorów, prorektorów, dziekanów, prodziekanów, członków senatu lub członków rady uczelni?</t>
  </si>
  <si>
    <t>Liczba z Czy jesteś przedstawicielem władz samorządowych lub centralnych Rzeczypospolitej Polskiej?</t>
  </si>
  <si>
    <t>Liczba z Czy jesteś przedstawicielem firmy, w której są zatrudniani absolwenci uczelni wyższych (tytuł licencjata, magistra lub wyższy)?</t>
  </si>
  <si>
    <t>TAK</t>
  </si>
  <si>
    <t>NIE</t>
  </si>
  <si>
    <t>PUSTE</t>
  </si>
  <si>
    <t>Absolwenci: Liczba respondentów przynależących do grupy interesariuszy</t>
  </si>
  <si>
    <t>Studenci</t>
  </si>
  <si>
    <t>Absolwenci</t>
  </si>
  <si>
    <t>Rodzice / opiekunowie</t>
  </si>
  <si>
    <t>Pracownicy administracyjni</t>
  </si>
  <si>
    <t>Pracownicy naukowi lub dydaktyczni</t>
  </si>
  <si>
    <t>Władze uczelni</t>
  </si>
  <si>
    <t>Przedsiębiorcy</t>
  </si>
  <si>
    <t>Władze samorządowe</t>
  </si>
  <si>
    <t>N (łącznie respondentów)</t>
  </si>
  <si>
    <t>udział ról wśród respondentów</t>
  </si>
  <si>
    <t>suma kontrolna</t>
  </si>
  <si>
    <r>
      <t>N</t>
    </r>
    <r>
      <rPr>
        <b/>
        <vertAlign val="subscript"/>
        <sz val="11"/>
        <color rgb="FF000000"/>
        <rFont val="Calibri"/>
        <family val="2"/>
        <charset val="238"/>
      </rPr>
      <t>abs</t>
    </r>
    <r>
      <rPr>
        <b/>
        <sz val="11"/>
        <color rgb="FF000000"/>
        <rFont val="Calibri"/>
        <family val="2"/>
        <charset val="238"/>
      </rPr>
      <t>(łącznie respondentó będących absolwentami)</t>
    </r>
  </si>
  <si>
    <t>Udział absolwentów wśród pozostałych ról</t>
  </si>
  <si>
    <t>nie powinno się sumować do 100%!</t>
  </si>
  <si>
    <t>Absolwenci: Podział respondentów wg płci</t>
  </si>
  <si>
    <t>Absolwenci: Podział respondentów wg grup wiekowych</t>
  </si>
  <si>
    <t>Kategorie wiekowe</t>
  </si>
  <si>
    <t>poniżej 26 lat</t>
  </si>
  <si>
    <t>powyżej 65 lat</t>
  </si>
  <si>
    <t>Wiek</t>
  </si>
  <si>
    <t>GrupaWiekowa</t>
  </si>
  <si>
    <t>udział %</t>
  </si>
  <si>
    <t>Politechnika Krakowska</t>
  </si>
  <si>
    <t>Nazwa uczelni</t>
  </si>
  <si>
    <t>Absolwenci: podział respondentów wg ukończonych uczelni (ocenianych)</t>
  </si>
  <si>
    <t>Publiczna</t>
  </si>
  <si>
    <t>Zagraniczna</t>
  </si>
  <si>
    <t>Niepubliczna</t>
  </si>
  <si>
    <t>Kategoria uczelni</t>
  </si>
  <si>
    <t>KategoriaUczelni</t>
  </si>
  <si>
    <t>Rodzaj uczelni</t>
  </si>
  <si>
    <t>Absolwenci: podział respondentów wg rodzaju uczelni</t>
  </si>
  <si>
    <t>Skala Likerta</t>
  </si>
  <si>
    <t>N/D</t>
  </si>
  <si>
    <t>Opis słowny oceny</t>
  </si>
  <si>
    <t>Przypisana wartość oceny</t>
  </si>
  <si>
    <t>Liczba respondentów badania ilościowego przynależących do grupy interesariuszy</t>
  </si>
  <si>
    <t>Udział %</t>
  </si>
  <si>
    <t>Interesariusze: Podział respondentów wg płci</t>
  </si>
  <si>
    <t>Interesariusze: Podział respondentów wg grup wiekowych</t>
  </si>
  <si>
    <t>Liczba rozpoczętych ankiet: 259</t>
  </si>
  <si>
    <t>Liczba zakończonych ankiet: 138</t>
  </si>
  <si>
    <t>Liczba respondentów ankiet zakończonych: 133</t>
  </si>
  <si>
    <t>Liczba respondentów ankiet rozpoczętych: 249 (ankiety rozpoczęte z odpowiedziami wskazującymi na osoby pełnoletnie, należące do co najmniej jednej grupy interesriuszy)</t>
  </si>
  <si>
    <t>Proporcja</t>
  </si>
  <si>
    <t>Interesariusze: Podział respondentów wg kategorii wielkości i rodzaju miejscowości pochodzenia</t>
  </si>
  <si>
    <t xml:space="preserve">Liczba ankiet rozpoczętych: </t>
  </si>
  <si>
    <t>Liczba ankiet zakończonych:</t>
  </si>
  <si>
    <t>Liczba respondentów z rozpoczętym badaniem</t>
  </si>
  <si>
    <t>Liczba respondentów z zakończonym badaniem</t>
  </si>
  <si>
    <t>Udział wybranych grup interesariuszy w badaniu kwestionariuszowym wśród grupy absolwentów</t>
  </si>
  <si>
    <t>Studenci: Moja satysfakcja z usług edukacyjnych ocenianej uczelni jest wysoka.</t>
  </si>
  <si>
    <t>liczba odpowiedzi</t>
  </si>
  <si>
    <t>wariancja</t>
  </si>
  <si>
    <t>Absolwenci: Moja satysfakcja z (efektów) usług edukacyjnych ocenianej uczelni jest wysoka.</t>
  </si>
  <si>
    <t>Suma kontrolna</t>
  </si>
  <si>
    <t>Suma do średniej</t>
  </si>
  <si>
    <t>średnia</t>
  </si>
  <si>
    <t>Rodzice: Moja satysfakcja z (efektów) usług edukacyjnych ocenianej uczelni jest wysoka.8</t>
  </si>
  <si>
    <t>Pracownicy administracyjni: Moja satysfakcja z pracy na ocenianej uczelni jest wysoka.</t>
  </si>
  <si>
    <t>Pracownicy naukowi lub dydaktyczni: Moja satysfakcja z pracy na ocenianej uczelni jest wysoka.42</t>
  </si>
  <si>
    <t>Władze uczelni: Efekty działań ocenianej uczelni na rzesz jakości edukacji są dobre</t>
  </si>
  <si>
    <t>Przedsiębiorcy: Moja satysfakcja z (efektów) usług edukacyjnych na ocenianej uczelni jest wysoka.</t>
  </si>
  <si>
    <t>Władze samorządowe: Efekty działań ocenianej uczelni na rzesz jakości edukacji są zgodne ze strategią rozwoju w regionie.</t>
  </si>
  <si>
    <t>Studenci: Usługi edukacyjne ocenianej uczelni mają wysoką wartość (okazja / szansa rozwoju własnego lub kariery).</t>
  </si>
  <si>
    <t>Studenci: Kształcenie na ocenianej uczelni ma/będzie miało pozytywny wpływ na zwiększenie moich zarobków.</t>
  </si>
  <si>
    <t>kwadrat odchyleń od średniej</t>
  </si>
  <si>
    <t>suma kwadratów odchyleń</t>
  </si>
  <si>
    <t>Absolwenci: Usługi edukacyjne ocenianej uczelni mają wysoką wartość (okazja / szansa rozwoju własnego lub kariery).3</t>
  </si>
  <si>
    <t>Absolwenci: Kształcenie na ocenianej uczelni ma/miało pozytywny wpływ na zwiększenie moich zarobków.</t>
  </si>
  <si>
    <t>Rodzice: Usługi edukacyjne ocenianej uczelni mają wysoką wartość (okazja / szansa rozwoju własnego lub kariery).9</t>
  </si>
  <si>
    <t>liczba odpowiedzi 1 podopieczny</t>
  </si>
  <si>
    <t>liczba odpowiedzi 2 podopieczny</t>
  </si>
  <si>
    <t>liczba odpowiedzi 3 podopieczny</t>
  </si>
  <si>
    <t>dla 1.podopiecznego</t>
  </si>
  <si>
    <t>dla 2. podopiecznego</t>
  </si>
  <si>
    <t>dla 3. podopiecznego</t>
  </si>
  <si>
    <t>łącznie</t>
  </si>
  <si>
    <t>łącznie liczba odpowiedzi</t>
  </si>
  <si>
    <t>Rodzice: Kształcenie na ocenianej uczelni ma/będzie miało pozytywny wpływ na zwiększenie zarobków mojej/mojego podopiecznej/podopiecznego.</t>
  </si>
  <si>
    <t>Pracownicy administracyjni: Atmosfera w zespole współpracowników jest dobra.</t>
  </si>
  <si>
    <t>Pracownicy administracyjni: Moje zarobki są satysfakcjonujące.</t>
  </si>
  <si>
    <t>Pracownicy administracyjni: Praca na ocenianej uczelni daje mi duże szanse rozwoju.</t>
  </si>
  <si>
    <t>Pracownicy naukowi lub dydaktyczni: Atmosfera w zespole współpracowników jest dobra.43</t>
  </si>
  <si>
    <t>Pracownicy naukowi lub dydaktyczni: Moje zarobki są satysfakcjonujące.44</t>
  </si>
  <si>
    <t>Pracownicy naukowi lub dydaktyczni: Praca na ocenianej uczelni daje mi duże szanse rozwoju.45</t>
  </si>
  <si>
    <t>Pracownicy naukowi lub dydaktyczni: Wartość wykształcenia zdobywanego przez studentów ocenianej uczelni jest wysoka.46</t>
  </si>
  <si>
    <t>Pracownicy naukowi lub dydaktyczni: Zdobyte na ocenianej uczelni wykształcenie ma pozytywny wpływ na zwiększenie zarobków absolwentów.47</t>
  </si>
  <si>
    <t>Władze uczelni: Ogólny poziom mojej satysfakcji z jakości usług edukacyjnych ocenianej uczelni jest wysoki.</t>
  </si>
  <si>
    <t>Władze uczelni: Wartość wykształcenia zdobywanego przez studentów na ocenianej uczelni jest wysoka.</t>
  </si>
  <si>
    <t>Władze uczelni: Zdobyte przez studentów ocenianej uczelni wykształcenie miało/ma pozytywny wpływ na ich zarobki.</t>
  </si>
  <si>
    <t>Władze uczelni: Efekty działań ocenianej uczelni na rzecz jakości edukacji mają dobry wpływ na rozwój regionu.</t>
  </si>
  <si>
    <t>Władze uczelni: Efekty działań ocenianej uczelni na rzecz jakości edukacji mają dobry wpływ na rozwój Polski.</t>
  </si>
  <si>
    <t>Władze uczelni: Współpraca ocenianej uczelni z biznesem ma pozytywne efekty dla rozwoju regionu / kraju.</t>
  </si>
  <si>
    <t>liczba odpowiedzi 1 uczelnia</t>
  </si>
  <si>
    <t>liczba odpowiedzi 2 uczelnia</t>
  </si>
  <si>
    <t>liczba odpowiedzi 3 uczelnia</t>
  </si>
  <si>
    <t>dla 1. uczelni</t>
  </si>
  <si>
    <t>dla 2. uczelni</t>
  </si>
  <si>
    <t>dla 3. uczelni</t>
  </si>
  <si>
    <t>Przedsiębiorcy: Kompetencje absolwentów ocenianej uczelni są wysokie.</t>
  </si>
  <si>
    <t>Przedsiębiorcy: Zarobki absolwentów ocenianej uczelni zatrudnionych w mojej firmie są wyższe od zarobków absolwentów innych polskich uczelni.</t>
  </si>
  <si>
    <t>Władze samorządowe: Wartość wykształcenia zdobywanego przez studentów na ocenianej uczelni jest wysoka.27</t>
  </si>
  <si>
    <t>Władze samorządowe: Zdobyte przez studentów ocenianej uczelni wykształcenie miało/ma pozytywny wpływ na ich zarobki.28</t>
  </si>
  <si>
    <t>Władze samorządowe: Efekty działań ocenianej uczelni na rzecz jakości edukacji mają dobry wpływ na rozwój regionu.29</t>
  </si>
  <si>
    <t>Władze samorządowe: Efekty działań ocenianej uczelni na rzecz jakości edukacji mają dobry wpływ na rozwój Polski.30</t>
  </si>
  <si>
    <t>Władze samorządowe: Współpraca ocenianej uczelni z biznesem ma pozytywne efekty dla rozwoju regionu / kraju.31</t>
  </si>
  <si>
    <t>Władze samorządowe: Ogólny poziom mojej satysfakcji z jakości usług edukacyjnych ocenianej uczelni jest wysoki.32</t>
  </si>
  <si>
    <t>odchylenie standardowe</t>
  </si>
  <si>
    <t>wariancja w próbie</t>
  </si>
  <si>
    <t>odchylenie standardowe obliczone w próbie</t>
  </si>
  <si>
    <t>alfa</t>
  </si>
  <si>
    <t>Tablica statystyczna rozkładu t-Studenta</t>
  </si>
  <si>
    <t>Poziom istotności / 
stopnie swobody</t>
  </si>
  <si>
    <t>0,5</t>
  </si>
  <si>
    <t>0,2</t>
  </si>
  <si>
    <t>0,1</t>
  </si>
  <si>
    <t>0,05</t>
  </si>
  <si>
    <t>0,01</t>
  </si>
  <si>
    <t>0,005</t>
  </si>
  <si>
    <t>0,001</t>
  </si>
  <si>
    <t>t alfa</t>
  </si>
  <si>
    <t>standaryzowane wartości do testu Chi2</t>
  </si>
  <si>
    <t>Skumulowane prawdopodobieństwo standardowe</t>
  </si>
  <si>
    <t>Przedziałowe prawdopodobieństwo standardowe</t>
  </si>
  <si>
    <t>Teoretyczne liczebności</t>
  </si>
  <si>
    <t>Różnica liczebności empirycznych i teoretycznych</t>
  </si>
  <si>
    <t>Kwadraty różnic empirycznych i teoretycznych</t>
  </si>
  <si>
    <t>Kwadraty różnic empirycznych i teoretycznych przez licznoći teoretyczne</t>
  </si>
  <si>
    <t>Chi2 krytyczne</t>
  </si>
  <si>
    <t>Chi2</t>
  </si>
  <si>
    <t>Nie ma podstaw do odrzucenia H0, więc można przyjąć, że z prawdopodobieństwem na poziomie 95% rozkład jest zgodny z rozkładem normalnym</t>
  </si>
  <si>
    <t>Należy odrzucić H0, więc można przyjąć, że z prawdopodobieństwem na poziomie 95% rozkład nie jest zgodny z rozkładem normalnym</t>
  </si>
  <si>
    <t>Granice przedziałów</t>
  </si>
  <si>
    <t>Górna granica przedziału</t>
  </si>
  <si>
    <t>Interpretacja średniej</t>
  </si>
  <si>
    <t>Wartość graniczna</t>
  </si>
  <si>
    <t>SSIupr</t>
  </si>
  <si>
    <t>SSIupr-studenci</t>
  </si>
  <si>
    <t>SSIupr-absolwenci</t>
  </si>
  <si>
    <t>SSIupr-rodzice</t>
  </si>
  <si>
    <t>SSIupr-pracownicyAdm</t>
  </si>
  <si>
    <t>SSIupr-pracownicyNauk</t>
  </si>
  <si>
    <t>SSIupr-władzeUcz</t>
  </si>
  <si>
    <t>SSIupr-przedsiębiorcy</t>
  </si>
  <si>
    <t>SSIupr-władzeSam</t>
  </si>
  <si>
    <t>WAGI DLA GRUP INTERESARIUSZY</t>
  </si>
  <si>
    <t>Interesariusze, którzy są najistotniejsi</t>
  </si>
  <si>
    <t>Uśrednione wagi [%]</t>
  </si>
  <si>
    <t>Oceny cząstkowe</t>
  </si>
  <si>
    <t>Opinie których interesariuszy są w praktyce najczęściej uwzględniane przy wprowadzaniu zmian na ocenianej uczelni</t>
  </si>
  <si>
    <t>Wywiad (tak)</t>
  </si>
  <si>
    <t>b/d</t>
  </si>
  <si>
    <t>56–65 lat</t>
  </si>
  <si>
    <t>46–55 lat</t>
  </si>
  <si>
    <t>36–45 lat</t>
  </si>
  <si>
    <t>26–35 lat</t>
  </si>
  <si>
    <t>M. Modrzewska</t>
  </si>
  <si>
    <t>Osoba</t>
  </si>
  <si>
    <t>Mateusz Osowski</t>
  </si>
  <si>
    <t>Cyprian Kosik</t>
  </si>
  <si>
    <t>Natalia Świgoń</t>
  </si>
  <si>
    <t>Krzysztof Świgoń</t>
  </si>
  <si>
    <t>Krzysztof Leja</t>
  </si>
  <si>
    <t>Michał Cherek</t>
  </si>
  <si>
    <t>Sławek Ostrowski</t>
  </si>
  <si>
    <t>Paweł Ziemiański</t>
  </si>
  <si>
    <t>Paweł Ellwart (Nordea)</t>
  </si>
  <si>
    <t>Hieronim Kucharski</t>
  </si>
  <si>
    <t>Ryszard Sadowski</t>
  </si>
  <si>
    <t>Igor Gielniak</t>
  </si>
  <si>
    <t>Maria Brzeska-Deli</t>
  </si>
  <si>
    <t>prof. Piotr Kielan</t>
  </si>
  <si>
    <t>Edward Krzemiński</t>
  </si>
  <si>
    <t>Filip Ludka</t>
  </si>
  <si>
    <t>Ola Kucharska</t>
  </si>
  <si>
    <t>Tadeusz Szefler</t>
  </si>
  <si>
    <t>Piotr Grudowski</t>
  </si>
  <si>
    <t>Paweł Balewski</t>
  </si>
  <si>
    <t>Paweł Leyk</t>
  </si>
  <si>
    <t>Kajetan Lewandowski</t>
  </si>
  <si>
    <t>Jolanta Rudzka-Habisiak</t>
  </si>
  <si>
    <t>Maciej Cherek</t>
  </si>
  <si>
    <t>Zbigniew Zienowicz</t>
  </si>
  <si>
    <t>Jarosław Olek</t>
  </si>
  <si>
    <t>Krzysztof Ludka</t>
  </si>
  <si>
    <t>Przemysław Biesek</t>
  </si>
  <si>
    <t>prof. Maciej Sobczak</t>
  </si>
  <si>
    <t>Grzegorz Zieliński</t>
  </si>
  <si>
    <t>Anna Zielińska</t>
  </si>
  <si>
    <t>kategorie wiekowe na 2020</t>
  </si>
  <si>
    <t>TAK (wg wywiadu)</t>
  </si>
  <si>
    <t>Info metryczkowe</t>
  </si>
  <si>
    <t>3. Jak oceniasz różne uczelnie (najlepsze)</t>
  </si>
  <si>
    <t>2. Jacy interesariusze są najistotniejsi dla uczelni?</t>
  </si>
  <si>
    <t>1. Co dla Ciebie jest najważniejszą wartością usług oferowanych przez uczelnie</t>
  </si>
  <si>
    <t>4. Absolwenci, których uczelni są najwyżej cenieni?</t>
  </si>
  <si>
    <t>6. Czy pomiar zarobków absolwentów może być dobrą miarą jakości usług uczelni?</t>
  </si>
  <si>
    <t>5. Czy pomiar sukcesów absolwentów może być dobrą miarą jakości usług uczelni?</t>
  </si>
  <si>
    <t>7. Ocena uczelni (ankieta)</t>
  </si>
  <si>
    <t>8. Czy pomiar satysfakcji interesariuszy może dawać istotne informacje do podnoszenia jakości?</t>
  </si>
  <si>
    <t>9. SSI do podnoszenia jakości?</t>
  </si>
  <si>
    <t>10. SSI dla doskonalenia SZJ?</t>
  </si>
  <si>
    <t>11. Kategorie jakości (wymienić w odniesieniu do uczelni)</t>
  </si>
  <si>
    <t>„Absolwenci słabszych uczelni nie są gorsi od tych z lepszych (pracowitość, walka, chęć rozwoju)”</t>
  </si>
  <si>
    <t>„Kluczowe są efekty dla gospodarki”</t>
  </si>
  <si>
    <t>„Chyba jeszcze nie, może na zachodzie…?”</t>
  </si>
  <si>
    <t>ankieta</t>
  </si>
  <si>
    <t>„warto pytać, sprawdzać”</t>
  </si>
  <si>
    <t>W zależności od rodzaju uczelni
-kształcenie na wyższym poziomie
-zaimplementowanie modus operandi
-kształcenie elity intelektualnej, kulturalnj
-np. nobliści, osiągnięcia</t>
  </si>
  <si>
    <t>Absolwenci i odbiorcy ich usług
Pracodawcy; dopasowanie do potrzeb rynku</t>
  </si>
  <si>
    <t>Muzyczne A muz GDA-&gt; np. wydział jazzu, absolwenci, opinie studentów</t>
  </si>
  <si>
    <t xml:space="preserve">Tak jedną z </t>
  </si>
  <si>
    <t>Tak, z pewnymi ograniczeniami SGH zazwyczaj wyższe</t>
  </si>
  <si>
    <t>Np. SGH- np. tworzenie środowiska, które się popiera i utrzymuje zs sobą kontakt, silne profilowanie dot. poglądów, jak również solidna wiedza</t>
  </si>
  <si>
    <t>Może istnieć korelacja zarobków i satysfakcji</t>
  </si>
  <si>
    <t>Precyzyjne definicje interesariuszy, monitorowanie poziomu satysfakcji interesariuszy</t>
  </si>
  <si>
    <t>Organizacja (oddziałuje na wszystkie inne czynniki) balans między swobodą a nadzorem
Kadra lepsza niż gorsza
Prestiż wykładowców
Wybitni absolwenci
Motywowanie studentów</t>
  </si>
  <si>
    <t xml:space="preserve">Pedagogowi - etat
Studentowi – wyposażenie w kompetencje
Celem jest wyposażenie w kometencje, również wdrożenie w ycie społeczne, doświadczenia życiowe, wartości, etos
Cel studiowania: znajomość i sposób komunikowania celu studiowania </t>
  </si>
  <si>
    <t>Student? Raczej absolwenci niż studenci 
Płaci „Państwo”, jakie cele państwa skoro ono płaci, uczelnia jako ośrodek myśli, kształtowania myśli,
Naród państwo bez wskazania</t>
  </si>
  <si>
    <t>Najlepsze uczelnie muzyczne: Warszawa, Katowice, Kraków (absolwenci wychodzą na bardziej wymagający rynek)
Spadek wiedzy teoretycznej w śród studentów, gorsze przygotowanie)</t>
  </si>
  <si>
    <t>Pomiar sukcesów absolwentów
Komfort studiowania</t>
  </si>
  <si>
    <t>Pomiar zarobków – tak, ale w zdrowych warunkach rynkowych
Pedagodzy decydują o poziomie</t>
  </si>
  <si>
    <t>Być może. Humanistyka to trudna dziedzina do pomiaru, również satysfakcji.</t>
  </si>
  <si>
    <t xml:space="preserve">Mechanizmy wprowadzania usprawnień-&gt; kanały wdrażania usprawnień. Informatyzacja podnosi poziom nauczania, młode pokolenie bardziej otwarte na nowe technologie, metody, rozwiązania. </t>
  </si>
  <si>
    <t>Sukcesy absolwentów, zaangażowanie zawodowe pedagogów, poziom kompetencji zawodowych pedagogów, komfort studiowania, wysokie wymagania pedagogów i rynku, kontakty zawodowe pedagogów, wyposażenie w narzędzia, możliwość praktyk, dobra teoria</t>
  </si>
  <si>
    <t>Kształcenie- wymiar społeczny,oferowaie społeczenstwó wykształconych kadr, kompetencje potencjał wiedzy i doświadczenia nauczycieli. Balans miedzy teorią a praktyką ale w zależności od przedmiotu</t>
  </si>
  <si>
    <t>Studenci- kluczowy interesariusz
Absolwenci, pracodawcy ( prywatni i publiczni -rozróżnienie)
Pracownicy- nauczyciele akademiccy (głownie) społeczeństwo, władze, rodzice- istotni</t>
  </si>
  <si>
    <t>Uniwersytety bez przymiotnik-&gt; z szerokim zakresem obszarów
Uniwersytety „przymiotnikowe”
Klasyfikacje konkursy PG i GUMED top 10 w Polsce 
Miara jakości usług i organizacji ( uczelnie badawcze) jako wynik konkursu z ekspertami zagranicznymi
Dość dobra reprezentacja
Światowe rankingi uczelni
Ranking siły systemu szkolnictwa wyższego w danym kraju
Różnice między lepszymi a gorszymi:
Proaktywne zarządzanie wyprzedzające regulacje krajowe
Rola rektora_ przywództwo charyzmatyczne, bazujące na współpracy i kooperacji (szacunek dla ludzi, konsultowanie opinii, włączanie wszystkich grup pracowników), przywództwo a nie dyktat
Przełamywanie barier „silosowości”</t>
  </si>
  <si>
    <t>Jeden z wielu, bardzo istotny, ale nie jedyny.
Kryteria klasyfikacji z rankingów (np. ocena studentów i absolwentów)
Internacjonalizacja, postrzeganie prez inne uczelnie&lt;peer revievs&gt;
Różne wymiary sukcesu absolwentów (zarobki, inne osiągnięcia, zatrudnialność) wpływ regionu</t>
  </si>
  <si>
    <t>Zarobki-współmierny czynnik niekoniecznie w ścisłej relacji z poziomem satysfakcji zawodowej;
Różnica w efekcie ksztsłcenia hipotetycznego tego samego studenta w polsce PG i Ameryce MIT nie wiedza a możliwość udziału w badaniach.
Różnice w kontaktach, ale możliwości są w każdym miejscu na świecie (rola kontaktów zagranicznych)</t>
  </si>
  <si>
    <t>8 i 9  EFQM (X2019) wyniki w zakresie satysfakcji interesariuszy jedną z kluczowych miar jakości kształcenia
„kultura jakości” noer zagadnienia w badaniach naukowych jako podstaa efektów. Różne postrzegsnie na różnych szczeblach organizacji-&gt; elementy kształtujące kulturę jakości jako determinanty efektów
Różne inne mierniki twarde ale też i miękkie jako kultura jakości</t>
  </si>
  <si>
    <t>Ogólne kompetencje, rozwój człowieka, umiejętności rozwiązywania problemów, radzenie sobie z rzeczywistością-&gt;TECHNICZNE
HUMANISTYCZNE ”karmienie ducha” trochę jak sztuka, myślenie o ideach, które muszą być przekładne na praktykę</t>
  </si>
  <si>
    <t>Kierowane przez kompetencje ( prespektywa)
Techniczna-&gt; kierowanie przez rynek /absolwent+pracodawca/
Humanistyczna-&gt; kompetencje nie są bezpośrednio przekładane na umiejętności /raczej student/</t>
  </si>
  <si>
    <t>M.I.T? technicznej
Humanistyczne UJ (etnologia, socjologia) UW dalej UPoz UWroc 
Cambridge, Oxford, Hadvard, Berkeley</t>
  </si>
  <si>
    <t>Techniczne- zdecydowanie tak sukces najlepszym miernikiem
Humanistyczne- niekoniecznie</t>
  </si>
  <si>
    <t>Techniczne wąskie specyfikacjie
Przez kogo? Chwilowo- logistyka i ecomrce</t>
  </si>
  <si>
    <t>jak w 5</t>
  </si>
  <si>
    <t>(8 i 9)Może być wymierne? Przyczyny satysfakcji? Osiągnięcie celu? (spójność celów uczelni i studentów) kwestia satysfakcji pozornej
Jakość można mierzyć tylko czynnikiem ludzkim-&gt; badanie na ile odkrywamy prawdę i w jakim stopniu</t>
  </si>
  <si>
    <t>Negat.- zbyt dużo szablonowych zadań
-zbyt mało rzeczy kreatywnych
- brakowało adrenalizy wiązanej z twórczością
-odkrywanie siebie vs. ...
-Poziom jakości kształcenia</t>
  </si>
  <si>
    <t>WEWNĘTRZNI
-kadra (internacjonalizacja, współpraca) wystawy kadry i inne wydarzenia artystyczne promujące uczelnie, publikacje, katalogi, magazyny artystyczne
-studenci (aktualne sprawy, żyją na co dzień studiami)
-absolwenci (kontakt z czasem się urywa, głównie świadomość wielkich nazwisk, ok 7%absolwentów żyje ze sztuki; ok 15-20% z pracy na zlecenie wspomagająco do sztuki, 15% poza zawodem
ZEWNĘTRZNI
-władze (miasto, województwo)
Wrocławskie akademickie centrum we Wrocławiu
-współpraca z innymi uczelniami artystycznymi miejscami wspólne rozpoczęcie roku
-instytucje kultury, promocja w innych regionach
-biznes mocna współpraca (bo biznes jest lobbystą, ocieplenie wizerunku biznesu przez sztukę)</t>
  </si>
  <si>
    <t xml:space="preserve"> łatwiej było ocenić 50-30 lat temu, wtedy Kraków i Warszawa reszta bo uczyły lepsze nazwiska
-poziom się w skali ogólnopolskiej wyrównał
-kategorie naukowe wydziałów nie do końca świadczą o byciu najlepszymi
-Wrocław jedyną ze wszystkimi wydziałami o kat A+A
-Gdańsk przez rynek zbytu związany z Jarmarkiem i bliskością Skandynawii
-Łódź-tkanina, moda
-Poznań- Miedzy. Targi Pozna
-absolwenci budują markę uczelni
-międzynarodowe forum muzyki we Wrocławiu	
-zagraniczni studenci chętnie zostają</t>
  </si>
  <si>
    <t>jak 3.</t>
  </si>
  <si>
    <t>Problematyczne
Ministerstwo kultury robi ocenę absolwentów uczelni artystycznych-&gt; znaleźć być może ASP Kraków 85%absolwentów uczelni artyst. Nie wahałaby się powtórzyć studiów</t>
  </si>
  <si>
    <t>Zarobki są jakby tematem tabu w środowisku artystycznym. Trudne do oceny, raczej słaby wskaźnik</t>
  </si>
  <si>
    <t>Raczej nie do oceny bo to kwestia indywidualnego odczucia i odbioru</t>
  </si>
  <si>
    <t>1+11 różnice między uczelniami: ocena parametryczna jest ważna do określenia poziomu jakości usług.
-wysoki poziom kadry oraz aktywności naukowej i artystycznej
-infrastruktura
-historia uczelni
-miasto, lokalizacja, specyfikacja regionu, współpraca z miastem i współpraca międzynarodowa (makroregion) akademicki charakter miasta
-rynek pracy
-balans miedzy praktyką i teorią
-szeroka skala kształcenia – szerokie kompetencje
-ciągły wozwój artystyczny
-indywidualizm (w odróżnieniu od uczelni azjatyckich)
- multiumiejętności absolwentów
Specyfika grupy studentów</t>
  </si>
  <si>
    <t>Wykształcenie
Na początku inaczej niż na końcu
Najpierw ranking, kadra (wybrana bo najlepsze polonistyka), później aktywności pozaakademickie (koła naukowe, samorządy, udział w badaniach naukowych), prestiż kontakty tak do połowy studiów
Miasto może wspierać lub dyskwalifikować wybór decyzja o ew przeprowadzce,.</t>
  </si>
  <si>
    <t>Studenci i doktoranci (często pomijani)
Pracodawcy? Istnieje na niektórych kierunkach ścisła współpraca z przyszłymi pracodawcami
Uczelnia jest rozliczana z losów absolwentów</t>
  </si>
  <si>
    <t>UJ. Toruń  Wrocław (polonistyka)
Głównie według rankingu perspektyw 
Uczelnie badawcze to wiodące uczelnie
Lepsze program UJ program dość konserwatywny, kadra dydaktyczna, znani naukowcy, praktycy na najwyższym poziomie
Najlepsi absolwenci to ci z najlepszych uczelni? raczej tak</t>
  </si>
  <si>
    <t>Naukowe tak bo najlepsze uczelnie dają możliwość lepszego rozwoju naukowego</t>
  </si>
  <si>
    <t>Zarobki raczej nie</t>
  </si>
  <si>
    <t>Satysfakcja raczej lepsza miarą, bardziej zadowoleni ci którzy korzystają z oferty pozadydaktycznej-&gt; pasja i jej realizacja daje satysfakcję?
Prestiż uczelni „otwiera drzwi”
Jeśli brak pasji to przedłużenie szkołu
Skoro dużo pracy to warto robić to co lubisz. Nauczyciele z liceum mają decydujący wpływu na rozwój pasji „klub dzieci polonistów”</t>
  </si>
  <si>
    <t xml:space="preserve"> -lokalizacja, dzięki uwarunkowaniom lokalnym/regionalnym
(przedsiębiorstwa, instytucje, ogólnie rynek)
-współpraca międzynarodowa, możliwości jakie daje uczelnia
-zaplecze socjalne (w tym też stypendia)
-oferta poza dydaktyczna (np. liczba kół naukowych)
-wizerunek (marketing + PR, promocja)
-organizacja? Na UJ ”koszmar” (tragiczny przepływ informacji), regulacje związane z dofinansowaniami, niechęć do studentow, kolejki do dziekana, niedostępność rektora
Mimo wszystko biorąc pod uwagę okoliczności jest nieźle
- nie nauczysz się języka na uczelnie na rektoratach
-uczelnie są nadęte
Słabe platformy on-line
-zaproszenie dla nowego rektora Uj</t>
  </si>
  <si>
    <t>Kształcenie ludzi- powinno być
Jest przynależności społeczna, kontakt
*wyjazd na Erasmusa otworzył oczy na różnice w sposobie kształcenia w Polsce i za granicą. W Polsce rygor i informacja o tym co jest źle a z granicą mówią co jest dobrze. Budowanie wiary w siebie</t>
  </si>
  <si>
    <t>Studenci ale raczej absolwenci
Pracownicy i pracodawcy – bardzo ważni ale na dalszym miejscu</t>
  </si>
  <si>
    <t xml:space="preserve">Eindhoven (architektura) – podejście eksperymentalne
Praktyka projektowa- uczelnie skandynawskie
Wzornictwo- warszawa, Kraków, Gdańsk ale inne też
School of form- Poznań/ Warszawa- prywatna uczelnia, podejście eksperymentalne (wolnościowe)
Obecnie studenci bardziej roszczeniowi ale też większy wyścig szczurów </t>
  </si>
  <si>
    <t>Jak najbardziej</t>
  </si>
  <si>
    <t>Też ma</t>
  </si>
  <si>
    <t>Na pewno; coraz mniej studentów przechodzi na drugi stopień</t>
  </si>
  <si>
    <t>Warszawa, ale wpływ ma większa liczba szans dzięki charakterystyce regionu
Eindhoven mimo ze jest małą miejscowością
Nowy jork, Mediolan, stokholm, kopenhaga, holandia, stolice azja nie bardzo</t>
  </si>
  <si>
    <t>Dla regionu – magnes dla przedsiębiorców, uczelnia przyciąga ludzi, talenty
Wiedza
Zespoły badawcze, rozwijanie (innowacja kilka celów- przyspieszanie rozwoju, kształcenie)</t>
  </si>
  <si>
    <t>Pracownicy, bo prowadzą badania,
Studenci, doktorzy
Pracownicy, przedsiębiorcy, absolwenci (z duża ostrożnością bo głównym celem jest krótkoterminowy zysk)</t>
  </si>
  <si>
    <t>PW, P Wroc AGH, PSL, PG
UW, UJ, NAM, UWroc     (czy listę uczelni badawczych-/chyba/)
Gumed, Umed Warsz</t>
  </si>
  <si>
    <t xml:space="preserve">Analogicznie do 3: najlepsze firmy inwestują tam gdzie najlepsze uczelnie </t>
  </si>
  <si>
    <t>Tak, ale trzeba uważać na kryteria</t>
  </si>
  <si>
    <t>Różnice regionalne w zarobkach -&gt; raczej poziom zadowolenia</t>
  </si>
  <si>
    <t>Satysfakcja najlepsza miarą (kwestia oczekiwań i celów studentów)</t>
  </si>
  <si>
    <t>Własne badania „dział spraw naukowych”</t>
  </si>
  <si>
    <t>Nieuchwytne – nauka, tradycja, wielkość uczelni, ranga ośrodka akademickiego- otoczenie uczelni
Funkcja opinii budowanej długoterminowo
Wynik wieloletniego procesu z dużą inercją
Polit. Rzeszowska
Mark-Nimb np. gmach budujący dobry wizerunek
- zmiany z jednej kadencji nie zaowocują w ciągu 4 lat, obecne zmiany na PG rozpoczęły się ok 20 lat temu
„nie byłoby Intela gdyby nie ETI”</t>
  </si>
  <si>
    <t>Artystyczne-&gt; rozwój artystyczny, zawodowy, jakość kształcenia-&gt; przygotowanie do zawodu
Filologia-&gt; jakość kształcenia</t>
  </si>
  <si>
    <t>Student czy absolwent?
Jeżeli student i absolwent mają te same cele i priorytety; raczej absolwent bardziej zgodny z uczelnią</t>
  </si>
  <si>
    <t>Prywatne bo dbają o satysfakcję klienta podyplomowe lub podstawowe
- uczelnia szybciej reaguje na oczekiwania studentów/klientów
- prywatna lepiej zaspokaja oczekiwania klientów daje to czego oczekują</t>
  </si>
  <si>
    <t>Niekoniecznie szczególnie w artystycznych bo studia to niewielkie element rozwoju kariery</t>
  </si>
  <si>
    <t>Raczej nie, bo trudno wyłowić wpływ uczelni na zarobki absolwentów</t>
  </si>
  <si>
    <t xml:space="preserve">Satysfakcja? Raczej tak choć trzeba uwzględnić subiektywność oceny </t>
  </si>
  <si>
    <t>Z pkt widzenia studenta-&gt; wsółpraca z opiekunem mistrzem
-ukierunkowanie artystyczne, zachęcanie do rozwoju zamiast gróźb, wspieranie i nauka warsztatu
Szanse przetarcia w zawodzie we współpracy ze studentami innych kierunków</t>
  </si>
  <si>
    <t>Trudno powiedzieć bo różne opinie zwłaszcza na rynku kompozytorów</t>
  </si>
  <si>
    <t>Praktyczne umiejętności-&gt; powinno być, 
Spotkanie z drugim człowiekiem-&gt; współpraca, bardziej praktyka</t>
  </si>
  <si>
    <r>
      <t xml:space="preserve">Studenci i </t>
    </r>
    <r>
      <rPr>
        <u/>
        <sz val="11"/>
        <color rgb="FF000000"/>
        <rFont val="Calibri"/>
        <family val="2"/>
        <charset val="238"/>
      </rPr>
      <t>pracodawcy</t>
    </r>
    <r>
      <rPr>
        <sz val="11"/>
        <color rgb="FF000000"/>
        <rFont val="Calibri"/>
        <family val="2"/>
        <charset val="238"/>
      </rPr>
      <t xml:space="preserve"> (na pierwszym miejscu)</t>
    </r>
  </si>
  <si>
    <t>SWPS- top wśród niepublicznych, 
PG, GUMed, UJ, WAT,SGH
Kadra naukowa- praktyczne podejście
Świat a polska- stereotypy- historia- brak wsólnych myśli
Absolwenci to sprawa indywidualna</t>
  </si>
  <si>
    <t>Częściowo tak, na pewno jedna ze składowych, inspiracje</t>
  </si>
  <si>
    <t>Raczej nie, zbyt złożona sytuacja na rynku</t>
  </si>
  <si>
    <t>Tak, zadowolenie tak bo weryfikuje wiedzę w praktyce
-opinie absolwentów istotniejsze</t>
  </si>
  <si>
    <t>Kadra, praktyczne podejście, praca projektowa(forma prowadzenia zajęć), wyjście w teren, wizyty studyjne, otoczenie studenta, oferta poza zajęciami związana ze zdobyciem wykształcenia, współpraca w biznesie</t>
  </si>
  <si>
    <t>Przygotowanie do zawodu, wiedza fachowa teoria i praktyka-&gt; zależy od kierunku ale bardziej praktyka</t>
  </si>
  <si>
    <t>Studenci najważniejsi, kadra musi sama nadążać za rozwojem i zmianami w dziedzinie i kadra nauczająca dodatkowo przygotowanie do studiowania i chęci do studiowania, uczyć też tego co jest niezbędną istotą kierunku, nacisk na kształcenie do samodzielności, poszukiwanie informacji.</t>
  </si>
  <si>
    <t>ASP, Warszawa, Kraków, Poznań, Gdańsk
Absolwenci: Krakowskiej, Warszawskiej (wyższa selekcja na starcie i wyższy poziom absolwentów)</t>
  </si>
  <si>
    <t>Raczej tak; prawdopodobnie najlepszy miernik</t>
  </si>
  <si>
    <t>Niekoniecznie, teraz być może bardziej zarobki zależą od umiejętności. Wiele ryzyk w takiej metodzie.</t>
  </si>
  <si>
    <t>Raczej tak. Dużo różnych czynników wpływających. Zadowolenie z usługi absolwentów główną składową.</t>
  </si>
  <si>
    <t>Częste zmiany procedur psują wiarygodność pozyskiwanych ocen. Szczególnie na uczelni artystycznej poziom złożoności czynników wpływających na jakość jest duża. Duże obciążenie biurokratyczne pomiaru jakości zmianami w sposobach pozyskiwania informacji, czasochłonne</t>
  </si>
  <si>
    <t>Zainteresowanie rekrutacją, popularność prestiż, atrakcyjność usług oferty
-rozbieżność celów- zauważalna, związek z tempem zmian, młodzi mają pewne doświadczenia i podejmują gwałtowne decyzje na podstawie opinii na temat tego co jest potrzebne a co nie
-spięcie miedzy ludźmi a uczelnia
-kiedyś w mniejszym stopniu, bo program był konsekwentny i nie ulegał tak wielu zmianom i nie dawał tylu możliwości wyboru dla studentów
-posługiwanie się metodami komputerowymi daje większe niż kiedyś możliwości wyboru narzędzi do rozwiązywania problemów</t>
  </si>
  <si>
    <t>Dwutorowo: normalizacja i formalizacja wykształcenia
Tworzenie ram do zdobywania wiedzy i umiejętności kompetencje</t>
  </si>
  <si>
    <t>Powinni być pracodawcy – bo tworzą podwaliny pod kompetencje; studenci bo i oni korzystają z efektów 
Studenci czy absolwenci-&gt; pracodawca ( absolwent)</t>
  </si>
  <si>
    <t>Najstarsze uniwersytety kształcą absolwentów najwyżej cenionych
Najlepsze to Zazwyczaj najstarsze również w nowych dziedzinch trochę inaczej</t>
  </si>
  <si>
    <t>Prawdopodobnie tak, ale trzeba by rozróżniać branże</t>
  </si>
  <si>
    <t>Jeżeli szkoliłyby w kierunkach typowo o zarobkach zależnych od umiejętności</t>
  </si>
  <si>
    <t>Tylko  jak to zrobić? Ekonomia szczęścia -trudno ocenić rzetelność</t>
  </si>
  <si>
    <t>Prestiż, historia, tradycja, kadra (doświadczenie, kontakt z rynkiem, humanistyczne- znane nazwiska, umiejętności dydaktyczne)
Jakość studentów (jako wynik działań uczelni) kontakty miendzynarodowe,
Sposób przekazywania wiedzy, matodyka + dobry warsztat dydaktyczny;
Jak kadra traktuje miejsce pracy (podzielanie wartości akademickich, tworzenie specyficznego klimaty), zaangażowanie, kultywowanie tradycji uczel.
Nie tylko pasja ale również wartość danej uczelni
Warunki materialne, techniczne istotne ale nie decydujące (raczej wtórne)</t>
  </si>
  <si>
    <t>Uczelnie są bez sensu. Powinny wprowadzać wyższy poziom. Teoria na wyższym poziomie</t>
  </si>
  <si>
    <t>Studenci, powiązanie z firmami</t>
  </si>
  <si>
    <t>SGH, warszawski</t>
  </si>
  <si>
    <t>Nie mocne szkoły rekrutują geniuszy dlatego są mocne</t>
  </si>
  <si>
    <t>Nie.
Perspektywa pracodawcy. Raczej uczelnia nie determinuje płacy na starcie -MBA licząc</t>
  </si>
  <si>
    <t>Jedni z lepszych studentów to Ci co w Warszawie sobie nie poradzili
Duże perspektywy w warszawie wiec mają lepsze sito</t>
  </si>
  <si>
    <t>Tak i przed w trakcie po</t>
  </si>
  <si>
    <t>Konferencje z udziałem ciekawych firm by pokazać studentom różne możliwości</t>
  </si>
  <si>
    <t>Edukowanie, rozwój oraz badania naukowe -&gt; ważniejsze bo generują wiedzę
Rozój naukowy badaczy i studentów</t>
  </si>
  <si>
    <t>Uniwersytety badawcze- tradycja liczba renomowanych uczonych
Absolwenci- niekoniecznie ci sami co uczelnie
Sukcesy absolwentów niekoniecznie zależą od jakości kształcenia
Osobowość – uczelnie nie kształtują osobowości</t>
  </si>
  <si>
    <t>Studenci, raczej absolwenci, uczelnia nie istnieje bez studentów
Przedsiębiorcy-zależnie do profilu studiów sa kierunki kształcące zawodu i rozwojowo- teoretyczne (wymierają)
Kierunki mieszane-hybrydowe
Coraz ważniejsze ramy programowe (pracownicy, studenci, przedsiębiorcy)</t>
  </si>
  <si>
    <t>Do pewnego stopnia</t>
  </si>
  <si>
    <t>Wątpliwości, bo istotny wpływ renomy na zarobki</t>
  </si>
  <si>
    <t>Satysfakcja lepszą miarą- reguły wyznaczane w ministerstwie mocno kształtują sposoby funkcjonowania uczelni;
Większa masowość nauczania więc studia na renomowanych uczelniach są mniej elitarne</t>
  </si>
  <si>
    <t>Zaplecze techniczne, biblioteczne, warunki kształcenia
Akademiki
Głownie pracownicy i ich warunki pracy- sprzęt, pensje
Walka o przeżycie obniża efekty pracy naukowej
W USA mniej godzin dydaktycznych+warunki zapewnione do przeżycia
W Angli nie można pracować na więcej niż jednej uczelni</t>
  </si>
  <si>
    <t>Wiedza (ale to nabywami sami); przygortowanie do pracy w firmie, np. bycie elastycznym-&gt; umiejętnśc radzenia sobie w trudnych sytuacjach
Priorytet-&gt; znajomość narzędzi stosowanych w firmach
-np. korzystanie z Projeta, GIT, JIRA
-integrowanie poprzez wspólną pracę-&gt; np. praca w SCRUM’ie</t>
  </si>
  <si>
    <r>
      <t xml:space="preserve"> -Przedsiębiorcy- strona popytowa na absolwentów
-młodzi wykładowcy-duża wartość dla studentów
-student vs</t>
    </r>
    <r>
      <rPr>
        <u/>
        <sz val="11"/>
        <color rgb="FF000000"/>
        <rFont val="Calibri"/>
        <family val="2"/>
        <charset val="238"/>
      </rPr>
      <t xml:space="preserve"> ABSOLWENT</t>
    </r>
  </si>
  <si>
    <t>Uczelnie techniczne 
Gdańska PG, UG, Pol-jap
Zagraniczne- niekoniecznie leprze rezultaty niż na polskich 
Przewaga na starcuie przy zatrudnieniu</t>
  </si>
  <si>
    <t>AGH, UW, PG-wyższy poziom</t>
  </si>
  <si>
    <t>Ankieta-feedback co można poprawić raczej pytania ogólne</t>
  </si>
  <si>
    <t>Ocena absolwentów- opinia absolwentów 3-5 lat po studiach</t>
  </si>
  <si>
    <t>szeroki zakres wiedzy z wąskiej dziedziny; przygotowanie do pracy</t>
  </si>
  <si>
    <t xml:space="preserve">ogólna wiedza i poznanie różnych możliwości rozwoju, szans zawodowych, możliwości; wykształcenie, świadomych ludzi i wyposażenie ich w przydatne kompetencje </t>
  </si>
  <si>
    <t>Studenci, prowadzący</t>
  </si>
  <si>
    <t>harvard, oxford, SGH, UJ, PW, PG</t>
  </si>
  <si>
    <t>Raczej tak doświadczenie wśród znajomych, wyższe stawianie sobie poprzeczki, wyższe wymagania finansowe po lepszych uczelniach</t>
  </si>
  <si>
    <t>raczej z tych samych ale dużo można nadrobić samemu</t>
  </si>
  <si>
    <t>duże znaczenie osobowości</t>
  </si>
  <si>
    <t>Badania oceny klientów, też badania satysfakcji pracowników jest przełożenie na doskonalenie- przekazywanie do działu produkcji i jakości</t>
  </si>
  <si>
    <t>Tak, Interesariusze, klienci, dostawcy</t>
  </si>
  <si>
    <t>lepsze uczelnie mniej się reklamują bo nie musza</t>
  </si>
  <si>
    <t>kadra
Różne podejście do pracy</t>
  </si>
  <si>
    <t>Uczelnie- niemal 1000 lat kształcenia i badania
3 misja realizacje z interesariuszami
Miejsce z możliwością swobodnej wymiany myśli i poglądów naukowych (przesłanki naukowe)
Poznanie problemów - prawdy – istotnej
Jakościowe- pytania badawcze
Ilościowe- hipotezy</t>
  </si>
  <si>
    <t>Społeczna odpowiedzialność – model organizacji służącej otoczeniu
rola -kreowanie otoczenia
badania podstawowe i aplikacyjne
autonomia+rozliczalność- np. uczelnie publiczne
dostrzeżono role 3 misji
komunikacja jezykiem zrozumiałym dla społeczeństwa
25-30 % środków z rynku (granty) reszta to srodki publiczne
Analiza przychodów uczelni
Równowaga:społeczność akademicka a otoczenie zewnętrzne (biznes
Obecnie subwencja według algorytmu wcześniej dotacja podstawowa i statutowa + stała przeniesienia
Szkoły wyższe i ich finanse, gus 2019
European univercitets ressaince or pecay butler porównanie USA do UE plambert
Konsorcium Paris saclay+ranking</t>
  </si>
  <si>
    <t>Tak (ciekawe) - rozbudzanie zainteresowań
(Trudne) wysoka poprzeczki
Wynagrodzenia Akademia Leona Koźmińskiego kształcenie na potrzeby zmniejszającego się rynku pracy
Prestiż - samonapedzająca się machina – tak: tradycja, ranking, sukcesy</t>
  </si>
  <si>
    <t>Tak -&gt; dobra uczelnia-&gt; dobre wyniki ewaluacji</t>
  </si>
  <si>
    <t>Tak ;
(prof. wójcicka-mail o cytaty)
Robert Piersig - Zen i sztuka oporządzania motocykla
ServQual</t>
  </si>
  <si>
    <t>tak -&gt; pełniejszy obraz</t>
  </si>
  <si>
    <t>Kadra-&gt; poziom naukowy- ewaluacja-wyniki 13-16 osiągniecia naukowe umiejętności dydaktyczne działania doskonalące dydaktykę
Studenci
Absolwenci
Raczej głos absolwenta niż studenta w kontekście rozwoju
Paradoksy zarzadzania strategicznego
Warunki techniczne istotne dla warunków jakości studiowania
Podkreślić -moja propozycja</t>
  </si>
  <si>
    <t>Dostęp do mistrzów w danej dziedzinie, dobre uczelnie-pasjonaci zarażający pasją, kształtują postawy</t>
  </si>
  <si>
    <t>Studenci, naród, społeczeństwo</t>
  </si>
  <si>
    <t>Nie ma korelacji, ale jest/ powinna być różnica miedzy polskimi i anglosaskimi</t>
  </si>
  <si>
    <t>Pewna korelacja ale niezbyt duża</t>
  </si>
  <si>
    <t>Zarobki -&gt;indywidualne wybory
Jakie uczelnie? Biznesowo tak odniesienie do średniej w danej branży
Stabilność relacji jako pomiar sukcesów</t>
  </si>
  <si>
    <t>Mogłaby przekłamywać wyniki
Studenci nie tylko nie wiedzą czym i po co są studia ale w ogóle nie wiedzą co chcą</t>
  </si>
  <si>
    <t>Jakość kształcenia- praktyczne wykorzystanie</t>
  </si>
  <si>
    <t>Wykładowca-&gt; student, przedsiębiorca
Przedsiębiorca-&gt; przedsiębiorca, absolwent/student
Absolwent-&gt;podobnie
Słuchać głownie absolwentów
Rodzice-&gt; minimalna rola (opiera się na rankingach i opiniach)</t>
  </si>
  <si>
    <t>Uczelnie anglojęzyczne dają większe możliwości
-UK, Mediolan, Pekin
-SGGW, PW, AKADEMIA KOŹMIŃSKIEGO, SGH i PG ostatnio się zepsuło</t>
  </si>
  <si>
    <t>Przedsiębiorca: techniczne uczelnie w Polsce
Wykładowca: zagraniczne
Absolwent jak wyżej 3
Z punktu widzenia małego przedsiębiorcy kandydat ze studiów zagranicznych buja w obłokach/nie stać/ , inaczej dla korporacji</t>
  </si>
  <si>
    <t>Raczej tak. Studia kształtują człowieka. W systemie bolońskim trudniej wyłonić wpływ jednej uczeni, wymagające studia, kontakty na studiach</t>
  </si>
  <si>
    <t xml:space="preserve">Ewentualnie jako pierwsze sito (dochód a zarobki), ale niekoniecznie dobry wskaźnik </t>
  </si>
  <si>
    <t>Lepsza miara
Studenci-&gt; monitorowanie na każdym semestrze i przedmiocie
Absolwenci-&gt; badania przy wręczaniu dyplomu, krótkie otwarte pytania + monitorowanie później na bazie krótkich ankiet
Wykładowcy-&gt; mniejsza intensywność zapytani by wyłapać np. wypalenie pracowników
Przedsiębiorcy-&gt; spotkania z przedsiębiorcami (ew. grupy focusowe, mix branż);
Rozbieżność celów uczelni i studentów -&gt; potwierdzone
20-25% studentów oczekuje praktycznej wiedzy
Cel /umiędzynarodowienia/ też mniejszość
Celem jest zdobycie papierka</t>
  </si>
  <si>
    <t>_Prestiż i ranga (umiędzynarodowienie, standard prowadzenia zajec, kadra-np. czy praktycy, umowy współpracy z uczelniami i przedsiębiorcami, współpraca ze znanymi firmami jakich ma absolwentów
np. SGGW ma świetną aparaturę i kadrę która umie to wykorzystać przy nauczaniu
_jakość kadry
_społeczność akademicka wielkość, integracja, możliwości
_organizacja funkcjonowanie dziekanatu, plany, komunikacja</t>
  </si>
  <si>
    <t>Nie wiedziały na czym się skupić? Czy obsługa pacjentów, czy studenci czy nauka. Kontakty wartościowe na przyszłość; Część bardzo dobrej kadry, wysoki poziom w Polsce, blisko lokalizacja, Możliwość rozwoju (No1) potrzeba patrona – mistrza później samodzielnie</t>
  </si>
  <si>
    <t xml:space="preserve">Nauczanie-rodzice? (studenci, presja na ponadczasową wartość nauki
Istotne finanse na badania, finanse na personel, zgoda na oddelegowanie -szpital + nauczanie
Po równo słuchać studentów (sposób przekazywania wiedzy) i absolwentów (merytoryka), asystentów (wykładowców)
</t>
  </si>
  <si>
    <t>Absolwenci- uczelnie – statystycznie- tak. Życie zawodowe dopiero po specjalizacji. Sprzężenie wzmacniające kandydat- absolwent</t>
  </si>
  <si>
    <t>Zjazdy naukowe, zjazdy studentów i młodych lekarzy z konkursami dal wyróżniających się</t>
  </si>
  <si>
    <t>Pomiar zarobków może być miarodajny? Nie różnice regionalne bardzo istotne, bardzo duże rozbieżności</t>
  </si>
  <si>
    <t>Pomiar satysfakcji? Wątpliwe pomiar możliwości znalezienia pracy- zatrudnialność</t>
  </si>
  <si>
    <t>Co odróżnia lepsze od gorszych:
-porównywalność dzięki centralnemu egzaminowi
- nie ma dużych różnic ale pewne są
-ściąganie dobrej kadry dydaktycznej
-różnice w wyposażeniu- sprzęt jest istotny, ale nie najistotniejszy
-gdybym mógł wybrać jeszcze raz to wybrałbym to samo
Praca asystenta + praca studenta= const</t>
  </si>
  <si>
    <t>Erasmus, Pata
Dla studentów: różnorodna wiedza ogólnoplastyczna, pełne przygotowanie wielodyscyplinarne- silne podstawy do pracy artystycznej w każdej dziedzinie</t>
  </si>
  <si>
    <t>Jak w ankiecie- student wszystko dla studenta
Tonowanie ambicji wykładowczych, ale również rozwój kadry, fundusze, przewody, kursy</t>
  </si>
  <si>
    <t>Agnella biłystok ?
Trudno ocenić, raczej nie w uczelniach artystyczno-plastycznych
London college of art., Savanah college of art and design
Top 50 uczelni światowych w rankingach 
Talent, portfolio, lokalność, znajomość rynku</t>
  </si>
  <si>
    <t>Uczelnia ze znanymi absolwentami jest nobilitowana 
Chwalenie się absolwentami- nowa technika promocji</t>
  </si>
  <si>
    <t>Zarobki- nie</t>
  </si>
  <si>
    <t>Obszary zamian: rady gospodarcze przy uczelniach, przedstawiciele różnych instytucji rynku
Programy dydaktyczne weryfikowane, zajęcia we współpracy zewnętrzni praktycy
Organizacja uczelni, programy dydaktyczne</t>
  </si>
  <si>
    <t>Sprzęt; mistrzowie; promocja uczelni, szczera ale silna</t>
  </si>
  <si>
    <t>Zygmunt Żmuda-Trzebiatowski</t>
  </si>
  <si>
    <t>Jakość edukacji, przydatność w życiu. Teoria a praktyka: PRAKTYKA teoria łatwa do nadrobienia
Cel przekazywanie, budowa tkanki intelektualnej w społeczeństwie</t>
  </si>
  <si>
    <t>Pracodawcy (również instytucje państwowe), studenci (jakby klienci), absolwent (trafniej oceni przydatność przedmiotów) losy absolwentów jako informacja zwrotna</t>
  </si>
  <si>
    <t xml:space="preserve">Politechniki lepsze od uniwersytetów być może w wyniku większej praktyczności, PG jedna z lepszych w Polsce. UJ, UW, WSB dobra ocena po obserwacji od środka. Absolwenci-korelacja istnieje-postrzeganie przez pryzmat marki
Spadek jakości SGH - wizerunek </t>
  </si>
  <si>
    <t>Sukcesy absolwentów miarą jakości
Samonapędzająca się renoma- obawa przed porażką również w liceach</t>
  </si>
  <si>
    <t>Pomiar zarobków-wątpliwy</t>
  </si>
  <si>
    <t>W teorii brzmi dobrze</t>
  </si>
  <si>
    <t>Gotowość do ewaluacji- mierzenia losów absolwentów. Odwaga do poznania opinii na pewno kategorią jakości nie jest liczba studentów, samodzielność pracowników, iprawnienia do doktoratów-&gt; dopiero wtedy uczelnia, a nie szkoła wyższa, rankingi</t>
  </si>
  <si>
    <t>Poza pytaniami:
Samorządowiec:
-Morski charakter miast- fajna opowieść dla miasta – przeciąganie młodych ludzi do miasta podkreślanie związków miast z uczelnią
-AMW coraz mniej istotna bo mniejszy odsetek umundurowanych
-wydział oceanografii
-WSAiB- Gdyniki Biznesplan ocieplanie się wizerunku miasta
-pociąganie biznesu? Cały background trójmiasta
-uniw. Fahrenheita</t>
  </si>
  <si>
    <t>Publiczna mniej skupia się na zysku; powstają usługi przemyślane, badania podstawowe, prawdziwość w edukacji i nauce, spojrzenie - kształtowanie osobowości
Edukacja(najważniejsza bo powoduje zmianę)-badania-usługi/biznes komercjalizacja
Komercyjne; pudrują rzeczywistość, sprzedają to co łatwo sprzedać</t>
  </si>
  <si>
    <t>Wszyscy ważni trzeba wyważyć interesy, ważna równowaga. Interesariusze i inni naukowcy/ zadaniem jest dzielić się wiedzą</t>
  </si>
  <si>
    <t>Business schools: Harvard, Stanford, Berkeley, MIT
Test korelacja pozytywna -&gt; statystycznie
Sprężenie wzmacniające renoma -&gt; jakość? Tak 
(nie myślę ze studia są po to żeby się uczyć (studenci)</t>
  </si>
  <si>
    <t>Jedna z miar – chwalenie się absolwentami</t>
  </si>
  <si>
    <t>Mniej miarodajne – chwalenie się uczelnią</t>
  </si>
  <si>
    <t>Kolejna miara – sensowna ale jedna z wielu</t>
  </si>
  <si>
    <t>Lepsze: robią naukę -&gt; nie tylko dydaktyka, wymagają rozwoju naukowego od pracowników.
-w rozmowach tematy naukowe są ważne
-organizowane ciekawe konferencje
-prawa nadawania stopni…
-Wysokie wymagania wobec dyplomantów
-rzeczywisty kontakt z otoczeniem -&gt; pracodawcy 
-jakość kształcenia: brak akceptacji dla beznadziejnie złych zajęć
Wyposażenie, oprogramowanie</t>
  </si>
  <si>
    <t>Doktoraty tylko wdrożeniowe żadnych na półkę
Zrozumienie misji uczelnie
Misja- gospodarka- wspieranie rozwoju gospodarki
Kompetencje + przyna? metoda?</t>
  </si>
  <si>
    <t>Spojrzenie całościowe-&gt;współpracy
Proces: przemysł generuje (zgłasa) problemy uczelnia szkoli ludzi do rozwiązywania
O co chodzi z punktami za publikacje? 
"Doktorat musi być wdrożony"</t>
  </si>
  <si>
    <t xml:space="preserve">PG odniesienie do kilku osób
WAT? Źle – pracownicy ministerstw generują popyt pomijając NCBiR
Polityka?- blokada
</t>
  </si>
  <si>
    <t>Gospodarka jest ważna -&gt; jako myśl przewodnia na wykładach, kwestia „klimatu” na uczelni;
czy na pewno zielona wyspa?</t>
  </si>
  <si>
    <t>Kształtowanie postaw, umiejętności miękkie, radzenie sobie z barierami, rozumienie szerokiego kontekstu zadań zawodowych, dostrzeganie szerokich relacji w rzeczywistości, przygotowanie do pracy zespołowej,
Techniczne: przygotowanie do rozwiązywania zadań technicznych</t>
  </si>
  <si>
    <t>Skupienie na rynku pracy/pracodawcach (głownie)
Pozostałe również i studenci, władze. Zarówno studenci (też ważna perspektywa) jak i absolwenci (jakościowo większa wartość bo styczność z rynkiem pracy)</t>
  </si>
  <si>
    <t>Lepszy wgląd w dane dotyczące uczelni wśród pracowników
Uczelnie techniczne raczej mają przewagę preferencji przy wyborze pracownika
Formalne wykształcenie plusem ale nie wymaganiem koniecznym „miły dodatek”
Dla juniorów ma to większe znaczenie niż pozostałych ale i tak mało istotny w i IT
Ostrożność we wskazaniu wzorców-kwestia bardziej indywidualna
Juniorzy po pg częściej spełniają oczekiwania na rozmowie kwalifikacyjnej
Nordea-&gt; specyficzne potrzeby rekrutacyjne, bo głownie rekrutują doświadczone osoby
Czy korelacja trudno powiedzieć
Wiele cech osobowościowych i doświadczenia ważniejsze niż formalne wykształcenie
Łatwość dokształcania po lepszej uczelni trudna do oceny
Wymagani głownie absolwenci kierunków technicznych
Różnica czy to studia dzienne czy zaoczne
Studia zaoczne in plus bo zazwyczaj wiążą się z większym doświadczeniem
Spędzenie kilku lat n uczelni technicznej powinno pomagać w co najmniej kilku istotnych kompetencjach potrzebnych w pracy
Współpraca raczej z firmami szkoleniowymi niż uczelniami (kursy, akademie, itp.)</t>
  </si>
  <si>
    <t>Trudno powiedzieć</t>
  </si>
  <si>
    <t>Wiedza tematyczna, rozwój horyzontów, wiedza i umiejętność uczenia się</t>
  </si>
  <si>
    <t>Studenci, przemysł, biznes</t>
  </si>
  <si>
    <t>Techniczne lepsze od humanistycznych, medyczne (warszawskie UW PW, UJ PG GUMed)</t>
  </si>
  <si>
    <t>Ekonomiczne, techniczne, medyczne</t>
  </si>
  <si>
    <t>Jeden z istotnych</t>
  </si>
  <si>
    <t>Niezbyt istotny</t>
  </si>
  <si>
    <t>Kadra (tytuły naukowe…) tradycja, doświadczenie, baza lokalowo-wyposażeniowa)</t>
  </si>
  <si>
    <t>Muzycy -&gt; pracodawcy to instytucje w ramach widełek płacowych;
Specyfika rynku muzycznego o ograniczonej chłonności</t>
  </si>
  <si>
    <t>Absolwenci 60%; Studenci 20%; Pracodawcy 20%
Zmiana specyfiki zawodu po przemianie ustrojowej;
Absolwenci – bo zmiana perspektywy po latach („może mówić prawdę”);
Studenci – źródło nowinek (np. po wymianach);
Pracodawcy;
Pracownicy – również są źródłem nowinek
[potrzeba inspirowania studentów]
[Praktyka czy Teoria? -&gt; raczej więcej praktyki;
Determinacja, nastawienie na sukces, aspiracje]</t>
  </si>
  <si>
    <t>KRASP -&gt; komisja rankingów i kredytacji
Znana uczelnia muzyczna: Monachium, czy Dżakarta?
JulianD (?), OXFORD MALE, Royal College of Music, Royal Academy of Music (?), Paryż, Kopenhaga, Wiedeń (Orkiestra Austro-węgierska);
Kiedyś: Moskwa, Petersburg
Najlepsza organizacyjnie: KATOWICE</t>
  </si>
  <si>
    <t>Raczej nie, bo sukcesy absolwentów są „przypadkowe”</t>
  </si>
  <si>
    <t>Może mieć sens, ale: „ukrywanie dochodów”, wpływ regionalności (Warszawa – wyższe stawki), elitarne kluby, znajomości</t>
  </si>
  <si>
    <t>Może,
Satysfakcja może mieć wartość</t>
  </si>
  <si>
    <t>Komisja ds. zarządzania jakością: badanie losów absolwentów (zwrotność ankiet 15%-20%); Badanie opinii studentów</t>
  </si>
  <si>
    <t>Organizacja, inne trudne do kreślenia</t>
  </si>
  <si>
    <t>1 przepływ wiedzy do biznesu-„publikuj albo giń”
2 wiedza o praktycznym potencjale do wykorzystania
3 sumienność, solidność, słowność, przejrzystość moralna, również poprzez przykład działań uczelni, odpowiedzialność
Miernik: punkty zamiast wartości dodanej generowanej na uczelniach</t>
  </si>
  <si>
    <t>Przedsiębiorca-absolwenci/zasoby, ew. efekty wiedzy
Studenci/absolwenci -&gt; wiedza -&gt; zarobki
Państwo (rząd) -&gt; wzrost gospodarcy
Władze lokalne -&gt; pracodawca, podatki</t>
  </si>
  <si>
    <t>PG=PŚL w oddziałach niższy poziom kompetencji</t>
  </si>
  <si>
    <t>Większy wpływ środowiska/pochodzenia niż uczelni na sukces absolwenta
Kierunki ekonomiczne -&gt; być może</t>
  </si>
  <si>
    <t>Informatyka -&gt; WAT 
AGH 
Negatywne: PG, P Koszalińska</t>
  </si>
  <si>
    <t>Misja uczelni</t>
  </si>
  <si>
    <t>Samodzielne uczenie się, wnioskowanie logiczne, umiejętności zawodowe</t>
  </si>
  <si>
    <t>Studenci, absolwenci</t>
  </si>
  <si>
    <t>Biznesowe Nowy Sącz, Warszawa, P Warsz.</t>
  </si>
  <si>
    <t>niekoniecznie</t>
  </si>
  <si>
    <t>Kontakty środowiskowe, zawodowe poznanie warsztatu, narzędzia/ umiejętności, analityczne myślenie</t>
  </si>
  <si>
    <t xml:space="preserve">Organy administracji publicznej dla studiów humanistycznych i pracodawcy (szkoły -&gt;kierownictwo systemu oświaty)
Dla politechnik -&gt; inwestorzy (przedsiębiorcy/pracodawcy) na drugim miejscu studenci </t>
  </si>
  <si>
    <t>UG na lepszym poziomie niż Bydgoszcz lub Słupsk, Poznań, Kraków wyżej niż UG</t>
  </si>
  <si>
    <t xml:space="preserve">Techniczne, informatyczne, humanistyczne, prawnicze </t>
  </si>
  <si>
    <t>Tak. Efektywność wartości dodanej</t>
  </si>
  <si>
    <t>Kształcenie kadr;
Umiejętność rozwijania wiedzy, prowadzenie badań; umiejętność konfrontacji rezultatów;
AZ: wzmacnianie chęci badań, rozwoju pracowników;</t>
  </si>
  <si>
    <t>AZ: Władze centralne bardziej niż samorządowe, głównie władze uczelni i studenci;</t>
  </si>
  <si>
    <t>GZ: Pracownicy, Studenci, pracodawcy, władze regulacyjne; absolwenci mniej niż studenci</t>
  </si>
  <si>
    <t>SGH mimo, że nisko w rankingach;
UW najlepszy wg rankingów choć nie tak dobry
Zarządzanie: PG, SGH, UEWroc, UEPozn, UJ, UEKraków</t>
  </si>
  <si>
    <t>Być może miernik sukcesów byłby korzystny, ale w kontekście pracy dydaktyka ma małe znaczenie; obciążony warunkami rynkowymi.</t>
  </si>
  <si>
    <t>Być może miernik sukcesów byłby korzystny, ale w kontekście pracy dydaktyka ma małe znaczenie; obciążony warunkami rynkowymi.
GZ: Pozyskiwanie talentów -&gt; w Polsce jedynie dodatkowe punkty na rekrutacji, brak innych metod pozyskiwania talentów</t>
  </si>
  <si>
    <t>GZ: mogłoby być, ale będzie dużo dodatkowych czynników wpływających na wyniki</t>
  </si>
  <si>
    <t>brak ankiety</t>
  </si>
  <si>
    <t>AZ: częściowo tak; np. satysfakcja studentów; różnica między P Roc? A UEPoz.</t>
  </si>
  <si>
    <t>GZ: Kto ma być zadowolony? Grupa czy jednostka?
Kwestia problemu: „Co jest celem studiów, a co jest celem studentów?”</t>
  </si>
  <si>
    <t>GZ: info zwrotna od interesariuszy do wskazania kierunków doskonalenia.
„przez Sejm :)” przez Samorząd studencki; głos Absolwentów słabo słyszalny. Głos studentów bardzo istotny</t>
  </si>
  <si>
    <t>Co wyróżnia lepsze od słabszych:
AZ: kategoria naukowa, liczba studentów, zadowolenie pracownika, prestiż</t>
  </si>
  <si>
    <t>Co wyróżnia lepsze od słabszych:
GZ: przydatne kompetencje nauczane, zadowolenie pracownika, relacje z biznesem. Przywództwo i dobra organizacja, swoboda dla pracowników do rozwoju, „pozwolenie na samodzielność”</t>
  </si>
  <si>
    <t>(A_R_P_U; 5; m; F; t/n)</t>
  </si>
  <si>
    <t>(A_R_W; 5; m; D; t/n)</t>
  </si>
  <si>
    <t>(A_R_W_U_WŁ; 5; m; F; t/n)</t>
  </si>
  <si>
    <t>(A; 2; m; D; t/t)</t>
  </si>
  <si>
    <t>(A_AD_W_U_WŁ; 5; m; E; t/n)</t>
  </si>
  <si>
    <t>(A_AD; 2; k; C; t/t)</t>
  </si>
  <si>
    <t>(A_W_P; 3; m; F; t/n)</t>
  </si>
  <si>
    <t>(A_AD; 3; m; E; t/n)</t>
  </si>
  <si>
    <t>(S_A; 2; m; F; t/t)</t>
  </si>
  <si>
    <t>(A_P; 3; k; E; t/n)</t>
  </si>
  <si>
    <t>(S_A; 2; m; C; t/n)</t>
  </si>
  <si>
    <t>(A_R_AD_W_P; 5; k; F; t/n)</t>
  </si>
  <si>
    <t>(A; 2; m; F; n/n)</t>
  </si>
  <si>
    <t>(A; 2; m; F; t/n)</t>
  </si>
  <si>
    <t>(A; 2; k; A; n/n)</t>
  </si>
  <si>
    <t>(A_R_W_U; 5; m; F; t/n)</t>
  </si>
  <si>
    <t>(A_P; 4; m; F; n/n)</t>
  </si>
  <si>
    <t>(A_W_P; 2; m; F; t/n)</t>
  </si>
  <si>
    <t>(A; 4; m; F; t/n)</t>
  </si>
  <si>
    <t>(A_R_U; 5; k; F; t/n)</t>
  </si>
  <si>
    <t>(A_WŁ; 4; m; E; t/n)</t>
  </si>
  <si>
    <t>(A_W; 3; m; F; t/n)</t>
  </si>
  <si>
    <t>(A_R_W_P; 5; m; E; t/t)</t>
  </si>
  <si>
    <t>(A_P; 2; m; D; t/t)</t>
  </si>
  <si>
    <t>(A_R_WŁ; 4; m; C; t/n)</t>
  </si>
  <si>
    <t>(A_U; 5; m; F; t/n)</t>
  </si>
  <si>
    <t>(A_R_P; 5; m; F; t/n)</t>
  </si>
  <si>
    <t>(A_W; 3; k; F; t/n)</t>
  </si>
  <si>
    <t>(A_W; 4; m; F; t/n)</t>
  </si>
  <si>
    <t>Techniczna</t>
  </si>
  <si>
    <t>Nietechniczna</t>
  </si>
  <si>
    <t>Czy uczelnia techniczna?</t>
  </si>
  <si>
    <t>Czy kierunek techniczny?</t>
  </si>
  <si>
    <t>Tech</t>
  </si>
  <si>
    <t>Opis metryczkowy</t>
  </si>
  <si>
    <t>Lp. wywiadu</t>
  </si>
  <si>
    <t>NTech</t>
  </si>
  <si>
    <t>(pusta)</t>
  </si>
  <si>
    <t>(A_R_P; 5; m; F; n/t)</t>
  </si>
  <si>
    <t>Pracodawcy</t>
  </si>
  <si>
    <t>Pracownicy</t>
  </si>
  <si>
    <t>Państwo</t>
  </si>
  <si>
    <t>Pracownicy (naukowi/wykładowcy)</t>
  </si>
  <si>
    <t>Rodzice</t>
  </si>
  <si>
    <t>Władze centralne / samorządowe ("państwo")</t>
  </si>
  <si>
    <t>Inne uczelnie / ośrodki badawcze</t>
  </si>
  <si>
    <t>Uczelnie</t>
  </si>
  <si>
    <t>Doktoranci i studenci</t>
  </si>
  <si>
    <t>Naród / Społeczeństwo</t>
  </si>
  <si>
    <t>Naród</t>
  </si>
  <si>
    <t>Wszyscy</t>
  </si>
  <si>
    <t>Pracodawcy / Przemysł / Biznes</t>
  </si>
  <si>
    <t>Rodzaj interesariusza</t>
  </si>
  <si>
    <t>Liczba wskazań</t>
  </si>
  <si>
    <t>Nagranie</t>
  </si>
  <si>
    <t>Kształcenie kadr;
Umiejętność rozwijania wiedzy, prowadzenie badań; umiejętność konfrontacji rezultatów;
GZ: Misja nastawiona na przygotowanie do zawodu;
Powinna być równowaga: potrzeby rynkowe – naukowość – kompetencje społeczne i organizacyjne;
Obecnie regulacje promują ukierunkowanie na badania naukowe</t>
  </si>
  <si>
    <t>(A_R_W; 6; m; F; n/n)</t>
  </si>
  <si>
    <t>(A_P; 3; m; F; 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</si>
</sst>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rgb="FF000000"/>
      <name val="Calibri"/>
    </font>
    <font>
      <sz val="8"/>
      <name val="Calibri"/>
      <family val="2"/>
      <charset val="238"/>
    </font>
    <font>
      <sz val="11"/>
      <color rgb="FF000000"/>
      <name val="Calibri"/>
      <family val="2"/>
      <charset val="238"/>
    </font>
    <font>
      <b/>
      <sz val="11"/>
      <color theme="0"/>
      <name val="Calibri"/>
      <family val="2"/>
      <charset val="238"/>
    </font>
    <font>
      <sz val="11"/>
      <name val="Calibri"/>
      <family val="2"/>
      <charset val="238"/>
    </font>
    <font>
      <b/>
      <sz val="11"/>
      <name val="Calibri"/>
      <family val="2"/>
      <charset val="238"/>
    </font>
    <font>
      <sz val="11"/>
      <color rgb="FF000000"/>
      <name val="Calibri"/>
      <family val="2"/>
      <charset val="238"/>
    </font>
    <font>
      <b/>
      <sz val="11"/>
      <color rgb="FF000000"/>
      <name val="Calibri"/>
      <family val="2"/>
      <charset val="238"/>
    </font>
    <font>
      <i/>
      <strike/>
      <sz val="11"/>
      <color rgb="FF000000"/>
      <name val="Calibri"/>
      <family val="2"/>
      <charset val="238"/>
    </font>
    <font>
      <b/>
      <vertAlign val="subscript"/>
      <sz val="11"/>
      <color rgb="FF000000"/>
      <name val="Calibri"/>
      <family val="2"/>
      <charset val="238"/>
    </font>
    <font>
      <sz val="11"/>
      <color rgb="FFFF0000"/>
      <name val="Calibri"/>
      <family val="2"/>
      <charset val="238"/>
    </font>
    <font>
      <sz val="11"/>
      <color theme="1"/>
      <name val="Calibri"/>
      <family val="2"/>
      <charset val="238"/>
    </font>
    <font>
      <i/>
      <sz val="11"/>
      <color rgb="FF000000"/>
      <name val="Calibri"/>
      <family val="2"/>
      <charset val="238"/>
    </font>
    <font>
      <b/>
      <u/>
      <sz val="11"/>
      <color rgb="FF000000"/>
      <name val="Calibri"/>
      <family val="2"/>
      <charset val="238"/>
    </font>
    <font>
      <sz val="11"/>
      <color rgb="FF000000"/>
      <name val="Arial"/>
      <family val="2"/>
      <charset val="238"/>
    </font>
    <font>
      <u/>
      <sz val="11"/>
      <color rgb="FF000000"/>
      <name val="Calibri"/>
      <family val="2"/>
      <charset val="238"/>
    </font>
  </fonts>
  <fills count="7">
    <fill>
      <patternFill patternType="none"/>
    </fill>
    <fill>
      <patternFill patternType="gray125"/>
    </fill>
    <fill>
      <patternFill patternType="solid">
        <fgColor rgb="FFFFC000"/>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00B050"/>
        <bgColor indexed="64"/>
      </patternFill>
    </fill>
  </fills>
  <borders count="16">
    <border>
      <left/>
      <right/>
      <top/>
      <bottom/>
      <diagonal/>
    </border>
    <border>
      <left style="thin">
        <color theme="0"/>
      </left>
      <right style="thin">
        <color theme="0"/>
      </right>
      <top style="thick">
        <color theme="0"/>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indexed="65"/>
      </top>
      <bottom style="thin">
        <color rgb="FF999999"/>
      </bottom>
      <diagonal/>
    </border>
    <border>
      <left style="thin">
        <color rgb="FF999999"/>
      </left>
      <right style="thin">
        <color rgb="FF999999"/>
      </right>
      <top style="thin">
        <color indexed="65"/>
      </top>
      <bottom style="thin">
        <color rgb="FF999999"/>
      </bottom>
      <diagonal/>
    </border>
    <border>
      <left/>
      <right style="thin">
        <color theme="0"/>
      </right>
      <top style="thin">
        <color theme="0"/>
      </top>
      <bottom style="thin">
        <color theme="0"/>
      </bottom>
      <diagonal/>
    </border>
  </borders>
  <cellStyleXfs count="3">
    <xf numFmtId="0" fontId="0" fillId="0" borderId="0"/>
    <xf numFmtId="0" fontId="2" fillId="0" borderId="0"/>
    <xf numFmtId="9" fontId="6" fillId="0" borderId="0" applyFont="0" applyFill="0" applyBorder="0" applyAlignment="0" applyProtection="0"/>
  </cellStyleXfs>
  <cellXfs count="66">
    <xf numFmtId="0" fontId="0" fillId="0" borderId="0" xfId="0"/>
    <xf numFmtId="0" fontId="0" fillId="2" borderId="0" xfId="0" applyFill="1"/>
    <xf numFmtId="0" fontId="2" fillId="0" borderId="0" xfId="1"/>
    <xf numFmtId="0" fontId="0" fillId="2" borderId="0" xfId="0" applyFill="1" applyAlignment="1">
      <alignment wrapText="1"/>
    </xf>
    <xf numFmtId="0" fontId="3" fillId="3" borderId="1" xfId="0" applyFont="1" applyFill="1" applyBorder="1"/>
    <xf numFmtId="0" fontId="3" fillId="2" borderId="1" xfId="0" applyFont="1" applyFill="1" applyBorder="1"/>
    <xf numFmtId="0" fontId="4" fillId="2" borderId="0" xfId="0" applyFont="1" applyFill="1"/>
    <xf numFmtId="0" fontId="5" fillId="2" borderId="1" xfId="0" applyFont="1" applyFill="1" applyBorder="1"/>
    <xf numFmtId="0" fontId="5" fillId="3" borderId="1" xfId="0" applyFont="1" applyFill="1" applyBorder="1"/>
    <xf numFmtId="0" fontId="0" fillId="0" borderId="2" xfId="0" applyBorder="1"/>
    <xf numFmtId="0" fontId="0" fillId="0" borderId="3" xfId="0" applyBorder="1"/>
    <xf numFmtId="0" fontId="0" fillId="0" borderId="4" xfId="0" applyBorder="1"/>
    <xf numFmtId="0" fontId="0" fillId="0" borderId="7" xfId="0" pivotButton="1" applyBorder="1"/>
    <xf numFmtId="0" fontId="0" fillId="0" borderId="7" xfId="0" applyBorder="1"/>
    <xf numFmtId="0" fontId="0" fillId="0" borderId="8" xfId="0" applyBorder="1"/>
    <xf numFmtId="0" fontId="0" fillId="0" borderId="2" xfId="0" pivotButton="1" applyBorder="1"/>
    <xf numFmtId="0" fontId="0" fillId="0" borderId="2" xfId="0" applyBorder="1" applyAlignment="1">
      <alignment horizontal="left"/>
    </xf>
    <xf numFmtId="0" fontId="0" fillId="0" borderId="5" xfId="0" applyBorder="1" applyAlignment="1">
      <alignment horizontal="left"/>
    </xf>
    <xf numFmtId="0" fontId="0" fillId="0" borderId="11" xfId="0" applyBorder="1"/>
    <xf numFmtId="0" fontId="0" fillId="0" borderId="6" xfId="0" applyBorder="1" applyAlignment="1">
      <alignment horizontal="left"/>
    </xf>
    <xf numFmtId="0" fontId="2" fillId="0" borderId="0" xfId="0" applyFont="1"/>
    <xf numFmtId="0" fontId="0" fillId="0" borderId="7" xfId="0" pivotButton="1" applyBorder="1" applyAlignment="1">
      <alignment wrapText="1"/>
    </xf>
    <xf numFmtId="0" fontId="0" fillId="0" borderId="7" xfId="0" applyBorder="1" applyAlignment="1">
      <alignment wrapText="1"/>
    </xf>
    <xf numFmtId="0" fontId="0" fillId="0" borderId="2" xfId="0" pivotButton="1" applyBorder="1" applyAlignment="1">
      <alignment wrapText="1"/>
    </xf>
    <xf numFmtId="0" fontId="0" fillId="0" borderId="8" xfId="0" applyBorder="1" applyAlignment="1">
      <alignment wrapText="1"/>
    </xf>
    <xf numFmtId="0" fontId="0" fillId="0" borderId="2" xfId="0" applyBorder="1" applyAlignment="1">
      <alignment horizontal="left" wrapText="1"/>
    </xf>
    <xf numFmtId="0" fontId="0" fillId="0" borderId="5" xfId="0" applyBorder="1" applyAlignment="1">
      <alignment horizontal="left" wrapText="1"/>
    </xf>
    <xf numFmtId="0" fontId="0" fillId="0" borderId="10" xfId="0" applyBorder="1" applyAlignment="1">
      <alignment horizontal="left" wrapText="1"/>
    </xf>
    <xf numFmtId="0" fontId="0" fillId="0" borderId="0" xfId="0" applyAlignment="1">
      <alignment wrapText="1"/>
    </xf>
    <xf numFmtId="0" fontId="7" fillId="0" borderId="0" xfId="0" applyFont="1"/>
    <xf numFmtId="10" fontId="0" fillId="0" borderId="0" xfId="2" applyNumberFormat="1" applyFont="1"/>
    <xf numFmtId="2" fontId="8" fillId="0" borderId="0" xfId="2" applyNumberFormat="1" applyFont="1"/>
    <xf numFmtId="0" fontId="8" fillId="0" borderId="0" xfId="0" applyFont="1"/>
    <xf numFmtId="9" fontId="0" fillId="0" borderId="0" xfId="2" applyFont="1"/>
    <xf numFmtId="0" fontId="4" fillId="0" borderId="0" xfId="0" applyFont="1"/>
    <xf numFmtId="0" fontId="0" fillId="0" borderId="9" xfId="0" applyBorder="1"/>
    <xf numFmtId="0" fontId="0" fillId="0" borderId="9" xfId="0" applyBorder="1" applyAlignment="1">
      <alignment wrapText="1"/>
    </xf>
    <xf numFmtId="0" fontId="0" fillId="0" borderId="5" xfId="0" applyBorder="1"/>
    <xf numFmtId="0" fontId="0" fillId="0" borderId="12" xfId="0" applyBorder="1"/>
    <xf numFmtId="0" fontId="0" fillId="0" borderId="6" xfId="0" applyBorder="1"/>
    <xf numFmtId="0" fontId="0" fillId="0" borderId="13" xfId="0" applyBorder="1"/>
    <xf numFmtId="0" fontId="0" fillId="0" borderId="14" xfId="0" applyBorder="1"/>
    <xf numFmtId="0" fontId="10" fillId="0" borderId="0" xfId="0" applyFont="1"/>
    <xf numFmtId="1" fontId="0" fillId="0" borderId="0" xfId="0" applyNumberFormat="1"/>
    <xf numFmtId="164" fontId="0" fillId="0" borderId="0" xfId="0" applyNumberFormat="1"/>
    <xf numFmtId="164" fontId="0" fillId="0" borderId="0" xfId="0" applyNumberFormat="1" applyAlignment="1">
      <alignment horizontal="center"/>
    </xf>
    <xf numFmtId="0" fontId="7" fillId="0" borderId="0" xfId="0" applyFont="1" applyAlignment="1">
      <alignment wrapText="1"/>
    </xf>
    <xf numFmtId="0" fontId="12" fillId="0" borderId="0" xfId="0" applyFont="1"/>
    <xf numFmtId="0" fontId="13" fillId="0" borderId="0" xfId="0" applyFont="1"/>
    <xf numFmtId="0" fontId="11" fillId="4" borderId="15" xfId="0" applyFont="1" applyFill="1" applyBorder="1"/>
    <xf numFmtId="0" fontId="11" fillId="5" borderId="15" xfId="0" applyFont="1" applyFill="1" applyBorder="1"/>
    <xf numFmtId="0" fontId="0" fillId="0" borderId="0" xfId="2" applyNumberFormat="1" applyFont="1"/>
    <xf numFmtId="0" fontId="12" fillId="0" borderId="0" xfId="2" applyNumberFormat="1" applyFont="1"/>
    <xf numFmtId="164" fontId="14" fillId="0" borderId="0" xfId="0" applyNumberFormat="1" applyFont="1"/>
    <xf numFmtId="164" fontId="7" fillId="0" borderId="0" xfId="0" applyNumberFormat="1" applyFont="1"/>
    <xf numFmtId="0" fontId="2" fillId="0" borderId="0" xfId="0" applyFont="1" applyAlignment="1">
      <alignment vertical="top"/>
    </xf>
    <xf numFmtId="0" fontId="0" fillId="6" borderId="0" xfId="0" applyFill="1"/>
    <xf numFmtId="0" fontId="2" fillId="6" borderId="0" xfId="0" applyFont="1" applyFill="1"/>
    <xf numFmtId="0" fontId="2" fillId="0" borderId="0" xfId="0" applyFont="1" applyAlignment="1">
      <alignment wrapText="1"/>
    </xf>
    <xf numFmtId="0" fontId="2" fillId="0" borderId="0" xfId="0" applyFont="1" applyAlignment="1">
      <alignment vertical="center"/>
    </xf>
    <xf numFmtId="0" fontId="2" fillId="0" borderId="0" xfId="0" applyFont="1" applyAlignment="1">
      <alignment vertical="top" wrapText="1"/>
    </xf>
    <xf numFmtId="0" fontId="0" fillId="0" borderId="0" xfId="0"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vertical="top" wrapText="1"/>
    </xf>
    <xf numFmtId="0" fontId="5" fillId="2" borderId="0" xfId="0" applyFont="1" applyFill="1"/>
  </cellXfs>
  <cellStyles count="3">
    <cellStyle name="Normalny" xfId="0" builtinId="0"/>
    <cellStyle name="Normalny 2" xfId="1" xr:uid="{B583D91A-72FD-4F8D-9274-2D4BD9705AA5}"/>
    <cellStyle name="Procentowy" xfId="2" builtinId="5"/>
  </cellStyles>
  <dxfs count="563">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numFmt numFmtId="0" formatCode="General"/>
    </dxf>
    <dxf>
      <numFmt numFmtId="0" formatCode="Genera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numFmt numFmtId="0" formatCode="General"/>
    </dxf>
    <dxf>
      <numFmt numFmtId="0" formatCode="General"/>
    </dxf>
    <dxf>
      <numFmt numFmtId="0" formatCode="General"/>
    </dxf>
    <dxf>
      <numFmt numFmtId="0" formatCode="Genera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family val="2"/>
        <charset val="238"/>
        <scheme val="none"/>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numFmt numFmtId="164" formatCode="0.000"/>
    </dxf>
    <dxf>
      <font>
        <b val="0"/>
        <i val="0"/>
        <strike val="0"/>
        <condense val="0"/>
        <extend val="0"/>
        <outline val="0"/>
        <shadow val="0"/>
        <u val="none"/>
        <vertAlign val="baseline"/>
        <sz val="11"/>
        <color rgb="FF000000"/>
        <name val="Calibri"/>
        <family val="2"/>
        <charset val="238"/>
        <scheme val="none"/>
      </font>
    </dxf>
    <dxf>
      <font>
        <b/>
        <i val="0"/>
        <strike val="0"/>
        <condense val="0"/>
        <extend val="0"/>
        <outline val="0"/>
        <shadow val="0"/>
        <u val="none"/>
        <vertAlign val="baseline"/>
        <sz val="11"/>
        <color rgb="FF000000"/>
        <name val="Calibri"/>
        <family val="2"/>
        <charset val="238"/>
        <scheme val="none"/>
      </font>
    </dxf>
    <dxf>
      <font>
        <b/>
        <i val="0"/>
        <strike val="0"/>
        <condense val="0"/>
        <extend val="0"/>
        <outline val="0"/>
        <shadow val="0"/>
        <u val="none"/>
        <vertAlign val="baseline"/>
        <sz val="11"/>
        <color rgb="FF000000"/>
        <name val="Calibri"/>
        <family val="2"/>
        <charset val="238"/>
        <scheme val="none"/>
      </font>
    </dxf>
    <dxf>
      <numFmt numFmtId="0" formatCode="General"/>
    </dxf>
    <dxf>
      <font>
        <b val="0"/>
        <i val="0"/>
        <strike val="0"/>
        <condense val="0"/>
        <extend val="0"/>
        <outline val="0"/>
        <shadow val="0"/>
        <u val="none"/>
        <vertAlign val="baseline"/>
        <sz val="11"/>
        <color rgb="FF000000"/>
        <name val="Calibri"/>
        <family val="2"/>
        <charset val="238"/>
        <scheme val="none"/>
      </font>
    </dxf>
    <dxf>
      <font>
        <b val="0"/>
        <i val="0"/>
        <strike val="0"/>
        <condense val="0"/>
        <extend val="0"/>
        <outline val="0"/>
        <shadow val="0"/>
        <u val="none"/>
        <vertAlign val="baseline"/>
        <sz val="11"/>
        <color rgb="FF000000"/>
        <name val="Calibri"/>
        <family val="2"/>
        <charset val="238"/>
        <scheme val="none"/>
      </font>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dxf>
    <dxf>
      <font>
        <b val="0"/>
        <i val="0"/>
        <strike val="0"/>
        <condense val="0"/>
        <extend val="0"/>
        <outline val="0"/>
        <shadow val="0"/>
        <u val="none"/>
        <vertAlign val="baseline"/>
        <sz val="11"/>
        <color rgb="FF000000"/>
        <name val="Calibri"/>
        <family val="2"/>
        <charset val="238"/>
        <scheme val="none"/>
      </font>
    </dxf>
    <dxf>
      <font>
        <b val="0"/>
        <i val="0"/>
        <strike val="0"/>
        <condense val="0"/>
        <extend val="0"/>
        <outline val="0"/>
        <shadow val="0"/>
        <u val="none"/>
        <vertAlign val="baseline"/>
        <sz val="11"/>
        <color rgb="FF000000"/>
        <name val="Calibri"/>
        <family val="2"/>
        <charset val="238"/>
        <scheme val="none"/>
      </font>
    </dxf>
    <dxf>
      <numFmt numFmtId="0" formatCode="Genera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numFmt numFmtId="0" formatCode="General"/>
    </dxf>
    <dxf>
      <fill>
        <patternFill patternType="solid">
          <fgColor indexed="64"/>
          <bgColor rgb="FFFFC000"/>
        </patternFill>
      </fill>
    </dxf>
    <dxf>
      <fill>
        <patternFill patternType="solid">
          <fgColor indexed="64"/>
          <bgColor rgb="FFFFC000"/>
        </patternFill>
      </fill>
    </dxf>
    <dxf>
      <font>
        <b val="0"/>
        <i val="0"/>
        <strike val="0"/>
        <condense val="0"/>
        <extend val="0"/>
        <outline val="0"/>
        <shadow val="0"/>
        <u val="none"/>
        <vertAlign val="baseline"/>
        <sz val="11"/>
        <color rgb="FF000000"/>
        <name val="Calibri"/>
        <family val="2"/>
        <charset val="238"/>
        <scheme val="none"/>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charset val="238"/>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charset val="238"/>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bar"/>
        <c:grouping val="clustered"/>
        <c:varyColors val="0"/>
        <c:ser>
          <c:idx val="0"/>
          <c:order val="0"/>
          <c:tx>
            <c:strRef>
              <c:f>Zestawienia_ilościowe!$A$16</c:f>
              <c:strCache>
                <c:ptCount val="1"/>
                <c:pt idx="0">
                  <c:v>Liczba respondentów badania ilościowego przynależących do grupy interesariuszy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Zestawienia_ilościowe!$B$17:$B$24</c:f>
              <c:strCache>
                <c:ptCount val="8"/>
                <c:pt idx="0">
                  <c:v>Studenci</c:v>
                </c:pt>
                <c:pt idx="1">
                  <c:v>Absolwenci</c:v>
                </c:pt>
                <c:pt idx="2">
                  <c:v>Rodzice / opiekunowie</c:v>
                </c:pt>
                <c:pt idx="3">
                  <c:v>Pracownicy administracyjni</c:v>
                </c:pt>
                <c:pt idx="4">
                  <c:v>Pracownicy naukowi lub dydaktyczni</c:v>
                </c:pt>
                <c:pt idx="5">
                  <c:v>Władze uczelni</c:v>
                </c:pt>
                <c:pt idx="6">
                  <c:v>Przedsiębiorcy</c:v>
                </c:pt>
                <c:pt idx="7">
                  <c:v>Władze samorządowe</c:v>
                </c:pt>
              </c:strCache>
            </c:strRef>
          </c:cat>
          <c:val>
            <c:numRef>
              <c:f>Zestawienia_ilościowe!$A$17:$A$24</c:f>
              <c:numCache>
                <c:formatCode>General</c:formatCode>
                <c:ptCount val="8"/>
                <c:pt idx="0">
                  <c:v>2</c:v>
                </c:pt>
                <c:pt idx="1">
                  <c:v>33</c:v>
                </c:pt>
                <c:pt idx="2">
                  <c:v>12</c:v>
                </c:pt>
                <c:pt idx="3">
                  <c:v>4</c:v>
                </c:pt>
                <c:pt idx="4">
                  <c:v>12</c:v>
                </c:pt>
                <c:pt idx="5">
                  <c:v>6</c:v>
                </c:pt>
                <c:pt idx="6">
                  <c:v>10</c:v>
                </c:pt>
                <c:pt idx="7">
                  <c:v>3</c:v>
                </c:pt>
              </c:numCache>
            </c:numRef>
          </c:val>
          <c:extLst>
            <c:ext xmlns:c16="http://schemas.microsoft.com/office/drawing/2014/chart" uri="{C3380CC4-5D6E-409C-BE32-E72D297353CC}">
              <c16:uniqueId val="{00000000-AB96-487C-BDBD-7BC65A365873}"/>
            </c:ext>
          </c:extLst>
        </c:ser>
        <c:dLbls>
          <c:showLegendKey val="0"/>
          <c:showVal val="0"/>
          <c:showCatName val="0"/>
          <c:showSerName val="0"/>
          <c:showPercent val="0"/>
          <c:showBubbleSize val="0"/>
        </c:dLbls>
        <c:gapWidth val="182"/>
        <c:axId val="602819544"/>
        <c:axId val="602821840"/>
      </c:barChart>
      <c:catAx>
        <c:axId val="602819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02821840"/>
        <c:crosses val="autoZero"/>
        <c:auto val="1"/>
        <c:lblAlgn val="ctr"/>
        <c:lblOffset val="100"/>
        <c:noMultiLvlLbl val="0"/>
      </c:catAx>
      <c:valAx>
        <c:axId val="602821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0281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Studenci</a:t>
            </a:r>
            <a:r>
              <a:rPr lang="pl-PL" sz="1200" baseline="0">
                <a:solidFill>
                  <a:sysClr val="windowText" lastClr="000000"/>
                </a:solidFill>
                <a:latin typeface="Arial" panose="020B0604020202020204" pitchFamily="34" charset="0"/>
                <a:cs typeface="Arial" panose="020B0604020202020204" pitchFamily="34" charset="0"/>
              </a:rPr>
              <a:t> - satysfakcja</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Zestawienia_ilościowe!$C$133</c:f>
              <c:strCache>
                <c:ptCount val="1"/>
                <c:pt idx="0">
                  <c:v>liczba odpowiedzi</c:v>
                </c:pt>
              </c:strCache>
            </c:strRef>
          </c:tx>
          <c:spPr>
            <a:solidFill>
              <a:schemeClr val="dk1">
                <a:tint val="88500"/>
              </a:schemeClr>
            </a:solidFill>
            <a:ln>
              <a:noFill/>
            </a:ln>
            <a:effectLst/>
          </c:spPr>
          <c:invertIfNegative val="0"/>
          <c:cat>
            <c:multiLvlStrRef>
              <c:f>Zestawienia_ilościowe!$A$134:$B$140</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Zestawienia_ilościowe!$C$134:$C$140</c:f>
              <c:numCache>
                <c:formatCode>General</c:formatCode>
                <c:ptCount val="7"/>
                <c:pt idx="0">
                  <c:v>0</c:v>
                </c:pt>
                <c:pt idx="1">
                  <c:v>0</c:v>
                </c:pt>
                <c:pt idx="2">
                  <c:v>1</c:v>
                </c:pt>
                <c:pt idx="3">
                  <c:v>0</c:v>
                </c:pt>
                <c:pt idx="4">
                  <c:v>0</c:v>
                </c:pt>
                <c:pt idx="5">
                  <c:v>1</c:v>
                </c:pt>
                <c:pt idx="6">
                  <c:v>0</c:v>
                </c:pt>
              </c:numCache>
            </c:numRef>
          </c:val>
          <c:extLst>
            <c:ext xmlns:c16="http://schemas.microsoft.com/office/drawing/2014/chart" uri="{C3380CC4-5D6E-409C-BE32-E72D297353CC}">
              <c16:uniqueId val="{00000000-F029-45C5-BCDB-82DEEA7E3ED2}"/>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Studenci</a:t>
            </a:r>
            <a:r>
              <a:rPr lang="pl-PL" sz="1200" baseline="0">
                <a:solidFill>
                  <a:sysClr val="windowText" lastClr="000000"/>
                </a:solidFill>
                <a:latin typeface="Arial" panose="020B0604020202020204" pitchFamily="34" charset="0"/>
                <a:cs typeface="Arial" panose="020B0604020202020204" pitchFamily="34" charset="0"/>
              </a:rPr>
              <a:t> - wartość</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Zestawienia_ilościowe!$C$146</c:f>
              <c:strCache>
                <c:ptCount val="1"/>
                <c:pt idx="0">
                  <c:v>liczba odpowiedzi</c:v>
                </c:pt>
              </c:strCache>
            </c:strRef>
          </c:tx>
          <c:spPr>
            <a:solidFill>
              <a:schemeClr val="dk1">
                <a:tint val="88500"/>
              </a:schemeClr>
            </a:solidFill>
            <a:ln>
              <a:noFill/>
            </a:ln>
            <a:effectLst/>
          </c:spPr>
          <c:invertIfNegative val="0"/>
          <c:cat>
            <c:multiLvlStrRef>
              <c:f>Zestawienia_ilościowe!$A$147:$B$153</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Zestawienia_ilościowe!$C$147:$C$153</c:f>
              <c:numCache>
                <c:formatCode>General</c:formatCode>
                <c:ptCount val="7"/>
                <c:pt idx="0">
                  <c:v>0</c:v>
                </c:pt>
                <c:pt idx="1">
                  <c:v>0</c:v>
                </c:pt>
                <c:pt idx="2">
                  <c:v>1</c:v>
                </c:pt>
                <c:pt idx="3">
                  <c:v>0</c:v>
                </c:pt>
                <c:pt idx="4">
                  <c:v>0</c:v>
                </c:pt>
                <c:pt idx="5">
                  <c:v>0</c:v>
                </c:pt>
                <c:pt idx="6">
                  <c:v>1</c:v>
                </c:pt>
              </c:numCache>
            </c:numRef>
          </c:val>
          <c:extLst>
            <c:ext xmlns:c16="http://schemas.microsoft.com/office/drawing/2014/chart" uri="{C3380CC4-5D6E-409C-BE32-E72D297353CC}">
              <c16:uniqueId val="{00000000-D74B-4B52-8CF1-BB85B2E5B032}"/>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Studenci</a:t>
            </a:r>
            <a:r>
              <a:rPr lang="pl-PL" sz="1200" baseline="0">
                <a:solidFill>
                  <a:sysClr val="windowText" lastClr="000000"/>
                </a:solidFill>
                <a:latin typeface="Arial" panose="020B0604020202020204" pitchFamily="34" charset="0"/>
                <a:cs typeface="Arial" panose="020B0604020202020204" pitchFamily="34" charset="0"/>
              </a:rPr>
              <a:t> - wpływ na zarobki</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Zestawienia_ilościowe!$C$158</c:f>
              <c:strCache>
                <c:ptCount val="1"/>
                <c:pt idx="0">
                  <c:v>liczba odpowiedzi</c:v>
                </c:pt>
              </c:strCache>
            </c:strRef>
          </c:tx>
          <c:spPr>
            <a:solidFill>
              <a:schemeClr val="dk1">
                <a:tint val="88500"/>
              </a:schemeClr>
            </a:solidFill>
            <a:ln>
              <a:noFill/>
            </a:ln>
            <a:effectLst/>
          </c:spPr>
          <c:invertIfNegative val="0"/>
          <c:cat>
            <c:multiLvlStrRef>
              <c:f>Zestawienia_ilościowe!$A$159:$B$165</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Zestawienia_ilościowe!$C$159:$C$165</c:f>
              <c:numCache>
                <c:formatCode>General</c:formatCode>
                <c:ptCount val="7"/>
                <c:pt idx="0">
                  <c:v>0</c:v>
                </c:pt>
                <c:pt idx="1">
                  <c:v>0</c:v>
                </c:pt>
                <c:pt idx="2">
                  <c:v>0</c:v>
                </c:pt>
                <c:pt idx="3">
                  <c:v>1</c:v>
                </c:pt>
                <c:pt idx="4">
                  <c:v>0</c:v>
                </c:pt>
                <c:pt idx="5">
                  <c:v>1</c:v>
                </c:pt>
                <c:pt idx="6">
                  <c:v>0</c:v>
                </c:pt>
              </c:numCache>
            </c:numRef>
          </c:val>
          <c:extLst>
            <c:ext xmlns:c16="http://schemas.microsoft.com/office/drawing/2014/chart" uri="{C3380CC4-5D6E-409C-BE32-E72D297353CC}">
              <c16:uniqueId val="{00000000-7A02-4604-9B75-064FDE010112}"/>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Absolwenci</a:t>
            </a:r>
            <a:r>
              <a:rPr lang="pl-PL" sz="1200" baseline="0">
                <a:solidFill>
                  <a:sysClr val="windowText" lastClr="000000"/>
                </a:solidFill>
                <a:latin typeface="Arial" panose="020B0604020202020204" pitchFamily="34" charset="0"/>
                <a:cs typeface="Arial" panose="020B0604020202020204" pitchFamily="34" charset="0"/>
              </a:rPr>
              <a:t> - satysfakcja</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Zestawienia_ilościowe!$C$172</c:f>
              <c:strCache>
                <c:ptCount val="1"/>
                <c:pt idx="0">
                  <c:v>liczba odpowiedzi</c:v>
                </c:pt>
              </c:strCache>
            </c:strRef>
          </c:tx>
          <c:spPr>
            <a:solidFill>
              <a:schemeClr val="dk1">
                <a:tint val="88500"/>
              </a:schemeClr>
            </a:solidFill>
            <a:ln>
              <a:noFill/>
            </a:ln>
            <a:effectLst/>
          </c:spPr>
          <c:invertIfNegative val="0"/>
          <c:cat>
            <c:multiLvlStrRef>
              <c:f>Zestawienia_ilościowe!$A$173:$B$179</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Zestawienia_ilościowe!$C$173:$C$179</c:f>
              <c:numCache>
                <c:formatCode>General</c:formatCode>
                <c:ptCount val="7"/>
                <c:pt idx="0">
                  <c:v>7</c:v>
                </c:pt>
                <c:pt idx="1">
                  <c:v>10</c:v>
                </c:pt>
                <c:pt idx="2">
                  <c:v>5</c:v>
                </c:pt>
                <c:pt idx="3">
                  <c:v>2</c:v>
                </c:pt>
                <c:pt idx="4">
                  <c:v>2</c:v>
                </c:pt>
                <c:pt idx="5">
                  <c:v>2</c:v>
                </c:pt>
                <c:pt idx="6">
                  <c:v>0</c:v>
                </c:pt>
              </c:numCache>
            </c:numRef>
          </c:val>
          <c:extLst>
            <c:ext xmlns:c16="http://schemas.microsoft.com/office/drawing/2014/chart" uri="{C3380CC4-5D6E-409C-BE32-E72D297353CC}">
              <c16:uniqueId val="{00000000-B305-4235-BE0F-691EFA6223C8}"/>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Absolwenci</a:t>
            </a:r>
            <a:r>
              <a:rPr lang="pl-PL" sz="1200" baseline="0">
                <a:solidFill>
                  <a:sysClr val="windowText" lastClr="000000"/>
                </a:solidFill>
                <a:latin typeface="Arial" panose="020B0604020202020204" pitchFamily="34" charset="0"/>
                <a:cs typeface="Arial" panose="020B0604020202020204" pitchFamily="34" charset="0"/>
              </a:rPr>
              <a:t> - postrzegana wartość</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Zestawienia_ilościowe!$C$185</c:f>
              <c:strCache>
                <c:ptCount val="1"/>
                <c:pt idx="0">
                  <c:v>liczba odpowiedzi</c:v>
                </c:pt>
              </c:strCache>
            </c:strRef>
          </c:tx>
          <c:spPr>
            <a:solidFill>
              <a:schemeClr val="dk1">
                <a:tint val="88500"/>
              </a:schemeClr>
            </a:solidFill>
            <a:ln>
              <a:noFill/>
            </a:ln>
            <a:effectLst/>
          </c:spPr>
          <c:invertIfNegative val="0"/>
          <c:cat>
            <c:multiLvlStrRef>
              <c:f>Zestawienia_ilościowe!$A$186:$B$192</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Zestawienia_ilościowe!$C$186:$C$192</c:f>
              <c:numCache>
                <c:formatCode>General</c:formatCode>
                <c:ptCount val="7"/>
                <c:pt idx="0">
                  <c:v>8</c:v>
                </c:pt>
                <c:pt idx="1">
                  <c:v>9</c:v>
                </c:pt>
                <c:pt idx="2">
                  <c:v>3</c:v>
                </c:pt>
                <c:pt idx="3">
                  <c:v>5</c:v>
                </c:pt>
                <c:pt idx="4">
                  <c:v>1</c:v>
                </c:pt>
                <c:pt idx="5">
                  <c:v>1</c:v>
                </c:pt>
                <c:pt idx="6">
                  <c:v>1</c:v>
                </c:pt>
              </c:numCache>
            </c:numRef>
          </c:val>
          <c:extLst>
            <c:ext xmlns:c16="http://schemas.microsoft.com/office/drawing/2014/chart" uri="{C3380CC4-5D6E-409C-BE32-E72D297353CC}">
              <c16:uniqueId val="{00000000-31DB-4CFD-86AF-E0E1968AC23E}"/>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Absolwenci</a:t>
            </a:r>
            <a:r>
              <a:rPr lang="pl-PL" sz="1200" baseline="0">
                <a:solidFill>
                  <a:sysClr val="windowText" lastClr="000000"/>
                </a:solidFill>
                <a:latin typeface="Arial" panose="020B0604020202020204" pitchFamily="34" charset="0"/>
                <a:cs typeface="Arial" panose="020B0604020202020204" pitchFamily="34" charset="0"/>
              </a:rPr>
              <a:t> - wpływ na zarobki</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Zestawienia_ilościowe!$C$197</c:f>
              <c:strCache>
                <c:ptCount val="1"/>
                <c:pt idx="0">
                  <c:v>liczba odpowiedzi</c:v>
                </c:pt>
              </c:strCache>
            </c:strRef>
          </c:tx>
          <c:spPr>
            <a:solidFill>
              <a:schemeClr val="dk1">
                <a:tint val="88500"/>
              </a:schemeClr>
            </a:solidFill>
            <a:ln>
              <a:noFill/>
            </a:ln>
            <a:effectLst/>
          </c:spPr>
          <c:invertIfNegative val="0"/>
          <c:cat>
            <c:multiLvlStrRef>
              <c:f>Zestawienia_ilościowe!$A$198:$B$204</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Zestawienia_ilościowe!$C$198:$C$204</c:f>
              <c:numCache>
                <c:formatCode>General</c:formatCode>
                <c:ptCount val="7"/>
                <c:pt idx="0">
                  <c:v>8</c:v>
                </c:pt>
                <c:pt idx="1">
                  <c:v>7</c:v>
                </c:pt>
                <c:pt idx="2">
                  <c:v>6</c:v>
                </c:pt>
                <c:pt idx="3">
                  <c:v>4</c:v>
                </c:pt>
                <c:pt idx="4">
                  <c:v>2</c:v>
                </c:pt>
                <c:pt idx="5">
                  <c:v>1</c:v>
                </c:pt>
                <c:pt idx="6">
                  <c:v>0</c:v>
                </c:pt>
              </c:numCache>
            </c:numRef>
          </c:val>
          <c:extLst>
            <c:ext xmlns:c16="http://schemas.microsoft.com/office/drawing/2014/chart" uri="{C3380CC4-5D6E-409C-BE32-E72D297353CC}">
              <c16:uniqueId val="{00000000-5629-4CFC-86E2-05EF034168A0}"/>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Rodzice</a:t>
            </a:r>
            <a:r>
              <a:rPr lang="pl-PL" sz="1200" baseline="0">
                <a:solidFill>
                  <a:sysClr val="windowText" lastClr="000000"/>
                </a:solidFill>
                <a:latin typeface="Arial" panose="020B0604020202020204" pitchFamily="34" charset="0"/>
                <a:cs typeface="Arial" panose="020B0604020202020204" pitchFamily="34" charset="0"/>
              </a:rPr>
              <a:t> - satysfakcja</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Zestawienia_ilościowe!$C$209</c:f>
              <c:strCache>
                <c:ptCount val="1"/>
                <c:pt idx="0">
                  <c:v>liczba odpowiedzi 1 podopieczny</c:v>
                </c:pt>
              </c:strCache>
            </c:strRef>
          </c:tx>
          <c:spPr>
            <a:solidFill>
              <a:schemeClr val="dk1">
                <a:tint val="88500"/>
              </a:schemeClr>
            </a:solidFill>
            <a:ln>
              <a:noFill/>
            </a:ln>
            <a:effectLst/>
          </c:spPr>
          <c:invertIfNegative val="0"/>
          <c:cat>
            <c:multiLvlStrRef>
              <c:f>Zestawienia_ilościowe!$A$210:$B$216</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Zestawienia_ilościowe!$C$210:$C$216</c:f>
              <c:numCache>
                <c:formatCode>General</c:formatCode>
                <c:ptCount val="7"/>
                <c:pt idx="0">
                  <c:v>5</c:v>
                </c:pt>
                <c:pt idx="1">
                  <c:v>4</c:v>
                </c:pt>
                <c:pt idx="2">
                  <c:v>1</c:v>
                </c:pt>
                <c:pt idx="3">
                  <c:v>1</c:v>
                </c:pt>
                <c:pt idx="4">
                  <c:v>0</c:v>
                </c:pt>
                <c:pt idx="5">
                  <c:v>0</c:v>
                </c:pt>
                <c:pt idx="6">
                  <c:v>0</c:v>
                </c:pt>
              </c:numCache>
            </c:numRef>
          </c:val>
          <c:extLst>
            <c:ext xmlns:c16="http://schemas.microsoft.com/office/drawing/2014/chart" uri="{C3380CC4-5D6E-409C-BE32-E72D297353CC}">
              <c16:uniqueId val="{00000000-741D-40F6-8182-4EDA2149EBD3}"/>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Rodzice</a:t>
            </a:r>
            <a:r>
              <a:rPr lang="pl-PL" sz="1200" baseline="0">
                <a:solidFill>
                  <a:sysClr val="windowText" lastClr="000000"/>
                </a:solidFill>
                <a:latin typeface="Arial" panose="020B0604020202020204" pitchFamily="34" charset="0"/>
                <a:cs typeface="Arial" panose="020B0604020202020204" pitchFamily="34" charset="0"/>
              </a:rPr>
              <a:t> - postrzegana wartość</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Zestawienia_ilościowe!$C$222</c:f>
              <c:strCache>
                <c:ptCount val="1"/>
                <c:pt idx="0">
                  <c:v>liczba odpowiedzi 1 podopieczny</c:v>
                </c:pt>
              </c:strCache>
            </c:strRef>
          </c:tx>
          <c:spPr>
            <a:solidFill>
              <a:schemeClr val="dk1">
                <a:tint val="88500"/>
              </a:schemeClr>
            </a:solidFill>
            <a:ln>
              <a:noFill/>
            </a:ln>
            <a:effectLst/>
          </c:spPr>
          <c:invertIfNegative val="0"/>
          <c:cat>
            <c:multiLvlStrRef>
              <c:f>Zestawienia_ilościowe!$A$223:$B$229</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Zestawienia_ilościowe!$C$223:$C$229</c:f>
              <c:numCache>
                <c:formatCode>General</c:formatCode>
                <c:ptCount val="7"/>
                <c:pt idx="0">
                  <c:v>5</c:v>
                </c:pt>
                <c:pt idx="1">
                  <c:v>4</c:v>
                </c:pt>
                <c:pt idx="2">
                  <c:v>1</c:v>
                </c:pt>
                <c:pt idx="3">
                  <c:v>1</c:v>
                </c:pt>
                <c:pt idx="4">
                  <c:v>0</c:v>
                </c:pt>
                <c:pt idx="5">
                  <c:v>0</c:v>
                </c:pt>
                <c:pt idx="6">
                  <c:v>0</c:v>
                </c:pt>
              </c:numCache>
            </c:numRef>
          </c:val>
          <c:extLst>
            <c:ext xmlns:c16="http://schemas.microsoft.com/office/drawing/2014/chart" uri="{C3380CC4-5D6E-409C-BE32-E72D297353CC}">
              <c16:uniqueId val="{00000000-3881-4803-8B0E-52CA7DC51DEE}"/>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Rodzice</a:t>
            </a:r>
            <a:r>
              <a:rPr lang="pl-PL" sz="1200" baseline="0">
                <a:solidFill>
                  <a:sysClr val="windowText" lastClr="000000"/>
                </a:solidFill>
                <a:latin typeface="Arial" panose="020B0604020202020204" pitchFamily="34" charset="0"/>
                <a:cs typeface="Arial" panose="020B0604020202020204" pitchFamily="34" charset="0"/>
              </a:rPr>
              <a:t> - wpływ na zarobki</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Zestawienia_ilościowe!$C$234</c:f>
              <c:strCache>
                <c:ptCount val="1"/>
                <c:pt idx="0">
                  <c:v>liczba odpowiedzi 1 podopieczny</c:v>
                </c:pt>
              </c:strCache>
            </c:strRef>
          </c:tx>
          <c:spPr>
            <a:solidFill>
              <a:schemeClr val="dk1">
                <a:tint val="88500"/>
              </a:schemeClr>
            </a:solidFill>
            <a:ln>
              <a:noFill/>
            </a:ln>
            <a:effectLst/>
          </c:spPr>
          <c:invertIfNegative val="0"/>
          <c:cat>
            <c:multiLvlStrRef>
              <c:f>Zestawienia_ilościowe!$A$235:$B$241</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Zestawienia_ilościowe!$C$235:$C$241</c:f>
              <c:numCache>
                <c:formatCode>General</c:formatCode>
                <c:ptCount val="7"/>
                <c:pt idx="0">
                  <c:v>7</c:v>
                </c:pt>
                <c:pt idx="1">
                  <c:v>2</c:v>
                </c:pt>
                <c:pt idx="2">
                  <c:v>0</c:v>
                </c:pt>
                <c:pt idx="3">
                  <c:v>1</c:v>
                </c:pt>
                <c:pt idx="4">
                  <c:v>1</c:v>
                </c:pt>
                <c:pt idx="5">
                  <c:v>0</c:v>
                </c:pt>
                <c:pt idx="6">
                  <c:v>0</c:v>
                </c:pt>
              </c:numCache>
            </c:numRef>
          </c:val>
          <c:extLst>
            <c:ext xmlns:c16="http://schemas.microsoft.com/office/drawing/2014/chart" uri="{C3380CC4-5D6E-409C-BE32-E72D297353CC}">
              <c16:uniqueId val="{00000000-C599-46DD-8025-A678B22671BF}"/>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administracyjni</a:t>
            </a:r>
            <a:r>
              <a:rPr lang="pl-PL" sz="1200" baseline="0">
                <a:solidFill>
                  <a:sysClr val="windowText" lastClr="000000"/>
                </a:solidFill>
                <a:latin typeface="Arial" panose="020B0604020202020204" pitchFamily="34" charset="0"/>
                <a:cs typeface="Arial" panose="020B0604020202020204" pitchFamily="34" charset="0"/>
              </a:rPr>
              <a:t> - satysfakcja</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Zestawienia_ilościowe!$C$249</c:f>
              <c:strCache>
                <c:ptCount val="1"/>
                <c:pt idx="0">
                  <c:v>liczba odpowiedzi</c:v>
                </c:pt>
              </c:strCache>
            </c:strRef>
          </c:tx>
          <c:spPr>
            <a:solidFill>
              <a:schemeClr val="dk1">
                <a:tint val="88500"/>
              </a:schemeClr>
            </a:solidFill>
            <a:ln>
              <a:noFill/>
            </a:ln>
            <a:effectLst/>
          </c:spPr>
          <c:invertIfNegative val="0"/>
          <c:cat>
            <c:multiLvlStrRef>
              <c:f>Zestawienia_ilościowe!$A$250:$B$256</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Zestawienia_ilościowe!$C$250:$C$256</c:f>
              <c:numCache>
                <c:formatCode>General</c:formatCode>
                <c:ptCount val="7"/>
                <c:pt idx="0">
                  <c:v>3</c:v>
                </c:pt>
                <c:pt idx="1">
                  <c:v>1</c:v>
                </c:pt>
                <c:pt idx="2">
                  <c:v>0</c:v>
                </c:pt>
                <c:pt idx="3">
                  <c:v>0</c:v>
                </c:pt>
                <c:pt idx="4">
                  <c:v>0</c:v>
                </c:pt>
                <c:pt idx="5">
                  <c:v>0</c:v>
                </c:pt>
                <c:pt idx="6">
                  <c:v>0</c:v>
                </c:pt>
              </c:numCache>
            </c:numRef>
          </c:val>
          <c:extLst>
            <c:ext xmlns:c16="http://schemas.microsoft.com/office/drawing/2014/chart" uri="{C3380CC4-5D6E-409C-BE32-E72D297353CC}">
              <c16:uniqueId val="{00000000-00EA-4676-BC0F-53644AAE5EB0}"/>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tx>
            <c:strRef>
              <c:f>Zestawienia_ilościowe!$C$119</c:f>
              <c:strCache>
                <c:ptCount val="1"/>
                <c:pt idx="0">
                  <c:v>Udział %</c:v>
                </c:pt>
              </c:strCache>
            </c:strRef>
          </c:tx>
          <c:spPr>
            <a:pattFill prst="ltDnDiag">
              <a:fgClr>
                <a:schemeClr val="accent1"/>
              </a:fgClr>
              <a:bgClr>
                <a:schemeClr val="bg1"/>
              </a:bgClr>
            </a:pattFill>
          </c:spPr>
          <c:dPt>
            <c:idx val="0"/>
            <c:bubble3D val="0"/>
            <c:spPr>
              <a:pattFill prst="wdUpDiag">
                <a:fgClr>
                  <a:schemeClr val="tx1"/>
                </a:fgClr>
                <a:bgClr>
                  <a:schemeClr val="bg1"/>
                </a:bgClr>
              </a:pattFill>
              <a:ln w="6350">
                <a:solidFill>
                  <a:schemeClr val="tx1"/>
                </a:solidFill>
              </a:ln>
              <a:effectLst/>
            </c:spPr>
            <c:extLst>
              <c:ext xmlns:c16="http://schemas.microsoft.com/office/drawing/2014/chart" uri="{C3380CC4-5D6E-409C-BE32-E72D297353CC}">
                <c16:uniqueId val="{00000001-5F6C-4EB3-801A-57627A7E05BC}"/>
              </c:ext>
            </c:extLst>
          </c:dPt>
          <c:dPt>
            <c:idx val="1"/>
            <c:bubble3D val="0"/>
            <c:spPr>
              <a:pattFill prst="pct10">
                <a:fgClr>
                  <a:schemeClr val="tx1"/>
                </a:fgClr>
                <a:bgClr>
                  <a:schemeClr val="bg1"/>
                </a:bgClr>
              </a:pattFill>
              <a:ln w="6350">
                <a:solidFill>
                  <a:schemeClr val="tx1"/>
                </a:solidFill>
              </a:ln>
              <a:effectLst/>
            </c:spPr>
            <c:extLst>
              <c:ext xmlns:c16="http://schemas.microsoft.com/office/drawing/2014/chart" uri="{C3380CC4-5D6E-409C-BE32-E72D297353CC}">
                <c16:uniqueId val="{00000002-5F6C-4EB3-801A-57627A7E05BC}"/>
              </c:ext>
            </c:extLst>
          </c:dPt>
          <c:dPt>
            <c:idx val="2"/>
            <c:bubble3D val="0"/>
            <c:spPr>
              <a:solidFill>
                <a:schemeClr val="tx1"/>
              </a:solidFill>
              <a:ln w="6350">
                <a:solidFill>
                  <a:schemeClr val="tx1"/>
                </a:solidFill>
              </a:ln>
              <a:effectLst/>
            </c:spPr>
            <c:extLst>
              <c:ext xmlns:c16="http://schemas.microsoft.com/office/drawing/2014/chart" uri="{C3380CC4-5D6E-409C-BE32-E72D297353CC}">
                <c16:uniqueId val="{00000003-5F6C-4EB3-801A-57627A7E05BC}"/>
              </c:ext>
            </c:extLst>
          </c:dPt>
          <c:cat>
            <c:multiLvlStrRef>
              <c:f>Zestawienia_ilościowe!$A$120:$B$122</c:f>
              <c:multiLvlStrCache>
                <c:ptCount val="3"/>
                <c:lvl>
                  <c:pt idx="0">
                    <c:v>Publiczna</c:v>
                  </c:pt>
                  <c:pt idx="1">
                    <c:v>Niepubliczna</c:v>
                  </c:pt>
                  <c:pt idx="2">
                    <c:v>Zagraniczna</c:v>
                  </c:pt>
                </c:lvl>
                <c:lvl>
                  <c:pt idx="0">
                    <c:v>32</c:v>
                  </c:pt>
                  <c:pt idx="1">
                    <c:v>1</c:v>
                  </c:pt>
                  <c:pt idx="2">
                    <c:v>0</c:v>
                  </c:pt>
                </c:lvl>
              </c:multiLvlStrCache>
            </c:multiLvlStrRef>
          </c:cat>
          <c:val>
            <c:numRef>
              <c:f>Zestawienia_ilościowe!$C$120:$C$122</c:f>
              <c:numCache>
                <c:formatCode>0.00%</c:formatCode>
                <c:ptCount val="3"/>
                <c:pt idx="0">
                  <c:v>0.96969696969696972</c:v>
                </c:pt>
                <c:pt idx="1">
                  <c:v>3.0303030303030304E-2</c:v>
                </c:pt>
                <c:pt idx="2">
                  <c:v>0</c:v>
                </c:pt>
              </c:numCache>
            </c:numRef>
          </c:val>
          <c:extLst>
            <c:ext xmlns:c16="http://schemas.microsoft.com/office/drawing/2014/chart" uri="{C3380CC4-5D6E-409C-BE32-E72D297353CC}">
              <c16:uniqueId val="{00000000-5F6C-4EB3-801A-57627A7E05B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naukowi / dydaktyczni</a:t>
            </a:r>
            <a:r>
              <a:rPr lang="pl-PL" sz="1200" baseline="0">
                <a:solidFill>
                  <a:sysClr val="windowText" lastClr="000000"/>
                </a:solidFill>
                <a:latin typeface="Arial" panose="020B0604020202020204" pitchFamily="34" charset="0"/>
                <a:cs typeface="Arial" panose="020B0604020202020204" pitchFamily="34" charset="0"/>
              </a:rPr>
              <a:t> - satysfakcja</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Zestawienia_ilościowe!$C$322</c:f>
              <c:strCache>
                <c:ptCount val="1"/>
                <c:pt idx="0">
                  <c:v>liczba odpowiedzi</c:v>
                </c:pt>
              </c:strCache>
            </c:strRef>
          </c:tx>
          <c:spPr>
            <a:solidFill>
              <a:schemeClr val="dk1">
                <a:tint val="88500"/>
              </a:schemeClr>
            </a:solidFill>
            <a:ln>
              <a:noFill/>
            </a:ln>
            <a:effectLst/>
          </c:spPr>
          <c:invertIfNegative val="0"/>
          <c:cat>
            <c:multiLvlStrRef>
              <c:f>Zestawienia_ilościowe!$A$323:$B$329</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Zestawienia_ilościowe!$C$323:$C$329</c:f>
              <c:numCache>
                <c:formatCode>General</c:formatCode>
                <c:ptCount val="7"/>
                <c:pt idx="0">
                  <c:v>5</c:v>
                </c:pt>
                <c:pt idx="1">
                  <c:v>3</c:v>
                </c:pt>
                <c:pt idx="2">
                  <c:v>2</c:v>
                </c:pt>
                <c:pt idx="3">
                  <c:v>0</c:v>
                </c:pt>
                <c:pt idx="4">
                  <c:v>0</c:v>
                </c:pt>
                <c:pt idx="5">
                  <c:v>0</c:v>
                </c:pt>
                <c:pt idx="6">
                  <c:v>0</c:v>
                </c:pt>
              </c:numCache>
            </c:numRef>
          </c:val>
          <c:extLst>
            <c:ext xmlns:c16="http://schemas.microsoft.com/office/drawing/2014/chart" uri="{C3380CC4-5D6E-409C-BE32-E72D297353CC}">
              <c16:uniqueId val="{00000000-5A3B-4CA9-8626-1E16C061011F}"/>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nauk. / dydakt.</a:t>
            </a:r>
            <a:r>
              <a:rPr lang="pl-PL" sz="1200" baseline="0">
                <a:solidFill>
                  <a:sysClr val="windowText" lastClr="000000"/>
                </a:solidFill>
                <a:latin typeface="Arial" panose="020B0604020202020204" pitchFamily="34" charset="0"/>
                <a:cs typeface="Arial" panose="020B0604020202020204" pitchFamily="34" charset="0"/>
              </a:rPr>
              <a:t> - atmosfera w zespole</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Zestawienia_ilościowe!$C$335</c:f>
              <c:strCache>
                <c:ptCount val="1"/>
                <c:pt idx="0">
                  <c:v>liczba odpowiedzi</c:v>
                </c:pt>
              </c:strCache>
            </c:strRef>
          </c:tx>
          <c:spPr>
            <a:solidFill>
              <a:schemeClr val="dk1">
                <a:tint val="88500"/>
              </a:schemeClr>
            </a:solidFill>
            <a:ln>
              <a:noFill/>
            </a:ln>
            <a:effectLst/>
          </c:spPr>
          <c:invertIfNegative val="0"/>
          <c:cat>
            <c:multiLvlStrRef>
              <c:f>Zestawienia_ilościowe!$A$336:$B$342</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Zestawienia_ilościowe!$C$336:$C$342</c:f>
              <c:numCache>
                <c:formatCode>General</c:formatCode>
                <c:ptCount val="7"/>
                <c:pt idx="0">
                  <c:v>3</c:v>
                </c:pt>
                <c:pt idx="1">
                  <c:v>3</c:v>
                </c:pt>
                <c:pt idx="2">
                  <c:v>4</c:v>
                </c:pt>
                <c:pt idx="3">
                  <c:v>0</c:v>
                </c:pt>
                <c:pt idx="4">
                  <c:v>0</c:v>
                </c:pt>
                <c:pt idx="5">
                  <c:v>0</c:v>
                </c:pt>
                <c:pt idx="6">
                  <c:v>0</c:v>
                </c:pt>
              </c:numCache>
            </c:numRef>
          </c:val>
          <c:extLst>
            <c:ext xmlns:c16="http://schemas.microsoft.com/office/drawing/2014/chart" uri="{C3380CC4-5D6E-409C-BE32-E72D297353CC}">
              <c16:uniqueId val="{00000000-9B5C-4AC1-A222-572DFC7D9ED1}"/>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nauk. / dydakt.</a:t>
            </a:r>
            <a:r>
              <a:rPr lang="pl-PL" sz="1200" baseline="0">
                <a:solidFill>
                  <a:sysClr val="windowText" lastClr="000000"/>
                </a:solidFill>
                <a:latin typeface="Arial" panose="020B0604020202020204" pitchFamily="34" charset="0"/>
                <a:cs typeface="Arial" panose="020B0604020202020204" pitchFamily="34" charset="0"/>
              </a:rPr>
              <a:t> - zarobki</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Zestawienia_ilościowe!$C$347</c:f>
              <c:strCache>
                <c:ptCount val="1"/>
                <c:pt idx="0">
                  <c:v>liczba odpowiedzi</c:v>
                </c:pt>
              </c:strCache>
            </c:strRef>
          </c:tx>
          <c:spPr>
            <a:solidFill>
              <a:schemeClr val="dk1">
                <a:tint val="88500"/>
              </a:schemeClr>
            </a:solidFill>
            <a:ln>
              <a:noFill/>
            </a:ln>
            <a:effectLst/>
          </c:spPr>
          <c:invertIfNegative val="0"/>
          <c:cat>
            <c:multiLvlStrRef>
              <c:f>Zestawienia_ilościowe!$A$348:$B$354</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Zestawienia_ilościowe!$C$348:$C$354</c:f>
              <c:numCache>
                <c:formatCode>General</c:formatCode>
                <c:ptCount val="7"/>
                <c:pt idx="0">
                  <c:v>3</c:v>
                </c:pt>
                <c:pt idx="1">
                  <c:v>4</c:v>
                </c:pt>
                <c:pt idx="2">
                  <c:v>1</c:v>
                </c:pt>
                <c:pt idx="3">
                  <c:v>1</c:v>
                </c:pt>
                <c:pt idx="4">
                  <c:v>1</c:v>
                </c:pt>
                <c:pt idx="5">
                  <c:v>0</c:v>
                </c:pt>
                <c:pt idx="6">
                  <c:v>0</c:v>
                </c:pt>
              </c:numCache>
            </c:numRef>
          </c:val>
          <c:extLst>
            <c:ext xmlns:c16="http://schemas.microsoft.com/office/drawing/2014/chart" uri="{C3380CC4-5D6E-409C-BE32-E72D297353CC}">
              <c16:uniqueId val="{00000000-C49F-4F86-8947-6909ACAC6FB6}"/>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nauk. / dydakt.</a:t>
            </a:r>
            <a:r>
              <a:rPr lang="pl-PL" sz="1200" baseline="0">
                <a:solidFill>
                  <a:sysClr val="windowText" lastClr="000000"/>
                </a:solidFill>
                <a:latin typeface="Arial" panose="020B0604020202020204" pitchFamily="34" charset="0"/>
                <a:cs typeface="Arial" panose="020B0604020202020204" pitchFamily="34" charset="0"/>
              </a:rPr>
              <a:t> - rozwój</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Zestawienia_ilościowe!$C$359</c:f>
              <c:strCache>
                <c:ptCount val="1"/>
                <c:pt idx="0">
                  <c:v>liczba odpowiedzi</c:v>
                </c:pt>
              </c:strCache>
            </c:strRef>
          </c:tx>
          <c:spPr>
            <a:solidFill>
              <a:schemeClr val="dk1">
                <a:tint val="88500"/>
              </a:schemeClr>
            </a:solidFill>
            <a:ln>
              <a:noFill/>
            </a:ln>
            <a:effectLst/>
          </c:spPr>
          <c:invertIfNegative val="0"/>
          <c:cat>
            <c:multiLvlStrRef>
              <c:f>Zestawienia_ilościowe!$A$360:$B$366</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Zestawienia_ilościowe!$C$360:$C$366</c:f>
              <c:numCache>
                <c:formatCode>General</c:formatCode>
                <c:ptCount val="7"/>
                <c:pt idx="0">
                  <c:v>4</c:v>
                </c:pt>
                <c:pt idx="1">
                  <c:v>4</c:v>
                </c:pt>
                <c:pt idx="2">
                  <c:v>1</c:v>
                </c:pt>
                <c:pt idx="3">
                  <c:v>1</c:v>
                </c:pt>
                <c:pt idx="4">
                  <c:v>0</c:v>
                </c:pt>
                <c:pt idx="5">
                  <c:v>0</c:v>
                </c:pt>
                <c:pt idx="6">
                  <c:v>0</c:v>
                </c:pt>
              </c:numCache>
            </c:numRef>
          </c:val>
          <c:extLst>
            <c:ext xmlns:c16="http://schemas.microsoft.com/office/drawing/2014/chart" uri="{C3380CC4-5D6E-409C-BE32-E72D297353CC}">
              <c16:uniqueId val="{00000000-6B72-4266-8A90-53BD28695E5E}"/>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nauk. / dydakt.</a:t>
            </a:r>
            <a:r>
              <a:rPr lang="pl-PL" sz="1200" baseline="0">
                <a:solidFill>
                  <a:sysClr val="windowText" lastClr="000000"/>
                </a:solidFill>
                <a:latin typeface="Arial" panose="020B0604020202020204" pitchFamily="34" charset="0"/>
                <a:cs typeface="Arial" panose="020B0604020202020204" pitchFamily="34" charset="0"/>
              </a:rPr>
              <a:t> - wartość wykształcenia</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Zestawienia_ilościowe!$C$371</c:f>
              <c:strCache>
                <c:ptCount val="1"/>
                <c:pt idx="0">
                  <c:v>liczba odpowiedzi</c:v>
                </c:pt>
              </c:strCache>
            </c:strRef>
          </c:tx>
          <c:spPr>
            <a:solidFill>
              <a:schemeClr val="dk1">
                <a:tint val="88500"/>
              </a:schemeClr>
            </a:solidFill>
            <a:ln>
              <a:noFill/>
            </a:ln>
            <a:effectLst/>
          </c:spPr>
          <c:invertIfNegative val="0"/>
          <c:cat>
            <c:multiLvlStrRef>
              <c:f>Zestawienia_ilościowe!$A$372:$B$378</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Zestawienia_ilościowe!$C$372:$C$378</c:f>
              <c:numCache>
                <c:formatCode>General</c:formatCode>
                <c:ptCount val="7"/>
                <c:pt idx="0">
                  <c:v>3</c:v>
                </c:pt>
                <c:pt idx="1">
                  <c:v>4</c:v>
                </c:pt>
                <c:pt idx="2">
                  <c:v>1</c:v>
                </c:pt>
                <c:pt idx="3">
                  <c:v>1</c:v>
                </c:pt>
                <c:pt idx="4">
                  <c:v>1</c:v>
                </c:pt>
                <c:pt idx="5">
                  <c:v>0</c:v>
                </c:pt>
                <c:pt idx="6">
                  <c:v>0</c:v>
                </c:pt>
              </c:numCache>
            </c:numRef>
          </c:val>
          <c:extLst>
            <c:ext xmlns:c16="http://schemas.microsoft.com/office/drawing/2014/chart" uri="{C3380CC4-5D6E-409C-BE32-E72D297353CC}">
              <c16:uniqueId val="{00000000-0297-4C71-8742-2869E43B96E8}"/>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nauk. / dydakt.</a:t>
            </a:r>
            <a:r>
              <a:rPr lang="pl-PL" sz="1200" baseline="0">
                <a:solidFill>
                  <a:sysClr val="windowText" lastClr="000000"/>
                </a:solidFill>
                <a:latin typeface="Arial" panose="020B0604020202020204" pitchFamily="34" charset="0"/>
                <a:cs typeface="Arial" panose="020B0604020202020204" pitchFamily="34" charset="0"/>
              </a:rPr>
              <a:t> - wpływ na zarobki</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Zestawienia_ilościowe!$C$383</c:f>
              <c:strCache>
                <c:ptCount val="1"/>
                <c:pt idx="0">
                  <c:v>liczba odpowiedzi</c:v>
                </c:pt>
              </c:strCache>
            </c:strRef>
          </c:tx>
          <c:spPr>
            <a:solidFill>
              <a:schemeClr val="dk1">
                <a:tint val="88500"/>
              </a:schemeClr>
            </a:solidFill>
            <a:ln>
              <a:noFill/>
            </a:ln>
            <a:effectLst/>
          </c:spPr>
          <c:invertIfNegative val="0"/>
          <c:cat>
            <c:multiLvlStrRef>
              <c:f>Zestawienia_ilościowe!$A$384:$B$390</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Zestawienia_ilościowe!$C$384:$C$390</c:f>
              <c:numCache>
                <c:formatCode>General</c:formatCode>
                <c:ptCount val="7"/>
                <c:pt idx="0">
                  <c:v>3</c:v>
                </c:pt>
                <c:pt idx="1">
                  <c:v>3</c:v>
                </c:pt>
                <c:pt idx="2">
                  <c:v>2</c:v>
                </c:pt>
                <c:pt idx="3">
                  <c:v>1</c:v>
                </c:pt>
                <c:pt idx="4">
                  <c:v>1</c:v>
                </c:pt>
                <c:pt idx="5">
                  <c:v>0</c:v>
                </c:pt>
                <c:pt idx="6">
                  <c:v>0</c:v>
                </c:pt>
              </c:numCache>
            </c:numRef>
          </c:val>
          <c:extLst>
            <c:ext xmlns:c16="http://schemas.microsoft.com/office/drawing/2014/chart" uri="{C3380CC4-5D6E-409C-BE32-E72D297353CC}">
              <c16:uniqueId val="{00000000-5920-412E-8DA7-221335293E39}"/>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Władze uczelni </a:t>
            </a:r>
            <a:r>
              <a:rPr lang="pl-PL" sz="1200" baseline="0">
                <a:solidFill>
                  <a:sysClr val="windowText" lastClr="000000"/>
                </a:solidFill>
                <a:latin typeface="Arial" panose="020B0604020202020204" pitchFamily="34" charset="0"/>
                <a:cs typeface="Arial" panose="020B0604020202020204" pitchFamily="34" charset="0"/>
              </a:rPr>
              <a:t>- ogólna satysfakcja</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Zestawienia_ilościowe!$C$395</c:f>
              <c:strCache>
                <c:ptCount val="1"/>
                <c:pt idx="0">
                  <c:v>liczba odpowiedzi</c:v>
                </c:pt>
              </c:strCache>
            </c:strRef>
          </c:tx>
          <c:spPr>
            <a:solidFill>
              <a:schemeClr val="dk1">
                <a:tint val="88500"/>
              </a:schemeClr>
            </a:solidFill>
            <a:ln>
              <a:noFill/>
            </a:ln>
            <a:effectLst/>
          </c:spPr>
          <c:invertIfNegative val="0"/>
          <c:cat>
            <c:multiLvlStrRef>
              <c:f>Zestawienia_ilościowe!$A$396:$B$402</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Zestawienia_ilościowe!$C$396:$C$402</c:f>
              <c:numCache>
                <c:formatCode>General</c:formatCode>
                <c:ptCount val="7"/>
                <c:pt idx="0">
                  <c:v>1</c:v>
                </c:pt>
                <c:pt idx="1">
                  <c:v>2</c:v>
                </c:pt>
                <c:pt idx="2">
                  <c:v>2</c:v>
                </c:pt>
                <c:pt idx="3">
                  <c:v>0</c:v>
                </c:pt>
                <c:pt idx="4">
                  <c:v>0</c:v>
                </c:pt>
                <c:pt idx="5">
                  <c:v>0</c:v>
                </c:pt>
                <c:pt idx="6">
                  <c:v>0</c:v>
                </c:pt>
              </c:numCache>
            </c:numRef>
          </c:val>
          <c:extLst>
            <c:ext xmlns:c16="http://schemas.microsoft.com/office/drawing/2014/chart" uri="{C3380CC4-5D6E-409C-BE32-E72D297353CC}">
              <c16:uniqueId val="{00000000-FC0B-45C1-803B-A34C3D4EB247}"/>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Przedsiębiorcy </a:t>
            </a:r>
            <a:r>
              <a:rPr lang="pl-PL" sz="1200" baseline="0">
                <a:solidFill>
                  <a:sysClr val="windowText" lastClr="000000"/>
                </a:solidFill>
                <a:latin typeface="Arial" panose="020B0604020202020204" pitchFamily="34" charset="0"/>
                <a:cs typeface="Arial" panose="020B0604020202020204" pitchFamily="34" charset="0"/>
              </a:rPr>
              <a:t>- ogólna satysfakcja</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Zestawienia_ilościowe!$F$492</c:f>
              <c:strCache>
                <c:ptCount val="1"/>
                <c:pt idx="0">
                  <c:v>łącznie liczba odpowiedzi</c:v>
                </c:pt>
              </c:strCache>
            </c:strRef>
          </c:tx>
          <c:spPr>
            <a:solidFill>
              <a:schemeClr val="dk1">
                <a:tint val="88500"/>
              </a:schemeClr>
            </a:solidFill>
            <a:ln>
              <a:noFill/>
            </a:ln>
            <a:effectLst/>
          </c:spPr>
          <c:invertIfNegative val="0"/>
          <c:cat>
            <c:multiLvlStrRef>
              <c:f>Zestawienia_ilościowe!$A$493:$B$499</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Zestawienia_ilościowe!$F$493:$F$499</c:f>
              <c:numCache>
                <c:formatCode>General</c:formatCode>
                <c:ptCount val="7"/>
                <c:pt idx="0">
                  <c:v>3</c:v>
                </c:pt>
                <c:pt idx="1">
                  <c:v>1</c:v>
                </c:pt>
                <c:pt idx="2">
                  <c:v>4</c:v>
                </c:pt>
                <c:pt idx="3">
                  <c:v>2</c:v>
                </c:pt>
                <c:pt idx="4">
                  <c:v>1</c:v>
                </c:pt>
                <c:pt idx="5">
                  <c:v>0</c:v>
                </c:pt>
                <c:pt idx="6">
                  <c:v>0</c:v>
                </c:pt>
              </c:numCache>
            </c:numRef>
          </c:val>
          <c:extLst>
            <c:ext xmlns:c16="http://schemas.microsoft.com/office/drawing/2014/chart" uri="{C3380CC4-5D6E-409C-BE32-E72D297353CC}">
              <c16:uniqueId val="{00000000-EDC0-4A7A-8F83-55B77A2F1025}"/>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Przedsiębiorcy </a:t>
            </a:r>
            <a:r>
              <a:rPr lang="pl-PL" sz="1200" baseline="0">
                <a:solidFill>
                  <a:sysClr val="windowText" lastClr="000000"/>
                </a:solidFill>
                <a:latin typeface="Arial" panose="020B0604020202020204" pitchFamily="34" charset="0"/>
                <a:cs typeface="Arial" panose="020B0604020202020204" pitchFamily="34" charset="0"/>
              </a:rPr>
              <a:t>- kompetencje absolwentów</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Zestawienia_ilościowe!$F$505</c:f>
              <c:strCache>
                <c:ptCount val="1"/>
                <c:pt idx="0">
                  <c:v>łącznie liczba odpowiedzi</c:v>
                </c:pt>
              </c:strCache>
            </c:strRef>
          </c:tx>
          <c:spPr>
            <a:solidFill>
              <a:schemeClr val="dk1">
                <a:tint val="88500"/>
              </a:schemeClr>
            </a:solidFill>
            <a:ln>
              <a:noFill/>
            </a:ln>
            <a:effectLst/>
          </c:spPr>
          <c:invertIfNegative val="0"/>
          <c:cat>
            <c:multiLvlStrRef>
              <c:f>Zestawienia_ilościowe!$A$506:$B$512</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Zestawienia_ilościowe!$F$506:$F$512</c:f>
              <c:numCache>
                <c:formatCode>General</c:formatCode>
                <c:ptCount val="7"/>
                <c:pt idx="0">
                  <c:v>3</c:v>
                </c:pt>
                <c:pt idx="1">
                  <c:v>2</c:v>
                </c:pt>
                <c:pt idx="2">
                  <c:v>3</c:v>
                </c:pt>
                <c:pt idx="3">
                  <c:v>2</c:v>
                </c:pt>
                <c:pt idx="4">
                  <c:v>0</c:v>
                </c:pt>
                <c:pt idx="5">
                  <c:v>1</c:v>
                </c:pt>
                <c:pt idx="6">
                  <c:v>0</c:v>
                </c:pt>
              </c:numCache>
            </c:numRef>
          </c:val>
          <c:extLst>
            <c:ext xmlns:c16="http://schemas.microsoft.com/office/drawing/2014/chart" uri="{C3380CC4-5D6E-409C-BE32-E72D297353CC}">
              <c16:uniqueId val="{00000000-CA6B-47AE-BF0C-7B1A9CBAC477}"/>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Przedsiębiorcy </a:t>
            </a:r>
            <a:r>
              <a:rPr lang="pl-PL" sz="1200" baseline="0">
                <a:solidFill>
                  <a:sysClr val="windowText" lastClr="000000"/>
                </a:solidFill>
                <a:latin typeface="Arial" panose="020B0604020202020204" pitchFamily="34" charset="0"/>
                <a:cs typeface="Arial" panose="020B0604020202020204" pitchFamily="34" charset="0"/>
              </a:rPr>
              <a:t>- zarobki absolwentów</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Zestawienia_ilościowe!$F$517</c:f>
              <c:strCache>
                <c:ptCount val="1"/>
                <c:pt idx="0">
                  <c:v>łącznie liczba odpowiedzi</c:v>
                </c:pt>
              </c:strCache>
            </c:strRef>
          </c:tx>
          <c:spPr>
            <a:solidFill>
              <a:schemeClr val="dk1">
                <a:tint val="88500"/>
              </a:schemeClr>
            </a:solidFill>
            <a:ln>
              <a:noFill/>
            </a:ln>
            <a:effectLst/>
          </c:spPr>
          <c:invertIfNegative val="0"/>
          <c:cat>
            <c:multiLvlStrRef>
              <c:f>Zestawienia_ilościowe!$A$518:$B$524</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Zestawienia_ilościowe!$F$518:$F$524</c:f>
              <c:numCache>
                <c:formatCode>General</c:formatCode>
                <c:ptCount val="7"/>
                <c:pt idx="0">
                  <c:v>1</c:v>
                </c:pt>
                <c:pt idx="1">
                  <c:v>0</c:v>
                </c:pt>
                <c:pt idx="2">
                  <c:v>0</c:v>
                </c:pt>
                <c:pt idx="3">
                  <c:v>5</c:v>
                </c:pt>
                <c:pt idx="4">
                  <c:v>2</c:v>
                </c:pt>
                <c:pt idx="5">
                  <c:v>2</c:v>
                </c:pt>
                <c:pt idx="6">
                  <c:v>1</c:v>
                </c:pt>
              </c:numCache>
            </c:numRef>
          </c:val>
          <c:extLst>
            <c:ext xmlns:c16="http://schemas.microsoft.com/office/drawing/2014/chart" uri="{C3380CC4-5D6E-409C-BE32-E72D297353CC}">
              <c16:uniqueId val="{00000000-1F24-4E31-9886-81EB243C4975}"/>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tx>
            <c:strRef>
              <c:f>Zestawienia_ilościowe!$A$28</c:f>
              <c:strCache>
                <c:ptCount val="1"/>
                <c:pt idx="0">
                  <c:v>Interesariusze: Podział respondentów wg płci</c:v>
                </c:pt>
              </c:strCache>
            </c:strRef>
          </c:tx>
          <c:dPt>
            <c:idx val="0"/>
            <c:bubble3D val="0"/>
            <c:spPr>
              <a:pattFill prst="ltUpDiag">
                <a:fgClr>
                  <a:schemeClr val="dk1">
                    <a:tint val="88500"/>
                  </a:schemeClr>
                </a:fgClr>
                <a:bgClr>
                  <a:schemeClr val="dk1">
                    <a:tint val="88500"/>
                    <a:lumMod val="20000"/>
                    <a:lumOff val="80000"/>
                  </a:schemeClr>
                </a:bgClr>
              </a:pattFill>
              <a:ln w="12700">
                <a:solidFill>
                  <a:schemeClr val="tx1"/>
                </a:solidFill>
              </a:ln>
              <a:effectLst>
                <a:innerShdw blurRad="114300">
                  <a:schemeClr val="dk1">
                    <a:tint val="88500"/>
                  </a:schemeClr>
                </a:innerShdw>
              </a:effectLst>
            </c:spPr>
            <c:extLst>
              <c:ext xmlns:c16="http://schemas.microsoft.com/office/drawing/2014/chart" uri="{C3380CC4-5D6E-409C-BE32-E72D297353CC}">
                <c16:uniqueId val="{00000003-6D36-43C8-9FCF-F30447807D97}"/>
              </c:ext>
            </c:extLst>
          </c:dPt>
          <c:dPt>
            <c:idx val="1"/>
            <c:bubble3D val="0"/>
            <c:spPr>
              <a:pattFill prst="ltUpDiag">
                <a:fgClr>
                  <a:schemeClr val="dk1">
                    <a:tint val="55000"/>
                  </a:schemeClr>
                </a:fgClr>
                <a:bgClr>
                  <a:schemeClr val="dk1">
                    <a:tint val="55000"/>
                    <a:lumMod val="20000"/>
                    <a:lumOff val="80000"/>
                  </a:schemeClr>
                </a:bgClr>
              </a:pattFill>
              <a:ln w="6350">
                <a:solidFill>
                  <a:schemeClr val="tx1"/>
                </a:solidFill>
              </a:ln>
              <a:effectLst>
                <a:innerShdw blurRad="114300">
                  <a:schemeClr val="dk1">
                    <a:tint val="55000"/>
                  </a:schemeClr>
                </a:innerShdw>
              </a:effectLst>
            </c:spPr>
            <c:extLst>
              <c:ext xmlns:c16="http://schemas.microsoft.com/office/drawing/2014/chart" uri="{C3380CC4-5D6E-409C-BE32-E72D297353CC}">
                <c16:uniqueId val="{00000004-6D36-43C8-9FCF-F30447807D9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dLblPos val="ctr"/>
            <c:showLegendKey val="0"/>
            <c:showVal val="1"/>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Zestawienia_ilościowe!$B$29:$B$30</c:f>
              <c:strCache>
                <c:ptCount val="2"/>
                <c:pt idx="0">
                  <c:v>Kobieta</c:v>
                </c:pt>
                <c:pt idx="1">
                  <c:v>Mężczyzna</c:v>
                </c:pt>
              </c:strCache>
            </c:strRef>
          </c:cat>
          <c:val>
            <c:numRef>
              <c:f>Zestawienia_ilościowe!$A$29:$A$30</c:f>
              <c:numCache>
                <c:formatCode>0</c:formatCode>
                <c:ptCount val="2"/>
                <c:pt idx="0">
                  <c:v>0</c:v>
                </c:pt>
                <c:pt idx="1">
                  <c:v>0</c:v>
                </c:pt>
              </c:numCache>
            </c:numRef>
          </c:val>
          <c:extLst>
            <c:ext xmlns:c16="http://schemas.microsoft.com/office/drawing/2014/chart" uri="{C3380CC4-5D6E-409C-BE32-E72D297353CC}">
              <c16:uniqueId val="{00000000-6D36-43C8-9FCF-F30447807D97}"/>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Władze samorządowe </a:t>
            </a:r>
            <a:r>
              <a:rPr lang="pl-PL" sz="1200" baseline="0">
                <a:solidFill>
                  <a:sysClr val="windowText" lastClr="000000"/>
                </a:solidFill>
                <a:latin typeface="Arial" panose="020B0604020202020204" pitchFamily="34" charset="0"/>
                <a:cs typeface="Arial" panose="020B0604020202020204" pitchFamily="34" charset="0"/>
              </a:rPr>
              <a:t>- ogólna satysfakcja</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Zestawienia_ilościowe!$C$529</c:f>
              <c:strCache>
                <c:ptCount val="1"/>
                <c:pt idx="0">
                  <c:v>liczba odpowiedzi</c:v>
                </c:pt>
              </c:strCache>
            </c:strRef>
          </c:tx>
          <c:spPr>
            <a:solidFill>
              <a:schemeClr val="dk1">
                <a:tint val="88500"/>
              </a:schemeClr>
            </a:solidFill>
            <a:ln>
              <a:noFill/>
            </a:ln>
            <a:effectLst/>
          </c:spPr>
          <c:invertIfNegative val="0"/>
          <c:cat>
            <c:multiLvlStrRef>
              <c:f>Zestawienia_ilościowe!$A$530:$B$536</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Zestawienia_ilościowe!$C$530:$C$536</c:f>
              <c:numCache>
                <c:formatCode>General</c:formatCode>
                <c:ptCount val="7"/>
                <c:pt idx="0">
                  <c:v>1</c:v>
                </c:pt>
                <c:pt idx="1">
                  <c:v>1</c:v>
                </c:pt>
                <c:pt idx="2">
                  <c:v>0</c:v>
                </c:pt>
                <c:pt idx="3">
                  <c:v>0</c:v>
                </c:pt>
                <c:pt idx="4">
                  <c:v>0</c:v>
                </c:pt>
                <c:pt idx="5">
                  <c:v>0</c:v>
                </c:pt>
                <c:pt idx="6">
                  <c:v>0</c:v>
                </c:pt>
              </c:numCache>
            </c:numRef>
          </c:val>
          <c:extLst>
            <c:ext xmlns:c16="http://schemas.microsoft.com/office/drawing/2014/chart" uri="{C3380CC4-5D6E-409C-BE32-E72D297353CC}">
              <c16:uniqueId val="{00000000-A5C5-4ABB-9AD0-1BC35F99E7F3}"/>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7792537187636592"/>
          <c:y val="0.17143372703412074"/>
          <c:w val="0.54123887899047973"/>
          <c:h val="0.80528105861767263"/>
        </c:manualLayout>
      </c:layout>
      <c:pieChart>
        <c:varyColors val="1"/>
        <c:ser>
          <c:idx val="0"/>
          <c:order val="0"/>
          <c:tx>
            <c:strRef>
              <c:f>Zestawienia_ilościowe!$A$33</c:f>
              <c:strCache>
                <c:ptCount val="1"/>
                <c:pt idx="0">
                  <c:v>Interesariusze: Podział respondentów wg grup wiekowych</c:v>
                </c:pt>
              </c:strCache>
            </c:strRef>
          </c:tx>
          <c:spPr>
            <a:ln w="6350">
              <a:solidFill>
                <a:schemeClr val="tx1"/>
              </a:solidFill>
            </a:ln>
          </c:spPr>
          <c:dPt>
            <c:idx val="0"/>
            <c:bubble3D val="0"/>
            <c:spPr>
              <a:pattFill prst="ltUpDiag">
                <a:fgClr>
                  <a:schemeClr val="dk1">
                    <a:tint val="88500"/>
                  </a:schemeClr>
                </a:fgClr>
                <a:bgClr>
                  <a:schemeClr val="dk1">
                    <a:tint val="88500"/>
                    <a:lumMod val="20000"/>
                    <a:lumOff val="80000"/>
                  </a:schemeClr>
                </a:bgClr>
              </a:pattFill>
              <a:ln w="6350">
                <a:solidFill>
                  <a:schemeClr val="tx1"/>
                </a:solidFill>
              </a:ln>
              <a:effectLst>
                <a:innerShdw blurRad="114300">
                  <a:schemeClr val="dk1">
                    <a:tint val="88500"/>
                  </a:schemeClr>
                </a:innerShdw>
              </a:effectLst>
            </c:spPr>
            <c:extLst>
              <c:ext xmlns:c16="http://schemas.microsoft.com/office/drawing/2014/chart" uri="{C3380CC4-5D6E-409C-BE32-E72D297353CC}">
                <c16:uniqueId val="{00000001-A296-4DA4-B7F3-11AAEE63D158}"/>
              </c:ext>
            </c:extLst>
          </c:dPt>
          <c:dPt>
            <c:idx val="1"/>
            <c:bubble3D val="0"/>
            <c:spPr>
              <a:pattFill prst="ltUpDiag">
                <a:fgClr>
                  <a:schemeClr val="dk1">
                    <a:tint val="55000"/>
                  </a:schemeClr>
                </a:fgClr>
                <a:bgClr>
                  <a:schemeClr val="dk1">
                    <a:tint val="55000"/>
                    <a:lumMod val="20000"/>
                    <a:lumOff val="80000"/>
                  </a:schemeClr>
                </a:bgClr>
              </a:pattFill>
              <a:ln w="6350">
                <a:solidFill>
                  <a:schemeClr val="tx1"/>
                </a:solidFill>
              </a:ln>
              <a:effectLst>
                <a:innerShdw blurRad="114300">
                  <a:schemeClr val="dk1">
                    <a:tint val="55000"/>
                  </a:schemeClr>
                </a:innerShdw>
              </a:effectLst>
            </c:spPr>
            <c:extLst>
              <c:ext xmlns:c16="http://schemas.microsoft.com/office/drawing/2014/chart" uri="{C3380CC4-5D6E-409C-BE32-E72D297353CC}">
                <c16:uniqueId val="{00000003-A296-4DA4-B7F3-11AAEE63D158}"/>
              </c:ext>
            </c:extLst>
          </c:dPt>
          <c:dPt>
            <c:idx val="2"/>
            <c:bubble3D val="0"/>
            <c:spPr>
              <a:pattFill prst="ltUpDiag">
                <a:fgClr>
                  <a:schemeClr val="dk1">
                    <a:tint val="75000"/>
                  </a:schemeClr>
                </a:fgClr>
                <a:bgClr>
                  <a:schemeClr val="dk1">
                    <a:tint val="75000"/>
                    <a:lumMod val="20000"/>
                    <a:lumOff val="80000"/>
                  </a:schemeClr>
                </a:bgClr>
              </a:pattFill>
              <a:ln w="6350">
                <a:solidFill>
                  <a:schemeClr val="tx1"/>
                </a:solidFill>
              </a:ln>
              <a:effectLst>
                <a:innerShdw blurRad="114300">
                  <a:schemeClr val="dk1">
                    <a:tint val="75000"/>
                  </a:schemeClr>
                </a:innerShdw>
              </a:effectLst>
            </c:spPr>
            <c:extLst>
              <c:ext xmlns:c16="http://schemas.microsoft.com/office/drawing/2014/chart" uri="{C3380CC4-5D6E-409C-BE32-E72D297353CC}">
                <c16:uniqueId val="{00000005-A296-4DA4-B7F3-11AAEE63D158}"/>
              </c:ext>
            </c:extLst>
          </c:dPt>
          <c:dPt>
            <c:idx val="3"/>
            <c:bubble3D val="0"/>
            <c:spPr>
              <a:pattFill prst="ltUpDiag">
                <a:fgClr>
                  <a:schemeClr val="dk1">
                    <a:tint val="98500"/>
                  </a:schemeClr>
                </a:fgClr>
                <a:bgClr>
                  <a:schemeClr val="dk1">
                    <a:tint val="98500"/>
                    <a:lumMod val="20000"/>
                    <a:lumOff val="80000"/>
                  </a:schemeClr>
                </a:bgClr>
              </a:pattFill>
              <a:ln w="6350">
                <a:solidFill>
                  <a:schemeClr val="tx1"/>
                </a:solidFill>
              </a:ln>
              <a:effectLst>
                <a:innerShdw blurRad="114300">
                  <a:schemeClr val="dk1">
                    <a:tint val="98500"/>
                  </a:schemeClr>
                </a:innerShdw>
              </a:effectLst>
            </c:spPr>
            <c:extLst>
              <c:ext xmlns:c16="http://schemas.microsoft.com/office/drawing/2014/chart" uri="{C3380CC4-5D6E-409C-BE32-E72D297353CC}">
                <c16:uniqueId val="{00000007-A296-4DA4-B7F3-11AAEE63D158}"/>
              </c:ext>
            </c:extLst>
          </c:dPt>
          <c:dPt>
            <c:idx val="4"/>
            <c:bubble3D val="0"/>
            <c:spPr>
              <a:pattFill prst="ltUpDiag">
                <a:fgClr>
                  <a:schemeClr val="dk1">
                    <a:tint val="30000"/>
                  </a:schemeClr>
                </a:fgClr>
                <a:bgClr>
                  <a:schemeClr val="dk1">
                    <a:tint val="30000"/>
                    <a:lumMod val="20000"/>
                    <a:lumOff val="80000"/>
                  </a:schemeClr>
                </a:bgClr>
              </a:pattFill>
              <a:ln w="6350">
                <a:solidFill>
                  <a:schemeClr val="tx1"/>
                </a:solidFill>
              </a:ln>
              <a:effectLst>
                <a:innerShdw blurRad="114300">
                  <a:schemeClr val="dk1">
                    <a:tint val="30000"/>
                  </a:schemeClr>
                </a:innerShdw>
              </a:effectLst>
            </c:spPr>
            <c:extLst>
              <c:ext xmlns:c16="http://schemas.microsoft.com/office/drawing/2014/chart" uri="{C3380CC4-5D6E-409C-BE32-E72D297353CC}">
                <c16:uniqueId val="{00000009-A296-4DA4-B7F3-11AAEE63D158}"/>
              </c:ext>
            </c:extLst>
          </c:dPt>
          <c:dPt>
            <c:idx val="5"/>
            <c:bubble3D val="0"/>
            <c:spPr>
              <a:pattFill prst="ltUpDiag">
                <a:fgClr>
                  <a:schemeClr val="dk1">
                    <a:tint val="60000"/>
                  </a:schemeClr>
                </a:fgClr>
                <a:bgClr>
                  <a:schemeClr val="dk1">
                    <a:tint val="60000"/>
                    <a:lumMod val="20000"/>
                    <a:lumOff val="80000"/>
                  </a:schemeClr>
                </a:bgClr>
              </a:pattFill>
              <a:ln w="6350">
                <a:solidFill>
                  <a:schemeClr val="tx1"/>
                </a:solidFill>
              </a:ln>
              <a:effectLst>
                <a:innerShdw blurRad="114300">
                  <a:schemeClr val="dk1">
                    <a:tint val="60000"/>
                  </a:schemeClr>
                </a:innerShdw>
              </a:effectLst>
            </c:spPr>
            <c:extLst>
              <c:ext xmlns:c16="http://schemas.microsoft.com/office/drawing/2014/chart" uri="{C3380CC4-5D6E-409C-BE32-E72D297353CC}">
                <c16:uniqueId val="{0000000B-A296-4DA4-B7F3-11AAEE63D158}"/>
              </c:ext>
            </c:extLst>
          </c:dPt>
          <c:dPt>
            <c:idx val="6"/>
            <c:bubble3D val="0"/>
            <c:spPr>
              <a:pattFill prst="ltUpDiag">
                <a:fgClr>
                  <a:schemeClr val="dk1">
                    <a:tint val="80000"/>
                  </a:schemeClr>
                </a:fgClr>
                <a:bgClr>
                  <a:schemeClr val="dk1">
                    <a:tint val="80000"/>
                    <a:lumMod val="20000"/>
                    <a:lumOff val="80000"/>
                  </a:schemeClr>
                </a:bgClr>
              </a:pattFill>
              <a:ln w="6350">
                <a:solidFill>
                  <a:schemeClr val="tx1"/>
                </a:solidFill>
              </a:ln>
              <a:effectLst>
                <a:innerShdw blurRad="114300">
                  <a:schemeClr val="dk1">
                    <a:tint val="80000"/>
                  </a:schemeClr>
                </a:innerShdw>
              </a:effectLst>
            </c:spPr>
            <c:extLst>
              <c:ext xmlns:c16="http://schemas.microsoft.com/office/drawing/2014/chart" uri="{C3380CC4-5D6E-409C-BE32-E72D297353CC}">
                <c16:uniqueId val="{0000000D-A296-4DA4-B7F3-11AAEE63D158}"/>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3713721350966219"/>
                      <c:h val="0.19194444444444445"/>
                    </c:manualLayout>
                  </c15:layout>
                </c:ext>
                <c:ext xmlns:c16="http://schemas.microsoft.com/office/drawing/2014/chart" uri="{C3380CC4-5D6E-409C-BE32-E72D297353CC}">
                  <c16:uniqueId val="{00000001-A296-4DA4-B7F3-11AAEE63D158}"/>
                </c:ext>
              </c:extLst>
            </c:dLbl>
            <c:dLbl>
              <c:idx val="6"/>
              <c:layout>
                <c:manualLayout>
                  <c:x val="-2.1806848233412262E-2"/>
                  <c:y val="-1.388888888888889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A296-4DA4-B7F3-11AAEE63D15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Zestawienia_ilościowe!$B$35:$B$41</c:f>
              <c:strCache>
                <c:ptCount val="7"/>
                <c:pt idx="0">
                  <c:v>powyżej 65 lat</c:v>
                </c:pt>
                <c:pt idx="1">
                  <c:v>56–65 lat</c:v>
                </c:pt>
                <c:pt idx="2">
                  <c:v>46–55 lat</c:v>
                </c:pt>
                <c:pt idx="3">
                  <c:v>36–45 lat</c:v>
                </c:pt>
                <c:pt idx="4">
                  <c:v>26–35 lat</c:v>
                </c:pt>
                <c:pt idx="5">
                  <c:v>poniżej 26 lat</c:v>
                </c:pt>
                <c:pt idx="6">
                  <c:v>b/d</c:v>
                </c:pt>
              </c:strCache>
            </c:strRef>
          </c:cat>
          <c:val>
            <c:numRef>
              <c:f>Zestawienia_ilościowe!$A$35:$A$41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FAE-4843-9BCB-3E47254CD672}"/>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6515287728974973"/>
          <c:y val="0.15921102095560929"/>
          <c:w val="0.54123887899047973"/>
          <c:h val="0.80528105861767263"/>
        </c:manualLayout>
      </c:layout>
      <c:pieChart>
        <c:varyColors val="1"/>
        <c:ser>
          <c:idx val="0"/>
          <c:order val="0"/>
          <c:tx>
            <c:strRef>
              <c:f>Zestawienia_ilościowe!$A$44</c:f>
              <c:strCache>
                <c:ptCount val="1"/>
                <c:pt idx="0">
                  <c:v>Interesariusze: Podział respondentów wg kategorii wielkości i rodzaju miejscowości pochodzenia</c:v>
                </c:pt>
              </c:strCache>
            </c:strRef>
          </c:tx>
          <c:spPr>
            <a:ln w="6350">
              <a:solidFill>
                <a:schemeClr val="tx1"/>
              </a:solidFill>
            </a:ln>
          </c:spPr>
          <c:dPt>
            <c:idx val="0"/>
            <c:bubble3D val="0"/>
            <c:spPr>
              <a:pattFill prst="ltUpDiag">
                <a:fgClr>
                  <a:schemeClr val="dk1">
                    <a:tint val="88500"/>
                  </a:schemeClr>
                </a:fgClr>
                <a:bgClr>
                  <a:schemeClr val="dk1">
                    <a:tint val="88500"/>
                    <a:lumMod val="20000"/>
                    <a:lumOff val="80000"/>
                  </a:schemeClr>
                </a:bgClr>
              </a:pattFill>
              <a:ln w="6350">
                <a:solidFill>
                  <a:schemeClr val="tx1"/>
                </a:solidFill>
              </a:ln>
              <a:effectLst>
                <a:innerShdw blurRad="114300">
                  <a:schemeClr val="dk1">
                    <a:tint val="88500"/>
                  </a:schemeClr>
                </a:innerShdw>
              </a:effectLst>
            </c:spPr>
            <c:extLst>
              <c:ext xmlns:c16="http://schemas.microsoft.com/office/drawing/2014/chart" uri="{C3380CC4-5D6E-409C-BE32-E72D297353CC}">
                <c16:uniqueId val="{00000001-CF89-42CD-B845-39AC1E027163}"/>
              </c:ext>
            </c:extLst>
          </c:dPt>
          <c:dPt>
            <c:idx val="1"/>
            <c:bubble3D val="0"/>
            <c:spPr>
              <a:pattFill prst="ltUpDiag">
                <a:fgClr>
                  <a:schemeClr val="dk1">
                    <a:tint val="55000"/>
                  </a:schemeClr>
                </a:fgClr>
                <a:bgClr>
                  <a:schemeClr val="dk1">
                    <a:tint val="55000"/>
                    <a:lumMod val="20000"/>
                    <a:lumOff val="80000"/>
                  </a:schemeClr>
                </a:bgClr>
              </a:pattFill>
              <a:ln w="6350">
                <a:solidFill>
                  <a:schemeClr val="tx1"/>
                </a:solidFill>
              </a:ln>
              <a:effectLst>
                <a:innerShdw blurRad="114300">
                  <a:schemeClr val="dk1">
                    <a:tint val="55000"/>
                  </a:schemeClr>
                </a:innerShdw>
              </a:effectLst>
            </c:spPr>
            <c:extLst>
              <c:ext xmlns:c16="http://schemas.microsoft.com/office/drawing/2014/chart" uri="{C3380CC4-5D6E-409C-BE32-E72D297353CC}">
                <c16:uniqueId val="{00000003-CF89-42CD-B845-39AC1E027163}"/>
              </c:ext>
            </c:extLst>
          </c:dPt>
          <c:dPt>
            <c:idx val="2"/>
            <c:bubble3D val="0"/>
            <c:spPr>
              <a:pattFill prst="ltUpDiag">
                <a:fgClr>
                  <a:schemeClr val="dk1">
                    <a:tint val="75000"/>
                  </a:schemeClr>
                </a:fgClr>
                <a:bgClr>
                  <a:schemeClr val="dk1">
                    <a:tint val="75000"/>
                    <a:lumMod val="20000"/>
                    <a:lumOff val="80000"/>
                  </a:schemeClr>
                </a:bgClr>
              </a:pattFill>
              <a:ln w="6350">
                <a:solidFill>
                  <a:schemeClr val="tx1"/>
                </a:solidFill>
              </a:ln>
              <a:effectLst>
                <a:innerShdw blurRad="114300">
                  <a:schemeClr val="dk1">
                    <a:tint val="75000"/>
                  </a:schemeClr>
                </a:innerShdw>
              </a:effectLst>
            </c:spPr>
            <c:extLst>
              <c:ext xmlns:c16="http://schemas.microsoft.com/office/drawing/2014/chart" uri="{C3380CC4-5D6E-409C-BE32-E72D297353CC}">
                <c16:uniqueId val="{00000005-CF89-42CD-B845-39AC1E027163}"/>
              </c:ext>
            </c:extLst>
          </c:dPt>
          <c:dPt>
            <c:idx val="3"/>
            <c:bubble3D val="0"/>
            <c:spPr>
              <a:pattFill prst="ltUpDiag">
                <a:fgClr>
                  <a:schemeClr val="dk1">
                    <a:tint val="98500"/>
                  </a:schemeClr>
                </a:fgClr>
                <a:bgClr>
                  <a:schemeClr val="dk1">
                    <a:tint val="98500"/>
                    <a:lumMod val="20000"/>
                    <a:lumOff val="80000"/>
                  </a:schemeClr>
                </a:bgClr>
              </a:pattFill>
              <a:ln w="6350">
                <a:solidFill>
                  <a:schemeClr val="tx1"/>
                </a:solidFill>
              </a:ln>
              <a:effectLst>
                <a:innerShdw blurRad="114300">
                  <a:schemeClr val="dk1">
                    <a:tint val="98500"/>
                  </a:schemeClr>
                </a:innerShdw>
              </a:effectLst>
            </c:spPr>
            <c:extLst>
              <c:ext xmlns:c16="http://schemas.microsoft.com/office/drawing/2014/chart" uri="{C3380CC4-5D6E-409C-BE32-E72D297353CC}">
                <c16:uniqueId val="{00000007-CF89-42CD-B845-39AC1E027163}"/>
              </c:ext>
            </c:extLst>
          </c:dPt>
          <c:dPt>
            <c:idx val="4"/>
            <c:bubble3D val="0"/>
            <c:spPr>
              <a:pattFill prst="ltUpDiag">
                <a:fgClr>
                  <a:schemeClr val="dk1">
                    <a:tint val="30000"/>
                  </a:schemeClr>
                </a:fgClr>
                <a:bgClr>
                  <a:schemeClr val="dk1">
                    <a:tint val="30000"/>
                    <a:lumMod val="20000"/>
                    <a:lumOff val="80000"/>
                  </a:schemeClr>
                </a:bgClr>
              </a:pattFill>
              <a:ln w="6350">
                <a:solidFill>
                  <a:schemeClr val="tx1"/>
                </a:solidFill>
              </a:ln>
              <a:effectLst>
                <a:innerShdw blurRad="114300">
                  <a:schemeClr val="dk1">
                    <a:tint val="30000"/>
                  </a:schemeClr>
                </a:innerShdw>
              </a:effectLst>
            </c:spPr>
            <c:extLst>
              <c:ext xmlns:c16="http://schemas.microsoft.com/office/drawing/2014/chart" uri="{C3380CC4-5D6E-409C-BE32-E72D297353CC}">
                <c16:uniqueId val="{00000009-CF89-42CD-B845-39AC1E027163}"/>
              </c:ext>
            </c:extLst>
          </c:dPt>
          <c:dPt>
            <c:idx val="5"/>
            <c:bubble3D val="0"/>
            <c:spPr>
              <a:pattFill prst="ltUpDiag">
                <a:fgClr>
                  <a:schemeClr val="dk1">
                    <a:tint val="60000"/>
                  </a:schemeClr>
                </a:fgClr>
                <a:bgClr>
                  <a:schemeClr val="dk1">
                    <a:tint val="60000"/>
                    <a:lumMod val="20000"/>
                    <a:lumOff val="80000"/>
                  </a:schemeClr>
                </a:bgClr>
              </a:pattFill>
              <a:ln w="6350">
                <a:solidFill>
                  <a:schemeClr val="tx1"/>
                </a:solidFill>
              </a:ln>
              <a:effectLst>
                <a:innerShdw blurRad="114300">
                  <a:schemeClr val="dk1">
                    <a:tint val="60000"/>
                  </a:schemeClr>
                </a:innerShdw>
              </a:effectLst>
            </c:spPr>
            <c:extLst>
              <c:ext xmlns:c16="http://schemas.microsoft.com/office/drawing/2014/chart" uri="{C3380CC4-5D6E-409C-BE32-E72D297353CC}">
                <c16:uniqueId val="{0000000B-CF89-42CD-B845-39AC1E027163}"/>
              </c:ext>
            </c:extLst>
          </c:dPt>
          <c:dPt>
            <c:idx val="6"/>
            <c:bubble3D val="0"/>
            <c:spPr>
              <a:pattFill prst="ltUpDiag">
                <a:fgClr>
                  <a:schemeClr val="dk1">
                    <a:tint val="80000"/>
                  </a:schemeClr>
                </a:fgClr>
                <a:bgClr>
                  <a:schemeClr val="dk1">
                    <a:tint val="80000"/>
                    <a:lumMod val="20000"/>
                    <a:lumOff val="80000"/>
                  </a:schemeClr>
                </a:bgClr>
              </a:pattFill>
              <a:ln w="6350">
                <a:solidFill>
                  <a:schemeClr val="tx1"/>
                </a:solidFill>
              </a:ln>
              <a:effectLst>
                <a:innerShdw blurRad="114300">
                  <a:schemeClr val="dk1">
                    <a:tint val="80000"/>
                  </a:schemeClr>
                </a:innerShdw>
              </a:effectLst>
            </c:spPr>
            <c:extLst>
              <c:ext xmlns:c16="http://schemas.microsoft.com/office/drawing/2014/chart" uri="{C3380CC4-5D6E-409C-BE32-E72D297353CC}">
                <c16:uniqueId val="{0000000D-CF89-42CD-B845-39AC1E027163}"/>
              </c:ext>
            </c:extLst>
          </c:dPt>
          <c:dLbls>
            <c:dLbl>
              <c:idx val="0"/>
              <c:layout>
                <c:manualLayout>
                  <c:x val="-4.0498309785289628E-2"/>
                  <c:y val="-1.38969336288285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713721350966219"/>
                      <c:h val="0.19194444444444445"/>
                    </c:manualLayout>
                  </c15:layout>
                </c:ext>
                <c:ext xmlns:c16="http://schemas.microsoft.com/office/drawing/2014/chart" uri="{C3380CC4-5D6E-409C-BE32-E72D297353CC}">
                  <c16:uniqueId val="{00000001-CF89-42CD-B845-39AC1E027163}"/>
                </c:ext>
              </c:extLst>
            </c:dLbl>
            <c:dLbl>
              <c:idx val="1"/>
              <c:layout>
                <c:manualLayout>
                  <c:x val="4.672908314835942E-2"/>
                  <c:y val="-2.141344483973780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691582728289363"/>
                      <c:h val="0.22955032119914343"/>
                    </c:manualLayout>
                  </c15:layout>
                </c:ext>
                <c:ext xmlns:c16="http://schemas.microsoft.com/office/drawing/2014/chart" uri="{C3380CC4-5D6E-409C-BE32-E72D297353CC}">
                  <c16:uniqueId val="{00000003-CF89-42CD-B845-39AC1E027163}"/>
                </c:ext>
              </c:extLst>
            </c:dLbl>
            <c:dLbl>
              <c:idx val="6"/>
              <c:layout>
                <c:manualLayout>
                  <c:x val="-2.1806848233412262E-2"/>
                  <c:y val="-1.388888888888889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F89-42CD-B845-39AC1E02716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Zestawienia_ilościowe!$B$46:$B$51</c:f>
              <c:strCache>
                <c:ptCount val="6"/>
                <c:pt idx="0">
                  <c:v>miasto wojewódzkie</c:v>
                </c:pt>
                <c:pt idx="1">
                  <c:v>duże miasto powiatowe</c:v>
                </c:pt>
                <c:pt idx="2">
                  <c:v>nieduże miasto powiatowe</c:v>
                </c:pt>
                <c:pt idx="3">
                  <c:v>miasto gminne</c:v>
                </c:pt>
                <c:pt idx="4">
                  <c:v>wieś gminna</c:v>
                </c:pt>
                <c:pt idx="5">
                  <c:v>wieś</c:v>
                </c:pt>
              </c:strCache>
            </c:strRef>
          </c:cat>
          <c:val>
            <c:numRef>
              <c:f>Zestawienia_ilościowe!$A$46:$A$51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E-CF89-42CD-B845-39AC1E027163}"/>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bar"/>
        <c:grouping val="clustered"/>
        <c:varyColors val="0"/>
        <c:ser>
          <c:idx val="0"/>
          <c:order val="0"/>
          <c:tx>
            <c:strRef>
              <c:f>Zestawienia_ilościowe!$C$58</c:f>
              <c:strCache>
                <c:ptCount val="1"/>
                <c:pt idx="0">
                  <c:v>Udział wybranych grup interesariuszy w badaniu kwestionariuszowym wśród grupy absolwentów</c:v>
                </c:pt>
              </c:strCache>
            </c:strRef>
          </c:tx>
          <c:spPr>
            <a:solidFill>
              <a:schemeClr val="dk1">
                <a:tint val="885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Zestawienia_ilościowe!$C$59:$D$66</c15:sqref>
                  </c15:fullRef>
                </c:ext>
              </c:extLst>
              <c:f>(Zestawienia_ilościowe!$C$59:$D$59,Zestawienia_ilościowe!$C$61:$D$66)</c:f>
              <c:multiLvlStrCache>
                <c:ptCount val="7"/>
                <c:lvl>
                  <c:pt idx="0">
                    <c:v>Studenci</c:v>
                  </c:pt>
                  <c:pt idx="1">
                    <c:v>Rodzice / opiekunowie</c:v>
                  </c:pt>
                  <c:pt idx="2">
                    <c:v>Pracownicy administracyjni</c:v>
                  </c:pt>
                  <c:pt idx="3">
                    <c:v>Pracownicy naukowi lub dydaktyczni</c:v>
                  </c:pt>
                  <c:pt idx="4">
                    <c:v>Władze uczelni</c:v>
                  </c:pt>
                  <c:pt idx="5">
                    <c:v>Przedsiębiorcy</c:v>
                  </c:pt>
                  <c:pt idx="6">
                    <c:v>Władze samorządowe</c:v>
                  </c:pt>
                </c:lvl>
                <c:lvl>
                  <c:pt idx="0">
                    <c:v>100%</c:v>
                  </c:pt>
                  <c:pt idx="1">
                    <c:v>100%</c:v>
                  </c:pt>
                  <c:pt idx="2">
                    <c:v>100%</c:v>
                  </c:pt>
                  <c:pt idx="3">
                    <c:v>100%</c:v>
                  </c:pt>
                  <c:pt idx="4">
                    <c:v>100%</c:v>
                  </c:pt>
                  <c:pt idx="5">
                    <c:v>100%</c:v>
                  </c:pt>
                  <c:pt idx="6">
                    <c:v>100%</c:v>
                  </c:pt>
                </c:lvl>
              </c:multiLvlStrCache>
            </c:multiLvlStrRef>
          </c:cat>
          <c:val>
            <c:numRef>
              <c:extLst>
                <c:ext xmlns:c15="http://schemas.microsoft.com/office/drawing/2012/chart" uri="{02D57815-91ED-43cb-92C2-25804820EDAC}">
                  <c15:fullRef>
                    <c15:sqref>Zestawienia_ilościowe!$A$59:$A$66</c15:sqref>
                  </c15:fullRef>
                </c:ext>
              </c:extLst>
              <c:f>(Zestawienia_ilościowe!$A$59,Zestawienia_ilościowe!$A$61:$A$66)</c:f>
              <c:numCache>
                <c:formatCode>0.00%</c:formatCode>
                <c:ptCount val="7"/>
                <c:pt idx="0">
                  <c:v>1.6666666666666666E-2</c:v>
                </c:pt>
                <c:pt idx="1">
                  <c:v>0.1</c:v>
                </c:pt>
                <c:pt idx="2">
                  <c:v>3.3333333333333333E-2</c:v>
                </c:pt>
                <c:pt idx="3">
                  <c:v>0.1</c:v>
                </c:pt>
                <c:pt idx="4">
                  <c:v>0.05</c:v>
                </c:pt>
                <c:pt idx="5">
                  <c:v>8.3333333333333329E-2</c:v>
                </c:pt>
                <c:pt idx="6">
                  <c:v>2.5000000000000001E-2</c:v>
                </c:pt>
              </c:numCache>
            </c:numRef>
          </c:val>
          <c:extLst>
            <c:ext xmlns:c16="http://schemas.microsoft.com/office/drawing/2014/chart" uri="{C3380CC4-5D6E-409C-BE32-E72D297353CC}">
              <c16:uniqueId val="{00000000-AE1C-454E-AC95-7B9269AD3255}"/>
            </c:ext>
          </c:extLst>
        </c:ser>
        <c:dLbls>
          <c:showLegendKey val="0"/>
          <c:showVal val="0"/>
          <c:showCatName val="0"/>
          <c:showSerName val="0"/>
          <c:showPercent val="0"/>
          <c:showBubbleSize val="0"/>
        </c:dLbls>
        <c:gapWidth val="150"/>
        <c:axId val="510615792"/>
        <c:axId val="510614808"/>
      </c:barChart>
      <c:valAx>
        <c:axId val="51061480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510615792"/>
        <c:crosses val="autoZero"/>
        <c:crossBetween val="between"/>
      </c:valAx>
      <c:catAx>
        <c:axId val="510615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106148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tx>
            <c:strRef>
              <c:f>Zestawienia_ilościowe!$A$71</c:f>
              <c:strCache>
                <c:ptCount val="1"/>
                <c:pt idx="0">
                  <c:v>Absolwenci: Podział respondentów wg płci</c:v>
                </c:pt>
              </c:strCache>
            </c:strRef>
          </c:tx>
          <c:dPt>
            <c:idx val="0"/>
            <c:bubble3D val="0"/>
            <c:spPr>
              <a:pattFill prst="ltUpDiag">
                <a:fgClr>
                  <a:schemeClr val="dk1">
                    <a:tint val="88500"/>
                  </a:schemeClr>
                </a:fgClr>
                <a:bgClr>
                  <a:schemeClr val="dk1">
                    <a:tint val="88500"/>
                    <a:lumMod val="20000"/>
                    <a:lumOff val="80000"/>
                  </a:schemeClr>
                </a:bgClr>
              </a:pattFill>
              <a:ln w="12700">
                <a:solidFill>
                  <a:schemeClr val="tx1"/>
                </a:solidFill>
              </a:ln>
              <a:effectLst>
                <a:innerShdw blurRad="114300">
                  <a:schemeClr val="dk1">
                    <a:tint val="88500"/>
                  </a:schemeClr>
                </a:innerShdw>
              </a:effectLst>
            </c:spPr>
            <c:extLst>
              <c:ext xmlns:c16="http://schemas.microsoft.com/office/drawing/2014/chart" uri="{C3380CC4-5D6E-409C-BE32-E72D297353CC}">
                <c16:uniqueId val="{00000001-BE13-479F-9A74-DBE32E4D04F4}"/>
              </c:ext>
            </c:extLst>
          </c:dPt>
          <c:dPt>
            <c:idx val="1"/>
            <c:bubble3D val="0"/>
            <c:spPr>
              <a:pattFill prst="ltUpDiag">
                <a:fgClr>
                  <a:schemeClr val="dk1">
                    <a:tint val="55000"/>
                  </a:schemeClr>
                </a:fgClr>
                <a:bgClr>
                  <a:schemeClr val="dk1">
                    <a:tint val="55000"/>
                    <a:lumMod val="20000"/>
                    <a:lumOff val="80000"/>
                  </a:schemeClr>
                </a:bgClr>
              </a:pattFill>
              <a:ln w="6350">
                <a:solidFill>
                  <a:schemeClr val="tx1"/>
                </a:solidFill>
              </a:ln>
              <a:effectLst>
                <a:innerShdw blurRad="114300">
                  <a:schemeClr val="dk1">
                    <a:tint val="55000"/>
                  </a:schemeClr>
                </a:innerShdw>
              </a:effectLst>
            </c:spPr>
            <c:extLst>
              <c:ext xmlns:c16="http://schemas.microsoft.com/office/drawing/2014/chart" uri="{C3380CC4-5D6E-409C-BE32-E72D297353CC}">
                <c16:uniqueId val="{00000003-BE13-479F-9A74-DBE32E4D04F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dLblPos val="ctr"/>
            <c:showLegendKey val="0"/>
            <c:showVal val="1"/>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Zestawienia_ilościowe!$B$72:$B$73</c:f>
              <c:strCache>
                <c:ptCount val="2"/>
                <c:pt idx="0">
                  <c:v>Kobieta</c:v>
                </c:pt>
                <c:pt idx="1">
                  <c:v>Mężczyzna</c:v>
                </c:pt>
              </c:strCache>
            </c:strRef>
          </c:cat>
          <c:val>
            <c:numRef>
              <c:f>Zestawienia_ilościowe!$A$72:$A$73</c:f>
              <c:numCache>
                <c:formatCode>General</c:formatCode>
                <c:ptCount val="2"/>
                <c:pt idx="0">
                  <c:v>6</c:v>
                </c:pt>
                <c:pt idx="1">
                  <c:v>27</c:v>
                </c:pt>
              </c:numCache>
            </c:numRef>
          </c:val>
          <c:extLst>
            <c:ext xmlns:c16="http://schemas.microsoft.com/office/drawing/2014/chart" uri="{C3380CC4-5D6E-409C-BE32-E72D297353CC}">
              <c16:uniqueId val="{00000004-BE13-479F-9A74-DBE32E4D04F4}"/>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7792537187636592"/>
          <c:y val="0.17143372703412074"/>
          <c:w val="0.54123887899047973"/>
          <c:h val="0.80528105861767263"/>
        </c:manualLayout>
      </c:layout>
      <c:pieChart>
        <c:varyColors val="1"/>
        <c:ser>
          <c:idx val="0"/>
          <c:order val="0"/>
          <c:tx>
            <c:strRef>
              <c:f>Zestawienia_ilościowe!$A$75</c:f>
              <c:strCache>
                <c:ptCount val="1"/>
                <c:pt idx="0">
                  <c:v>Absolwenci: Podział respondentów wg grup wiekowych</c:v>
                </c:pt>
              </c:strCache>
            </c:strRef>
          </c:tx>
          <c:spPr>
            <a:ln w="6350">
              <a:solidFill>
                <a:schemeClr val="tx1"/>
              </a:solidFill>
            </a:ln>
          </c:spPr>
          <c:dPt>
            <c:idx val="0"/>
            <c:bubble3D val="0"/>
            <c:spPr>
              <a:pattFill prst="ltUpDiag">
                <a:fgClr>
                  <a:schemeClr val="dk1">
                    <a:tint val="88500"/>
                  </a:schemeClr>
                </a:fgClr>
                <a:bgClr>
                  <a:schemeClr val="dk1">
                    <a:tint val="88500"/>
                    <a:lumMod val="20000"/>
                    <a:lumOff val="80000"/>
                  </a:schemeClr>
                </a:bgClr>
              </a:pattFill>
              <a:ln w="6350">
                <a:solidFill>
                  <a:schemeClr val="tx1"/>
                </a:solidFill>
              </a:ln>
              <a:effectLst>
                <a:innerShdw blurRad="114300">
                  <a:schemeClr val="dk1">
                    <a:tint val="88500"/>
                  </a:schemeClr>
                </a:innerShdw>
              </a:effectLst>
            </c:spPr>
            <c:extLst>
              <c:ext xmlns:c16="http://schemas.microsoft.com/office/drawing/2014/chart" uri="{C3380CC4-5D6E-409C-BE32-E72D297353CC}">
                <c16:uniqueId val="{00000001-7B8C-4725-B0E7-658DC7046065}"/>
              </c:ext>
            </c:extLst>
          </c:dPt>
          <c:dPt>
            <c:idx val="1"/>
            <c:bubble3D val="0"/>
            <c:spPr>
              <a:pattFill prst="ltUpDiag">
                <a:fgClr>
                  <a:schemeClr val="dk1">
                    <a:tint val="55000"/>
                  </a:schemeClr>
                </a:fgClr>
                <a:bgClr>
                  <a:schemeClr val="dk1">
                    <a:tint val="55000"/>
                    <a:lumMod val="20000"/>
                    <a:lumOff val="80000"/>
                  </a:schemeClr>
                </a:bgClr>
              </a:pattFill>
              <a:ln w="6350">
                <a:solidFill>
                  <a:schemeClr val="tx1"/>
                </a:solidFill>
              </a:ln>
              <a:effectLst>
                <a:innerShdw blurRad="114300">
                  <a:schemeClr val="dk1">
                    <a:tint val="55000"/>
                  </a:schemeClr>
                </a:innerShdw>
              </a:effectLst>
            </c:spPr>
            <c:extLst>
              <c:ext xmlns:c16="http://schemas.microsoft.com/office/drawing/2014/chart" uri="{C3380CC4-5D6E-409C-BE32-E72D297353CC}">
                <c16:uniqueId val="{00000003-7B8C-4725-B0E7-658DC7046065}"/>
              </c:ext>
            </c:extLst>
          </c:dPt>
          <c:dPt>
            <c:idx val="2"/>
            <c:bubble3D val="0"/>
            <c:spPr>
              <a:pattFill prst="ltUpDiag">
                <a:fgClr>
                  <a:schemeClr val="dk1">
                    <a:tint val="75000"/>
                  </a:schemeClr>
                </a:fgClr>
                <a:bgClr>
                  <a:schemeClr val="dk1">
                    <a:tint val="75000"/>
                    <a:lumMod val="20000"/>
                    <a:lumOff val="80000"/>
                  </a:schemeClr>
                </a:bgClr>
              </a:pattFill>
              <a:ln w="6350">
                <a:solidFill>
                  <a:schemeClr val="tx1"/>
                </a:solidFill>
              </a:ln>
              <a:effectLst>
                <a:innerShdw blurRad="114300">
                  <a:schemeClr val="dk1">
                    <a:tint val="75000"/>
                  </a:schemeClr>
                </a:innerShdw>
              </a:effectLst>
            </c:spPr>
            <c:extLst>
              <c:ext xmlns:c16="http://schemas.microsoft.com/office/drawing/2014/chart" uri="{C3380CC4-5D6E-409C-BE32-E72D297353CC}">
                <c16:uniqueId val="{00000005-7B8C-4725-B0E7-658DC7046065}"/>
              </c:ext>
            </c:extLst>
          </c:dPt>
          <c:dPt>
            <c:idx val="3"/>
            <c:bubble3D val="0"/>
            <c:spPr>
              <a:pattFill prst="ltUpDiag">
                <a:fgClr>
                  <a:schemeClr val="dk1">
                    <a:tint val="98500"/>
                  </a:schemeClr>
                </a:fgClr>
                <a:bgClr>
                  <a:schemeClr val="dk1">
                    <a:tint val="98500"/>
                    <a:lumMod val="20000"/>
                    <a:lumOff val="80000"/>
                  </a:schemeClr>
                </a:bgClr>
              </a:pattFill>
              <a:ln w="6350">
                <a:solidFill>
                  <a:schemeClr val="tx1"/>
                </a:solidFill>
              </a:ln>
              <a:effectLst>
                <a:innerShdw blurRad="114300">
                  <a:schemeClr val="dk1">
                    <a:tint val="98500"/>
                  </a:schemeClr>
                </a:innerShdw>
              </a:effectLst>
            </c:spPr>
            <c:extLst>
              <c:ext xmlns:c16="http://schemas.microsoft.com/office/drawing/2014/chart" uri="{C3380CC4-5D6E-409C-BE32-E72D297353CC}">
                <c16:uniqueId val="{00000007-7B8C-4725-B0E7-658DC7046065}"/>
              </c:ext>
            </c:extLst>
          </c:dPt>
          <c:dPt>
            <c:idx val="4"/>
            <c:bubble3D val="0"/>
            <c:spPr>
              <a:pattFill prst="ltUpDiag">
                <a:fgClr>
                  <a:schemeClr val="dk1">
                    <a:tint val="30000"/>
                  </a:schemeClr>
                </a:fgClr>
                <a:bgClr>
                  <a:schemeClr val="dk1">
                    <a:tint val="30000"/>
                    <a:lumMod val="20000"/>
                    <a:lumOff val="80000"/>
                  </a:schemeClr>
                </a:bgClr>
              </a:pattFill>
              <a:ln w="6350">
                <a:solidFill>
                  <a:schemeClr val="tx1"/>
                </a:solidFill>
              </a:ln>
              <a:effectLst>
                <a:innerShdw blurRad="114300">
                  <a:schemeClr val="dk1">
                    <a:tint val="30000"/>
                  </a:schemeClr>
                </a:innerShdw>
              </a:effectLst>
            </c:spPr>
            <c:extLst>
              <c:ext xmlns:c16="http://schemas.microsoft.com/office/drawing/2014/chart" uri="{C3380CC4-5D6E-409C-BE32-E72D297353CC}">
                <c16:uniqueId val="{00000009-7B8C-4725-B0E7-658DC7046065}"/>
              </c:ext>
            </c:extLst>
          </c:dPt>
          <c:dPt>
            <c:idx val="5"/>
            <c:bubble3D val="0"/>
            <c:spPr>
              <a:pattFill prst="ltUpDiag">
                <a:fgClr>
                  <a:schemeClr val="dk1">
                    <a:tint val="60000"/>
                  </a:schemeClr>
                </a:fgClr>
                <a:bgClr>
                  <a:schemeClr val="dk1">
                    <a:tint val="60000"/>
                    <a:lumMod val="20000"/>
                    <a:lumOff val="80000"/>
                  </a:schemeClr>
                </a:bgClr>
              </a:pattFill>
              <a:ln w="6350">
                <a:solidFill>
                  <a:schemeClr val="tx1"/>
                </a:solidFill>
              </a:ln>
              <a:effectLst>
                <a:innerShdw blurRad="114300">
                  <a:schemeClr val="dk1">
                    <a:tint val="60000"/>
                  </a:schemeClr>
                </a:innerShdw>
              </a:effectLst>
            </c:spPr>
            <c:extLst>
              <c:ext xmlns:c16="http://schemas.microsoft.com/office/drawing/2014/chart" uri="{C3380CC4-5D6E-409C-BE32-E72D297353CC}">
                <c16:uniqueId val="{0000000B-7B8C-4725-B0E7-658DC7046065}"/>
              </c:ext>
            </c:extLst>
          </c:dPt>
          <c:dPt>
            <c:idx val="6"/>
            <c:bubble3D val="0"/>
            <c:spPr>
              <a:pattFill prst="ltUpDiag">
                <a:fgClr>
                  <a:schemeClr val="dk1">
                    <a:tint val="80000"/>
                  </a:schemeClr>
                </a:fgClr>
                <a:bgClr>
                  <a:schemeClr val="dk1">
                    <a:tint val="80000"/>
                    <a:lumMod val="20000"/>
                    <a:lumOff val="80000"/>
                  </a:schemeClr>
                </a:bgClr>
              </a:pattFill>
              <a:ln w="6350">
                <a:solidFill>
                  <a:schemeClr val="tx1"/>
                </a:solidFill>
              </a:ln>
              <a:effectLst>
                <a:innerShdw blurRad="114300">
                  <a:schemeClr val="dk1">
                    <a:tint val="80000"/>
                  </a:schemeClr>
                </a:innerShdw>
              </a:effectLst>
            </c:spPr>
            <c:extLst>
              <c:ext xmlns:c16="http://schemas.microsoft.com/office/drawing/2014/chart" uri="{C3380CC4-5D6E-409C-BE32-E72D297353CC}">
                <c16:uniqueId val="{0000000D-7B8C-4725-B0E7-658DC7046065}"/>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3713721350966219"/>
                      <c:h val="0.19194444444444445"/>
                    </c:manualLayout>
                  </c15:layout>
                </c:ext>
                <c:ext xmlns:c16="http://schemas.microsoft.com/office/drawing/2014/chart" uri="{C3380CC4-5D6E-409C-BE32-E72D297353CC}">
                  <c16:uniqueId val="{00000001-7B8C-4725-B0E7-658DC7046065}"/>
                </c:ext>
              </c:extLst>
            </c:dLbl>
            <c:dLbl>
              <c:idx val="5"/>
              <c:layout>
                <c:manualLayout>
                  <c:x val="-0.10890700003724153"/>
                  <c:y val="1.8845886313680754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dLblPos val="bestFit"/>
              <c:showLegendKey val="0"/>
              <c:showVal val="0"/>
              <c:showCatName val="1"/>
              <c:showSerName val="0"/>
              <c:showPercent val="1"/>
              <c:showBubbleSize val="0"/>
              <c:extLst>
                <c:ext xmlns:c15="http://schemas.microsoft.com/office/drawing/2012/chart" uri="{CE6537A1-D6FC-4f65-9D91-7224C49458BB}">
                  <c15:layout>
                    <c:manualLayout>
                      <c:w val="0.22143892485637506"/>
                      <c:h val="0.18351001177856299"/>
                    </c:manualLayout>
                  </c15:layout>
                </c:ext>
                <c:ext xmlns:c16="http://schemas.microsoft.com/office/drawing/2014/chart" uri="{C3380CC4-5D6E-409C-BE32-E72D297353CC}">
                  <c16:uniqueId val="{0000000B-7B8C-4725-B0E7-658DC7046065}"/>
                </c:ext>
              </c:extLst>
            </c:dLbl>
            <c:dLbl>
              <c:idx val="6"/>
              <c:layout>
                <c:manualLayout>
                  <c:x val="-2.1806848233412262E-2"/>
                  <c:y val="-1.388888888888889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B8C-4725-B0E7-658DC704606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Zestawienia_ilościowe!$B$77:$B$83</c:f>
              <c:strCache>
                <c:ptCount val="7"/>
                <c:pt idx="0">
                  <c:v>powyżej 65 lat</c:v>
                </c:pt>
                <c:pt idx="1">
                  <c:v>56–65 lat</c:v>
                </c:pt>
                <c:pt idx="2">
                  <c:v>46–55 lat</c:v>
                </c:pt>
                <c:pt idx="3">
                  <c:v>36–45 lat</c:v>
                </c:pt>
                <c:pt idx="4">
                  <c:v>26–35 lat</c:v>
                </c:pt>
                <c:pt idx="5">
                  <c:v>poniżej 26 lat</c:v>
                </c:pt>
                <c:pt idx="6">
                  <c:v>b/d</c:v>
                </c:pt>
              </c:strCache>
            </c:strRef>
          </c:cat>
          <c:val>
            <c:numRef>
              <c:f>Zestawienia_ilościowe!$A$77:$A$83</c:f>
              <c:numCache>
                <c:formatCode>General</c:formatCode>
                <c:ptCount val="7"/>
                <c:pt idx="0">
                  <c:v>1</c:v>
                </c:pt>
                <c:pt idx="1">
                  <c:v>10</c:v>
                </c:pt>
                <c:pt idx="2">
                  <c:v>6</c:v>
                </c:pt>
                <c:pt idx="3">
                  <c:v>5</c:v>
                </c:pt>
                <c:pt idx="4">
                  <c:v>10</c:v>
                </c:pt>
                <c:pt idx="5">
                  <c:v>0</c:v>
                </c:pt>
                <c:pt idx="6">
                  <c:v>2</c:v>
                </c:pt>
              </c:numCache>
            </c:numRef>
          </c:val>
          <c:extLst>
            <c:ext xmlns:c16="http://schemas.microsoft.com/office/drawing/2014/chart" uri="{C3380CC4-5D6E-409C-BE32-E72D297353CC}">
              <c16:uniqueId val="{0000000E-7B8C-4725-B0E7-658DC7046065}"/>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stacked"/>
        <c:varyColors val="0"/>
        <c:ser>
          <c:idx val="0"/>
          <c:order val="0"/>
          <c:tx>
            <c:strRef>
              <c:f>Zestawienia_ilościowe!$A$86</c:f>
              <c:strCache>
                <c:ptCount val="1"/>
                <c:pt idx="0">
                  <c:v>Absolwenci: podział respondentów wg ukończonych uczelni (ocenianych)</c:v>
                </c:pt>
              </c:strCache>
            </c:strRef>
          </c:tx>
          <c:spPr>
            <a:solidFill>
              <a:schemeClr val="dk1">
                <a:tint val="88500"/>
              </a:schemeClr>
            </a:solidFill>
            <a:ln>
              <a:noFill/>
            </a:ln>
            <a:effectLst/>
          </c:spPr>
          <c:invertIfNegative val="0"/>
          <c:cat>
            <c:strRef>
              <c:f>Zestawienia_ilościowe!$B$87:$B$116</c:f>
              <c:strCache>
                <c:ptCount val="30"/>
                <c:pt idx="0">
                  <c:v>Akademia Ignatianum </c:v>
                </c:pt>
                <c:pt idx="1">
                  <c:v>Akademia Morska w Gdyni</c:v>
                </c:pt>
                <c:pt idx="2">
                  <c:v>Akademia Muzyczna w Gdańsku</c:v>
                </c:pt>
                <c:pt idx="3">
                  <c:v>Akademia Nauk Stosowanych w Elblągu</c:v>
                </c:pt>
                <c:pt idx="4">
                  <c:v>Akademia Sztuk Pięknych w Łodzi</c:v>
                </c:pt>
                <c:pt idx="5">
                  <c:v>Akademia Sztuk Pięknych we Wrocławiu</c:v>
                </c:pt>
                <c:pt idx="6">
                  <c:v>AWF Kraków</c:v>
                </c:pt>
                <c:pt idx="7">
                  <c:v>AWFiS Gdańsk</c:v>
                </c:pt>
                <c:pt idx="8">
                  <c:v>Gdański Uniwersytet Medyczny</c:v>
                </c:pt>
                <c:pt idx="9">
                  <c:v>Politechnika Gdańska</c:v>
                </c:pt>
                <c:pt idx="10">
                  <c:v>Politechnika Krakowska</c:v>
                </c:pt>
                <c:pt idx="11">
                  <c:v>Politechnika Łódzka</c:v>
                </c:pt>
                <c:pt idx="12">
                  <c:v>Politechnika Warszawska</c:v>
                </c:pt>
                <c:pt idx="13">
                  <c:v>SGH</c:v>
                </c:pt>
                <c:pt idx="14">
                  <c:v>SWPS</c:v>
                </c:pt>
                <c:pt idx="15">
                  <c:v>University of Suffolk </c:v>
                </c:pt>
                <c:pt idx="16">
                  <c:v>Uniwersytet Adama Mickiewicza w Poznaniu</c:v>
                </c:pt>
                <c:pt idx="17">
                  <c:v>Uniwersytet Ekonomiczny w Katowicach</c:v>
                </c:pt>
                <c:pt idx="18">
                  <c:v>Uniwersytet Ekonomiczny w Poznaniu</c:v>
                </c:pt>
                <c:pt idx="19">
                  <c:v>Uniwersytet Gdański</c:v>
                </c:pt>
                <c:pt idx="20">
                  <c:v>Uniwersytet Jagielloński</c:v>
                </c:pt>
                <c:pt idx="21">
                  <c:v>Uniwersytet Kardynała Stefana Wyszyńskiego w Warszawie</c:v>
                </c:pt>
                <c:pt idx="22">
                  <c:v>Uniwersytet Łódzki</c:v>
                </c:pt>
                <c:pt idx="23">
                  <c:v>Uniwersytet Medyczny w Poznaniu</c:v>
                </c:pt>
                <c:pt idx="24">
                  <c:v>Uniwersytet Mikołaja Kopernika w Toruniu</c:v>
                </c:pt>
                <c:pt idx="25">
                  <c:v>Uniwersytet Szczeciński</c:v>
                </c:pt>
                <c:pt idx="26">
                  <c:v>Uniwersytet Śląski</c:v>
                </c:pt>
                <c:pt idx="27">
                  <c:v>Uniwersytet Warmińsko-Mazurski</c:v>
                </c:pt>
                <c:pt idx="28">
                  <c:v>Uniwersytet Warszawski</c:v>
                </c:pt>
                <c:pt idx="29">
                  <c:v>WSB</c:v>
                </c:pt>
              </c:strCache>
            </c:strRef>
          </c:cat>
          <c:val>
            <c:numRef>
              <c:f>Zestawienia_ilościowe!$A$87:$A$116</c:f>
              <c:numCache>
                <c:formatCode>General</c:formatCode>
                <c:ptCount val="30"/>
                <c:pt idx="0">
                  <c:v>0</c:v>
                </c:pt>
                <c:pt idx="1">
                  <c:v>0</c:v>
                </c:pt>
                <c:pt idx="2">
                  <c:v>2</c:v>
                </c:pt>
                <c:pt idx="3">
                  <c:v>0</c:v>
                </c:pt>
                <c:pt idx="4">
                  <c:v>1</c:v>
                </c:pt>
                <c:pt idx="5">
                  <c:v>1</c:v>
                </c:pt>
                <c:pt idx="6">
                  <c:v>0</c:v>
                </c:pt>
                <c:pt idx="7">
                  <c:v>0</c:v>
                </c:pt>
                <c:pt idx="8">
                  <c:v>1</c:v>
                </c:pt>
                <c:pt idx="9">
                  <c:v>14</c:v>
                </c:pt>
                <c:pt idx="10">
                  <c:v>0</c:v>
                </c:pt>
                <c:pt idx="11">
                  <c:v>0</c:v>
                </c:pt>
                <c:pt idx="12">
                  <c:v>0</c:v>
                </c:pt>
                <c:pt idx="13">
                  <c:v>1</c:v>
                </c:pt>
                <c:pt idx="14">
                  <c:v>1</c:v>
                </c:pt>
                <c:pt idx="15">
                  <c:v>0</c:v>
                </c:pt>
                <c:pt idx="16">
                  <c:v>0</c:v>
                </c:pt>
                <c:pt idx="17">
                  <c:v>0</c:v>
                </c:pt>
                <c:pt idx="18">
                  <c:v>1</c:v>
                </c:pt>
                <c:pt idx="19">
                  <c:v>10</c:v>
                </c:pt>
                <c:pt idx="20">
                  <c:v>1</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31C0-4659-909B-05E75699C9AD}"/>
            </c:ext>
          </c:extLst>
        </c:ser>
        <c:dLbls>
          <c:showLegendKey val="0"/>
          <c:showVal val="0"/>
          <c:showCatName val="0"/>
          <c:showSerName val="0"/>
          <c:showPercent val="0"/>
          <c:showBubbleSize val="0"/>
        </c:dLbls>
        <c:gapWidth val="150"/>
        <c:overlap val="100"/>
        <c:axId val="556588560"/>
        <c:axId val="556590200"/>
      </c:barChart>
      <c:catAx>
        <c:axId val="556588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l-PL"/>
          </a:p>
        </c:txPr>
        <c:crossAx val="556590200"/>
        <c:crosses val="autoZero"/>
        <c:auto val="1"/>
        <c:lblAlgn val="ctr"/>
        <c:lblOffset val="100"/>
        <c:noMultiLvlLbl val="0"/>
      </c:catAx>
      <c:valAx>
        <c:axId val="556590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l-PL"/>
          </a:p>
        </c:txPr>
        <c:crossAx val="55658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14</xdr:col>
      <xdr:colOff>627062</xdr:colOff>
      <xdr:row>11</xdr:row>
      <xdr:rowOff>88901</xdr:rowOff>
    </xdr:from>
    <xdr:to>
      <xdr:col>28</xdr:col>
      <xdr:colOff>133349</xdr:colOff>
      <xdr:row>23</xdr:row>
      <xdr:rowOff>141289</xdr:rowOff>
    </xdr:to>
    <xdr:graphicFrame macro="">
      <xdr:nvGraphicFramePr>
        <xdr:cNvPr id="2" name="Wykres 1">
          <a:extLst>
            <a:ext uri="{FF2B5EF4-FFF2-40B4-BE49-F238E27FC236}">
              <a16:creationId xmlns:a16="http://schemas.microsoft.com/office/drawing/2014/main" id="{9EADF44C-8D2A-17DD-8B4A-3D8DCB257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388937</xdr:colOff>
      <xdr:row>114</xdr:row>
      <xdr:rowOff>6350</xdr:rowOff>
    </xdr:from>
    <xdr:to>
      <xdr:col>11</xdr:col>
      <xdr:colOff>427037</xdr:colOff>
      <xdr:row>128</xdr:row>
      <xdr:rowOff>171450</xdr:rowOff>
    </xdr:to>
    <xdr:graphicFrame macro="">
      <xdr:nvGraphicFramePr>
        <xdr:cNvPr id="3" name="Wykres 2">
          <a:extLst>
            <a:ext uri="{FF2B5EF4-FFF2-40B4-BE49-F238E27FC236}">
              <a16:creationId xmlns:a16="http://schemas.microsoft.com/office/drawing/2014/main" id="{2B126BDD-6CD9-A2F7-D72C-7EFFB94A6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1462087</xdr:colOff>
      <xdr:row>26</xdr:row>
      <xdr:rowOff>163511</xdr:rowOff>
    </xdr:from>
    <xdr:to>
      <xdr:col>8</xdr:col>
      <xdr:colOff>215900</xdr:colOff>
      <xdr:row>41</xdr:row>
      <xdr:rowOff>144461</xdr:rowOff>
    </xdr:to>
    <xdr:graphicFrame macro="">
      <xdr:nvGraphicFramePr>
        <xdr:cNvPr id="4" name="Wykres 3">
          <a:extLst>
            <a:ext uri="{FF2B5EF4-FFF2-40B4-BE49-F238E27FC236}">
              <a16:creationId xmlns:a16="http://schemas.microsoft.com/office/drawing/2014/main" id="{82ADD9F9-4A76-FEE1-97FB-D25AE9F71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427035</xdr:colOff>
      <xdr:row>26</xdr:row>
      <xdr:rowOff>153987</xdr:rowOff>
    </xdr:from>
    <xdr:to>
      <xdr:col>17</xdr:col>
      <xdr:colOff>622299</xdr:colOff>
      <xdr:row>41</xdr:row>
      <xdr:rowOff>134937</xdr:rowOff>
    </xdr:to>
    <xdr:graphicFrame macro="">
      <xdr:nvGraphicFramePr>
        <xdr:cNvPr id="5" name="Wykres 4">
          <a:extLst>
            <a:ext uri="{FF2B5EF4-FFF2-40B4-BE49-F238E27FC236}">
              <a16:creationId xmlns:a16="http://schemas.microsoft.com/office/drawing/2014/main" id="{98B1073F-97ED-775B-11FE-784F7EC14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147637</xdr:colOff>
      <xdr:row>34</xdr:row>
      <xdr:rowOff>44449</xdr:rowOff>
    </xdr:from>
    <xdr:to>
      <xdr:col>25</xdr:col>
      <xdr:colOff>338138</xdr:colOff>
      <xdr:row>51</xdr:row>
      <xdr:rowOff>134937</xdr:rowOff>
    </xdr:to>
    <xdr:graphicFrame macro="">
      <xdr:nvGraphicFramePr>
        <xdr:cNvPr id="6" name="Wykres 5">
          <a:extLst>
            <a:ext uri="{FF2B5EF4-FFF2-40B4-BE49-F238E27FC236}">
              <a16:creationId xmlns:a16="http://schemas.microsoft.com/office/drawing/2014/main" id="{7FD474BA-60C7-4500-9100-A9AD9C519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642937</xdr:colOff>
      <xdr:row>56</xdr:row>
      <xdr:rowOff>46035</xdr:rowOff>
    </xdr:from>
    <xdr:to>
      <xdr:col>20</xdr:col>
      <xdr:colOff>490537</xdr:colOff>
      <xdr:row>74</xdr:row>
      <xdr:rowOff>6350</xdr:rowOff>
    </xdr:to>
    <xdr:graphicFrame macro="">
      <xdr:nvGraphicFramePr>
        <xdr:cNvPr id="7" name="Wykres 6">
          <a:extLst>
            <a:ext uri="{FF2B5EF4-FFF2-40B4-BE49-F238E27FC236}">
              <a16:creationId xmlns:a16="http://schemas.microsoft.com/office/drawing/2014/main" id="{58398AAE-5D6C-403A-F68E-259CE92DD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76200</xdr:colOff>
      <xdr:row>68</xdr:row>
      <xdr:rowOff>171450</xdr:rowOff>
    </xdr:from>
    <xdr:to>
      <xdr:col>9</xdr:col>
      <xdr:colOff>511175</xdr:colOff>
      <xdr:row>83</xdr:row>
      <xdr:rowOff>152400</xdr:rowOff>
    </xdr:to>
    <xdr:graphicFrame macro="">
      <xdr:nvGraphicFramePr>
        <xdr:cNvPr id="8" name="Wykres 7">
          <a:extLst>
            <a:ext uri="{FF2B5EF4-FFF2-40B4-BE49-F238E27FC236}">
              <a16:creationId xmlns:a16="http://schemas.microsoft.com/office/drawing/2014/main" id="{A160921B-47B8-44E1-ABAF-CE6CD8478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104775</xdr:colOff>
      <xdr:row>75</xdr:row>
      <xdr:rowOff>47625</xdr:rowOff>
    </xdr:from>
    <xdr:to>
      <xdr:col>17</xdr:col>
      <xdr:colOff>300039</xdr:colOff>
      <xdr:row>88</xdr:row>
      <xdr:rowOff>209550</xdr:rowOff>
    </xdr:to>
    <xdr:graphicFrame macro="">
      <xdr:nvGraphicFramePr>
        <xdr:cNvPr id="9" name="Wykres 8">
          <a:extLst>
            <a:ext uri="{FF2B5EF4-FFF2-40B4-BE49-F238E27FC236}">
              <a16:creationId xmlns:a16="http://schemas.microsoft.com/office/drawing/2014/main" id="{D45EBB2D-E6E2-45CA-A5FD-DEE52624B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1021554</xdr:colOff>
      <xdr:row>87</xdr:row>
      <xdr:rowOff>42863</xdr:rowOff>
    </xdr:from>
    <xdr:to>
      <xdr:col>12</xdr:col>
      <xdr:colOff>223837</xdr:colOff>
      <xdr:row>108</xdr:row>
      <xdr:rowOff>123825</xdr:rowOff>
    </xdr:to>
    <xdr:graphicFrame macro="">
      <xdr:nvGraphicFramePr>
        <xdr:cNvPr id="10" name="Wykres 9">
          <a:extLst>
            <a:ext uri="{FF2B5EF4-FFF2-40B4-BE49-F238E27FC236}">
              <a16:creationId xmlns:a16="http://schemas.microsoft.com/office/drawing/2014/main" id="{AE1EFB0A-3389-C171-42C1-0BB0575B8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402431</xdr:colOff>
      <xdr:row>132</xdr:row>
      <xdr:rowOff>9525</xdr:rowOff>
    </xdr:from>
    <xdr:to>
      <xdr:col>22</xdr:col>
      <xdr:colOff>361950</xdr:colOff>
      <xdr:row>142</xdr:row>
      <xdr:rowOff>9525</xdr:rowOff>
    </xdr:to>
    <xdr:graphicFrame macro="">
      <xdr:nvGraphicFramePr>
        <xdr:cNvPr id="11" name="Wykres 10">
          <a:extLst>
            <a:ext uri="{FF2B5EF4-FFF2-40B4-BE49-F238E27FC236}">
              <a16:creationId xmlns:a16="http://schemas.microsoft.com/office/drawing/2014/main" id="{11C8D2ED-7266-6F13-D5BF-CADF5389B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145</xdr:row>
      <xdr:rowOff>0</xdr:rowOff>
    </xdr:from>
    <xdr:to>
      <xdr:col>13</xdr:col>
      <xdr:colOff>602457</xdr:colOff>
      <xdr:row>154</xdr:row>
      <xdr:rowOff>176213</xdr:rowOff>
    </xdr:to>
    <xdr:graphicFrame macro="">
      <xdr:nvGraphicFramePr>
        <xdr:cNvPr id="12" name="Wykres 11">
          <a:extLst>
            <a:ext uri="{FF2B5EF4-FFF2-40B4-BE49-F238E27FC236}">
              <a16:creationId xmlns:a16="http://schemas.microsoft.com/office/drawing/2014/main" id="{EF9A0EA4-37A9-4E09-8437-42033E072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157</xdr:row>
      <xdr:rowOff>0</xdr:rowOff>
    </xdr:from>
    <xdr:to>
      <xdr:col>13</xdr:col>
      <xdr:colOff>602457</xdr:colOff>
      <xdr:row>166</xdr:row>
      <xdr:rowOff>176213</xdr:rowOff>
    </xdr:to>
    <xdr:graphicFrame macro="">
      <xdr:nvGraphicFramePr>
        <xdr:cNvPr id="13" name="Wykres 12">
          <a:extLst>
            <a:ext uri="{FF2B5EF4-FFF2-40B4-BE49-F238E27FC236}">
              <a16:creationId xmlns:a16="http://schemas.microsoft.com/office/drawing/2014/main" id="{7B1BDF93-AB58-4DD7-BC36-EE63489B1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274108</xdr:colOff>
      <xdr:row>169</xdr:row>
      <xdr:rowOff>177270</xdr:rowOff>
    </xdr:from>
    <xdr:to>
      <xdr:col>22</xdr:col>
      <xdr:colOff>227277</xdr:colOff>
      <xdr:row>179</xdr:row>
      <xdr:rowOff>177271</xdr:rowOff>
    </xdr:to>
    <xdr:graphicFrame macro="">
      <xdr:nvGraphicFramePr>
        <xdr:cNvPr id="14" name="Wykres 13">
          <a:extLst>
            <a:ext uri="{FF2B5EF4-FFF2-40B4-BE49-F238E27FC236}">
              <a16:creationId xmlns:a16="http://schemas.microsoft.com/office/drawing/2014/main" id="{B4AF1E45-CF5F-47D9-ACDB-06D579470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184</xdr:row>
      <xdr:rowOff>0</xdr:rowOff>
    </xdr:from>
    <xdr:to>
      <xdr:col>13</xdr:col>
      <xdr:colOff>602457</xdr:colOff>
      <xdr:row>193</xdr:row>
      <xdr:rowOff>176213</xdr:rowOff>
    </xdr:to>
    <xdr:graphicFrame macro="">
      <xdr:nvGraphicFramePr>
        <xdr:cNvPr id="15" name="Wykres 14">
          <a:extLst>
            <a:ext uri="{FF2B5EF4-FFF2-40B4-BE49-F238E27FC236}">
              <a16:creationId xmlns:a16="http://schemas.microsoft.com/office/drawing/2014/main" id="{4EA7FBE9-6AB3-4C62-9123-37F377B40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0</xdr:colOff>
      <xdr:row>196</xdr:row>
      <xdr:rowOff>0</xdr:rowOff>
    </xdr:from>
    <xdr:to>
      <xdr:col>13</xdr:col>
      <xdr:colOff>602457</xdr:colOff>
      <xdr:row>205</xdr:row>
      <xdr:rowOff>176213</xdr:rowOff>
    </xdr:to>
    <xdr:graphicFrame macro="">
      <xdr:nvGraphicFramePr>
        <xdr:cNvPr id="16" name="Wykres 15">
          <a:extLst>
            <a:ext uri="{FF2B5EF4-FFF2-40B4-BE49-F238E27FC236}">
              <a16:creationId xmlns:a16="http://schemas.microsoft.com/office/drawing/2014/main" id="{0359D035-5DFE-4D85-AEBF-202B65314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465137</xdr:colOff>
      <xdr:row>207</xdr:row>
      <xdr:rowOff>0</xdr:rowOff>
    </xdr:from>
    <xdr:to>
      <xdr:col>28</xdr:col>
      <xdr:colOff>416719</xdr:colOff>
      <xdr:row>216</xdr:row>
      <xdr:rowOff>176212</xdr:rowOff>
    </xdr:to>
    <xdr:graphicFrame macro="">
      <xdr:nvGraphicFramePr>
        <xdr:cNvPr id="17" name="Wykres 16">
          <a:extLst>
            <a:ext uri="{FF2B5EF4-FFF2-40B4-BE49-F238E27FC236}">
              <a16:creationId xmlns:a16="http://schemas.microsoft.com/office/drawing/2014/main" id="{B6329370-0640-4F49-9D18-66CDFE912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0</xdr:colOff>
      <xdr:row>221</xdr:row>
      <xdr:rowOff>0</xdr:rowOff>
    </xdr:from>
    <xdr:to>
      <xdr:col>19</xdr:col>
      <xdr:colOff>602457</xdr:colOff>
      <xdr:row>230</xdr:row>
      <xdr:rowOff>176213</xdr:rowOff>
    </xdr:to>
    <xdr:graphicFrame macro="">
      <xdr:nvGraphicFramePr>
        <xdr:cNvPr id="18" name="Wykres 17">
          <a:extLst>
            <a:ext uri="{FF2B5EF4-FFF2-40B4-BE49-F238E27FC236}">
              <a16:creationId xmlns:a16="http://schemas.microsoft.com/office/drawing/2014/main" id="{FCF20792-C92C-4AAD-943C-F2FF7F21C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0</xdr:colOff>
      <xdr:row>233</xdr:row>
      <xdr:rowOff>0</xdr:rowOff>
    </xdr:from>
    <xdr:to>
      <xdr:col>19</xdr:col>
      <xdr:colOff>602457</xdr:colOff>
      <xdr:row>242</xdr:row>
      <xdr:rowOff>176213</xdr:rowOff>
    </xdr:to>
    <xdr:graphicFrame macro="">
      <xdr:nvGraphicFramePr>
        <xdr:cNvPr id="19" name="Wykres 18">
          <a:extLst>
            <a:ext uri="{FF2B5EF4-FFF2-40B4-BE49-F238E27FC236}">
              <a16:creationId xmlns:a16="http://schemas.microsoft.com/office/drawing/2014/main" id="{552CB340-3EBE-4564-B829-36C811102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0</xdr:colOff>
      <xdr:row>248</xdr:row>
      <xdr:rowOff>0</xdr:rowOff>
    </xdr:from>
    <xdr:to>
      <xdr:col>13</xdr:col>
      <xdr:colOff>602457</xdr:colOff>
      <xdr:row>257</xdr:row>
      <xdr:rowOff>176213</xdr:rowOff>
    </xdr:to>
    <xdr:graphicFrame macro="">
      <xdr:nvGraphicFramePr>
        <xdr:cNvPr id="20" name="Wykres 19">
          <a:extLst>
            <a:ext uri="{FF2B5EF4-FFF2-40B4-BE49-F238E27FC236}">
              <a16:creationId xmlns:a16="http://schemas.microsoft.com/office/drawing/2014/main" id="{F6B376AB-C44A-49A9-8E42-060CBE962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411162</xdr:colOff>
      <xdr:row>319</xdr:row>
      <xdr:rowOff>36512</xdr:rowOff>
    </xdr:from>
    <xdr:to>
      <xdr:col>22</xdr:col>
      <xdr:colOff>367506</xdr:colOff>
      <xdr:row>329</xdr:row>
      <xdr:rowOff>33337</xdr:rowOff>
    </xdr:to>
    <xdr:graphicFrame macro="">
      <xdr:nvGraphicFramePr>
        <xdr:cNvPr id="21" name="Wykres 20">
          <a:extLst>
            <a:ext uri="{FF2B5EF4-FFF2-40B4-BE49-F238E27FC236}">
              <a16:creationId xmlns:a16="http://schemas.microsoft.com/office/drawing/2014/main" id="{56604E74-D7CF-400D-A343-E592D5641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0</xdr:colOff>
      <xdr:row>334</xdr:row>
      <xdr:rowOff>0</xdr:rowOff>
    </xdr:from>
    <xdr:to>
      <xdr:col>13</xdr:col>
      <xdr:colOff>602457</xdr:colOff>
      <xdr:row>343</xdr:row>
      <xdr:rowOff>176213</xdr:rowOff>
    </xdr:to>
    <xdr:graphicFrame macro="">
      <xdr:nvGraphicFramePr>
        <xdr:cNvPr id="22" name="Wykres 21">
          <a:extLst>
            <a:ext uri="{FF2B5EF4-FFF2-40B4-BE49-F238E27FC236}">
              <a16:creationId xmlns:a16="http://schemas.microsoft.com/office/drawing/2014/main" id="{55C820A5-E845-4984-93D5-1DD5950EA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0</xdr:colOff>
      <xdr:row>346</xdr:row>
      <xdr:rowOff>0</xdr:rowOff>
    </xdr:from>
    <xdr:to>
      <xdr:col>13</xdr:col>
      <xdr:colOff>602457</xdr:colOff>
      <xdr:row>355</xdr:row>
      <xdr:rowOff>176213</xdr:rowOff>
    </xdr:to>
    <xdr:graphicFrame macro="">
      <xdr:nvGraphicFramePr>
        <xdr:cNvPr id="23" name="Wykres 22">
          <a:extLst>
            <a:ext uri="{FF2B5EF4-FFF2-40B4-BE49-F238E27FC236}">
              <a16:creationId xmlns:a16="http://schemas.microsoft.com/office/drawing/2014/main" id="{23A10CCC-A74F-4B95-86F9-9CE9F3B01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0</xdr:colOff>
      <xdr:row>358</xdr:row>
      <xdr:rowOff>0</xdr:rowOff>
    </xdr:from>
    <xdr:to>
      <xdr:col>13</xdr:col>
      <xdr:colOff>602457</xdr:colOff>
      <xdr:row>367</xdr:row>
      <xdr:rowOff>176213</xdr:rowOff>
    </xdr:to>
    <xdr:graphicFrame macro="">
      <xdr:nvGraphicFramePr>
        <xdr:cNvPr id="24" name="Wykres 23">
          <a:extLst>
            <a:ext uri="{FF2B5EF4-FFF2-40B4-BE49-F238E27FC236}">
              <a16:creationId xmlns:a16="http://schemas.microsoft.com/office/drawing/2014/main" id="{1705CDA8-0883-4868-8101-569F6C4D4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0</xdr:colOff>
      <xdr:row>370</xdr:row>
      <xdr:rowOff>0</xdr:rowOff>
    </xdr:from>
    <xdr:to>
      <xdr:col>13</xdr:col>
      <xdr:colOff>602457</xdr:colOff>
      <xdr:row>379</xdr:row>
      <xdr:rowOff>176213</xdr:rowOff>
    </xdr:to>
    <xdr:graphicFrame macro="">
      <xdr:nvGraphicFramePr>
        <xdr:cNvPr id="25" name="Wykres 24">
          <a:extLst>
            <a:ext uri="{FF2B5EF4-FFF2-40B4-BE49-F238E27FC236}">
              <a16:creationId xmlns:a16="http://schemas.microsoft.com/office/drawing/2014/main" id="{3DB6411C-2E46-4410-9C3D-55F76E901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0</xdr:colOff>
      <xdr:row>382</xdr:row>
      <xdr:rowOff>0</xdr:rowOff>
    </xdr:from>
    <xdr:to>
      <xdr:col>13</xdr:col>
      <xdr:colOff>602457</xdr:colOff>
      <xdr:row>391</xdr:row>
      <xdr:rowOff>176213</xdr:rowOff>
    </xdr:to>
    <xdr:graphicFrame macro="">
      <xdr:nvGraphicFramePr>
        <xdr:cNvPr id="26" name="Wykres 25">
          <a:extLst>
            <a:ext uri="{FF2B5EF4-FFF2-40B4-BE49-F238E27FC236}">
              <a16:creationId xmlns:a16="http://schemas.microsoft.com/office/drawing/2014/main" id="{62627070-FE93-49DC-893F-0B40ED556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0</xdr:colOff>
      <xdr:row>394</xdr:row>
      <xdr:rowOff>0</xdr:rowOff>
    </xdr:from>
    <xdr:to>
      <xdr:col>13</xdr:col>
      <xdr:colOff>602457</xdr:colOff>
      <xdr:row>403</xdr:row>
      <xdr:rowOff>176213</xdr:rowOff>
    </xdr:to>
    <xdr:graphicFrame macro="">
      <xdr:nvGraphicFramePr>
        <xdr:cNvPr id="27" name="Wykres 26">
          <a:extLst>
            <a:ext uri="{FF2B5EF4-FFF2-40B4-BE49-F238E27FC236}">
              <a16:creationId xmlns:a16="http://schemas.microsoft.com/office/drawing/2014/main" id="{3AA03D05-CC1C-4592-82E6-E3ACC0AF8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22</xdr:col>
      <xdr:colOff>52387</xdr:colOff>
      <xdr:row>490</xdr:row>
      <xdr:rowOff>12700</xdr:rowOff>
    </xdr:from>
    <xdr:to>
      <xdr:col>29</xdr:col>
      <xdr:colOff>3969</xdr:colOff>
      <xdr:row>500</xdr:row>
      <xdr:rowOff>7937</xdr:rowOff>
    </xdr:to>
    <xdr:graphicFrame macro="">
      <xdr:nvGraphicFramePr>
        <xdr:cNvPr id="28" name="Wykres 27">
          <a:extLst>
            <a:ext uri="{FF2B5EF4-FFF2-40B4-BE49-F238E27FC236}">
              <a16:creationId xmlns:a16="http://schemas.microsoft.com/office/drawing/2014/main" id="{B980E97B-173C-4822-AC61-86F2B9558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0</xdr:colOff>
      <xdr:row>504</xdr:row>
      <xdr:rowOff>0</xdr:rowOff>
    </xdr:from>
    <xdr:to>
      <xdr:col>19</xdr:col>
      <xdr:colOff>602457</xdr:colOff>
      <xdr:row>513</xdr:row>
      <xdr:rowOff>176213</xdr:rowOff>
    </xdr:to>
    <xdr:graphicFrame macro="">
      <xdr:nvGraphicFramePr>
        <xdr:cNvPr id="29" name="Wykres 28">
          <a:extLst>
            <a:ext uri="{FF2B5EF4-FFF2-40B4-BE49-F238E27FC236}">
              <a16:creationId xmlns:a16="http://schemas.microsoft.com/office/drawing/2014/main" id="{D4A3E760-CB1C-4D0A-A6E7-BE5B5EC0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0</xdr:colOff>
      <xdr:row>516</xdr:row>
      <xdr:rowOff>0</xdr:rowOff>
    </xdr:from>
    <xdr:to>
      <xdr:col>19</xdr:col>
      <xdr:colOff>602457</xdr:colOff>
      <xdr:row>525</xdr:row>
      <xdr:rowOff>176213</xdr:rowOff>
    </xdr:to>
    <xdr:graphicFrame macro="">
      <xdr:nvGraphicFramePr>
        <xdr:cNvPr id="30" name="Wykres 29">
          <a:extLst>
            <a:ext uri="{FF2B5EF4-FFF2-40B4-BE49-F238E27FC236}">
              <a16:creationId xmlns:a16="http://schemas.microsoft.com/office/drawing/2014/main" id="{05A9938C-4EAA-45F5-909B-48E368D7E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xdr:col>
      <xdr:colOff>0</xdr:colOff>
      <xdr:row>528</xdr:row>
      <xdr:rowOff>0</xdr:rowOff>
    </xdr:from>
    <xdr:to>
      <xdr:col>13</xdr:col>
      <xdr:colOff>602457</xdr:colOff>
      <xdr:row>537</xdr:row>
      <xdr:rowOff>176213</xdr:rowOff>
    </xdr:to>
    <xdr:graphicFrame macro="">
      <xdr:nvGraphicFramePr>
        <xdr:cNvPr id="31" name="Wykres 30">
          <a:extLst>
            <a:ext uri="{FF2B5EF4-FFF2-40B4-BE49-F238E27FC236}">
              <a16:creationId xmlns:a16="http://schemas.microsoft.com/office/drawing/2014/main" id="{8FC35950-5CD1-4BD6-A0A4-12697758B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PSZ" refreshedDate="44936.722737615739" createdVersion="8" refreshedVersion="8" minRefreshableVersion="3" recordCount="133" xr:uid="{5959FC96-C817-4981-8EAE-F6E083B4D0E0}">
  <cacheSource type="worksheet">
    <worksheetSource name="AnalizaCzyste"/>
  </cacheSource>
  <cacheFields count="214">
    <cacheField name="Lp." numFmtId="0">
      <sharedItems containsSemiMixedTypes="0" containsString="0" containsNumber="1" containsInteger="1" minValue="1" maxValue="261"/>
    </cacheField>
    <cacheField name="ID_zakończone" numFmtId="0">
      <sharedItems containsMixedTypes="1" containsNumber="1" containsInteger="1" minValue="1" maxValue="138"/>
    </cacheField>
    <cacheField name="ILE niepustych" numFmtId="0">
      <sharedItems containsSemiMixedTypes="0" containsString="0" containsNumber="1" containsInteger="1" minValue="28" maxValue="95"/>
    </cacheField>
    <cacheField name="Adres IP" numFmtId="0">
      <sharedItems/>
    </cacheField>
    <cacheField name="Kolektor" numFmtId="0">
      <sharedItems/>
    </cacheField>
    <cacheField name="Adres referencyjny / Respondent email" numFmtId="0">
      <sharedItems containsBlank="1"/>
    </cacheField>
    <cacheField name="Respondent imie" numFmtId="0">
      <sharedItems containsNonDate="0" containsString="0" containsBlank="1"/>
    </cacheField>
    <cacheField name="Respondent nazwisko" numFmtId="0">
      <sharedItems containsNonDate="0" containsString="0" containsBlank="1"/>
    </cacheField>
    <cacheField name="Respondent dodatkowe dane" numFmtId="0">
      <sharedItems containsNonDate="0" containsString="0" containsBlank="1"/>
    </cacheField>
    <cacheField name="Status" numFmtId="0">
      <sharedItems/>
    </cacheField>
    <cacheField name="Rozpoczęto wypełnianie" numFmtId="0">
      <sharedItems/>
    </cacheField>
    <cacheField name="Zakończono wypełnianie" numFmtId="0">
      <sharedItems/>
    </cacheField>
    <cacheField name="Czas trwania (s)" numFmtId="0">
      <sharedItems containsSemiMixedTypes="0" containsString="0" containsNumber="1" containsInteger="1" minValue="0" maxValue="1387173"/>
    </cacheField>
    <cacheField name="Punktacja" numFmtId="0">
      <sharedItems containsSemiMixedTypes="0" containsString="0" containsNumber="1" containsInteger="1" minValue="0" maxValue="0"/>
    </cacheField>
    <cacheField name="Czy jesteś osobą pełnoletnią?" numFmtId="0">
      <sharedItems/>
    </cacheField>
    <cacheField name="Czy jesteś studentem uczelni wyższej?" numFmtId="0">
      <sharedItems count="2">
        <s v="Nie (przejście do kolejnej części)"/>
        <s v="Tak (kontynuacja badania studentów)"/>
      </sharedItems>
    </cacheField>
    <cacheField name="Jak się nazywa uczelnia, na której studiujesz? (proszę o wybranie jednej uczelni podlegającej ocenie)" numFmtId="0">
      <sharedItems containsBlank="1"/>
    </cacheField>
    <cacheField name="Czy studiujesz na kierunku technicznym, tzn. takim, po którym uzyskasz tytuł inżyniera?" numFmtId="0">
      <sharedItems containsBlank="1"/>
    </cacheField>
    <cacheField name="Jak się nazywa kierunek, na którym studiujesz?" numFmtId="0">
      <sharedItems containsBlank="1"/>
    </cacheField>
    <cacheField name="Moja satysfakcja z usług edukacyjnych ocenianej uczelni jest wysoka." numFmtId="0">
      <sharedItems containsBlank="1"/>
    </cacheField>
    <cacheField name="Usługi edukacyjne ocenianej uczelni mają wysoką wartość (okazja / szansa rozwoju własnego lub kariery)." numFmtId="0">
      <sharedItems containsBlank="1"/>
    </cacheField>
    <cacheField name="Kształcenie na ocenianej uczelni ma/będzie miało pozytywny wpływ na zwiększenie moich zarobków." numFmtId="0">
      <sharedItems containsBlank="1"/>
    </cacheField>
    <cacheField name="Kolumna1" numFmtId="0">
      <sharedItems containsBlank="1" containsMixedTypes="1" containsNumber="1" containsInteger="1" minValue="12" maxValue="12"/>
    </cacheField>
    <cacheField name="w pierwszym roku po ukończeniu studiów : wybierz wartość z listy rozwijanej" numFmtId="0">
      <sharedItems containsBlank="1"/>
    </cacheField>
    <cacheField name="w 3 lata po ukończeniu studiów : wybierz wartość z listy rozwijanej" numFmtId="0">
      <sharedItems containsBlank="1"/>
    </cacheField>
    <cacheField name="Jakich innych (poza zarobkami) efektów kształcenia na ocenianej uczelni się spodziewasz?" numFmtId="0">
      <sharedItems containsBlank="1"/>
    </cacheField>
    <cacheField name="Jakie elementy lub cechy sprawiały, że Tobie studiowało się dobrze?" numFmtId="0">
      <sharedItems containsBlank="1"/>
    </cacheField>
    <cacheField name="Jakie elementy lub cechy sprawiały, że Tobie studiowało się źle?" numFmtId="0">
      <sharedItems containsBlank="1"/>
    </cacheField>
    <cacheField name="Jakiego rodzaju są Twoje studia?" numFmtId="0">
      <sharedItems containsBlank="1"/>
    </cacheField>
    <cacheField name="Pole dodatkowe" numFmtId="0">
      <sharedItems containsBlank="1"/>
    </cacheField>
    <cacheField name="Na którym semestrze studiujesz obecnie?" numFmtId="0">
      <sharedItems containsString="0" containsBlank="1" containsNumber="1" containsInteger="1" minValue="2" maxValue="10"/>
    </cacheField>
    <cacheField name="Czy jesteś absolwentem uczelni wyższej?" numFmtId="0">
      <sharedItems count="2">
        <s v="Tak (kontynuowanie badania absolwentów)"/>
        <s v="Nie (przejście do kolejnej części)"/>
      </sharedItems>
    </cacheField>
    <cacheField name="Jak się nazywa uczelnia którą ukończyłeś? (proszę o wybranie jednej uczelni podlegającej ocenie)" numFmtId="0">
      <sharedItems containsBlank="1"/>
    </cacheField>
    <cacheField name="W którym roku ukończyłaś/eś studia (rok w którym uzyskano dyplom ukończenia studiów drugiego stopnia, albo pierwszego stopnia, jeśli nie uzyskano dyplomu 2. stopnia)?" numFmtId="0">
      <sharedItems containsBlank="1" containsMixedTypes="1" containsNumber="1" containsInteger="1" minValue="1956" maxValue="2020"/>
    </cacheField>
    <cacheField name="Czy ukończony kierunek był kierunkiem technicznym, tzn. takim, po którym uzyskałaś/eś tytuł inżyniera?" numFmtId="0">
      <sharedItems containsBlank="1"/>
    </cacheField>
    <cacheField name="Jak się nazywa kierunek, który ukończyłaś/eś?" numFmtId="0">
      <sharedItems containsBlank="1"/>
    </cacheField>
    <cacheField name="Moja satysfakcja z (efektów) usług edukacyjnych ocenianej uczelni jest wysoka." numFmtId="0">
      <sharedItems containsBlank="1"/>
    </cacheField>
    <cacheField name="Usługi edukacyjne ocenianej uczelni mają wysoką wartość (okazja / szansa rozwoju własnego lub kariery).3" numFmtId="0">
      <sharedItems containsBlank="1"/>
    </cacheField>
    <cacheField name="Kształcenie na ocenianej uczelni ma/miało pozytywny wpływ na zwiększenie moich zarobków." numFmtId="0">
      <sharedItems containsBlank="1"/>
    </cacheField>
    <cacheField name="Moje zarobki w pierwszym roku po ukończeniu studiów były satysfakcjonujące." numFmtId="0">
      <sharedItems containsBlank="1"/>
    </cacheField>
    <cacheField name="Moje zarobki po 3. latach po ukończeniu studiów były satysfakcjonujące." numFmtId="0">
      <sharedItems containsBlank="1"/>
    </cacheField>
    <cacheField name="W ile miesięcy po ukończeniu studiów uzyskałaś/eś zatrudnienie? Proszę podać liczbę miesięcy lub wpisać inną opcję (np. praca przed ukończeniem studiów; założenie własnej firmy; nie zamierzam pracować)" numFmtId="0">
      <sharedItems containsBlank="1" containsMixedTypes="1" containsNumber="1" containsInteger="1" minValue="0" maxValue="36"/>
    </cacheField>
    <cacheField name="w pierwszym roku po ukończeniu studiów : wybierz wartość z listy rozwijanej4" numFmtId="0">
      <sharedItems containsBlank="1"/>
    </cacheField>
    <cacheField name="w 3 lata po ukończeniu studiów : wybierz wartość z listy rozwijanej5" numFmtId="0">
      <sharedItems containsBlank="1"/>
    </cacheField>
    <cacheField name="Jakie inne (poza zarobkami) efekty kształcenia na ocenianej uczelni dostrzegasz obecnie?" numFmtId="0">
      <sharedItems containsBlank="1"/>
    </cacheField>
    <cacheField name="Co wpływało na twoją satysfakcję ze studiowania?_x000a_" numFmtId="0">
      <sharedItems containsBlank="1" longText="1"/>
    </cacheField>
    <cacheField name="Kolumna6" numFmtId="0">
      <sharedItems containsBlank="1"/>
    </cacheField>
    <cacheField name="Jakiego rodzaju były Twoje studia?" numFmtId="0">
      <sharedItems containsBlank="1"/>
    </cacheField>
    <cacheField name="Pole dodatkowe7" numFmtId="0">
      <sharedItems containsBlank="1"/>
    </cacheField>
    <cacheField name="Czy jesteś rodzicem / opiekunem absolwenta uczelni wyższej?" numFmtId="0">
      <sharedItems count="2">
        <s v="Tak (kontynuowanie badania rodziców absolwentów)"/>
        <s v="Nie (przejście do kolejnej części)"/>
      </sharedItems>
    </cacheField>
    <cacheField name="Uczelnie ilu podopiecznych będziesz oceniać?" numFmtId="0">
      <sharedItems containsString="0" containsBlank="1" containsNumber="1" containsInteger="1" minValue="1" maxValue="3"/>
    </cacheField>
    <cacheField name="Jak się nazywa uczelnia, którą ukończył/a Twoja/Twój podopieczna/podopieczny? (proszę o wybranie jednej uczelni podlegającej ocenie)" numFmtId="0">
      <sharedItems containsBlank="1"/>
    </cacheField>
    <cacheField name="W którym roku Twoja/Twój podopieczna/y ukończył/a studia (rok w którym uzyskano dyplom ukończenia studiów drugiego stopnia, albo pierwszego stopnia, jeśli nie uzyskano dyplomu 2. stopnia)?" numFmtId="0">
      <sharedItems containsBlank="1" containsMixedTypes="1" containsNumber="1" containsInteger="1" minValue="2002" maxValue="2020"/>
    </cacheField>
    <cacheField name="Czy ukończony kierunek był kierunkiem technicznym, tzn. takim, po którym uzyskano tytuł inżyniera?" numFmtId="0">
      <sharedItems containsBlank="1"/>
    </cacheField>
    <cacheField name="Jak się nazywa kierunek, który ukończył/a Twoja/Twój podopieczna/podopieczny?" numFmtId="0">
      <sharedItems containsBlank="1"/>
    </cacheField>
    <cacheField name="Moja satysfakcja z (efektów) usług edukacyjnych ocenianej uczelni jest wysoka.8" numFmtId="0">
      <sharedItems containsBlank="1"/>
    </cacheField>
    <cacheField name="Usługi edukacyjne ocenianej uczelni mają wysoką wartość (okazja / szansa rozwoju własnego lub kariery).9" numFmtId="0">
      <sharedItems containsBlank="1"/>
    </cacheField>
    <cacheField name="Kształcenie na ocenianej uczelni ma/będzie miało pozytywny wpływ na zwiększenie zarobków mojej/mojego podopiecznej/podopiecznego." numFmtId="0">
      <sharedItems containsBlank="1"/>
    </cacheField>
    <cacheField name="Zarobki uzyskiwane przez mojego/moją podopieczną/podopiecznego w pierwszym roku po ukończeniu studiów były satysfakcjonujące (z mojego punktu widzenia)" numFmtId="0">
      <sharedItems containsBlank="1"/>
    </cacheField>
    <cacheField name="Zarobki uzyskiwane przez mojego/moją podopieczną/podopiecznego w 3 lata po ukończeniu studiów były satysfakcjonujące (z mojego punktu widzenia)" numFmtId="0">
      <sharedItems containsBlank="1"/>
    </cacheField>
    <cacheField name="W ile miesięcy po ukończeniu studiów Twoja/Twój podopieczna/podopieczny uzyskał/a zatrudnienie? Proszę podać liczbę miesięcy lub wpisać inną opcję (np. praca przed ukończeniem studiów; założenie własnej firmy; nie zamierzam pracować)" numFmtId="0">
      <sharedItems containsBlank="1" containsMixedTypes="1" containsNumber="1" containsInteger="1" minValue="0" maxValue="12"/>
    </cacheField>
    <cacheField name="Jakie inne (poza zarobkami) efekty kształcenia na ocenianej uczelni się dostrzegasz obecnie?" numFmtId="0">
      <sharedItems containsBlank="1"/>
    </cacheField>
    <cacheField name="Jakiego rodzaju były studia, które ukończył/a Twoja/Twój podopieczna/podopieczny?" numFmtId="0">
      <sharedItems containsBlank="1"/>
    </cacheField>
    <cacheField name="Pole dodatkowe10" numFmtId="0">
      <sharedItems containsBlank="1"/>
    </cacheField>
    <cacheField name="Jeśli Twoja/Twój podopieczna/podopieczny ukończył/a również inne szkoły / kierunki studiów to proszę wpisz je tutaj." numFmtId="0">
      <sharedItems containsBlank="1"/>
    </cacheField>
    <cacheField name="Czy będziesz oceniał uczelnię ukończoną przez drugiego podopiecznego?" numFmtId="0">
      <sharedItems containsBlank="1"/>
    </cacheField>
    <cacheField name="Jak się nazywa uczelnia, którą ukończył/a Twoja/Twój podopieczna/podopieczny? (proszę o wybranie jednej uczelni podlegającej ocenie)11" numFmtId="0">
      <sharedItems containsBlank="1"/>
    </cacheField>
    <cacheField name="W którym roku Twoja/Twój podopieczna/y ukończył/a studia (rok w którym uzyskano dyplom ukończenia studiów drugiego stopnia, albo pierwszego stopnia, jeśli nie uzyskano dyplomu 2. stopnia)?12" numFmtId="0">
      <sharedItems containsString="0" containsBlank="1" containsNumber="1" containsInteger="1" minValue="2007" maxValue="2015"/>
    </cacheField>
    <cacheField name="Czy ukończony kierunek był kierunkiem technicznym, tzn. takim, po którym uzyskano tytuł inżyniera?13" numFmtId="0">
      <sharedItems containsBlank="1"/>
    </cacheField>
    <cacheField name="Jak się nazywa kierunek, który ukończył/a Twoja/Twój podopieczna/podopieczny?14" numFmtId="0">
      <sharedItems containsBlank="1"/>
    </cacheField>
    <cacheField name="Moja satysfakcja z (efektów) usług edukacyjnych ocenianej uczelni jest wysoka.15" numFmtId="0">
      <sharedItems containsBlank="1"/>
    </cacheField>
    <cacheField name="Usługi edukacyjne ocenianej uczelni mają wysoką wartość (okazja / szansa rozwoju własnego lub kariery).16" numFmtId="0">
      <sharedItems containsBlank="1"/>
    </cacheField>
    <cacheField name="Kształcenie na ocenianej uczelni ma/będzie miało pozytywny wpływ na zwiększenie zarobków mojej/mojego podopiecznej/podopiecznego.17" numFmtId="0">
      <sharedItems containsBlank="1"/>
    </cacheField>
    <cacheField name="Zarobki uzyskiwane przez mojego/moją podopieczną/podopiecznego w pierwszym roku po ukończeniu studiów były satysfakcjonujące (z mojego punktu widzenia)18" numFmtId="0">
      <sharedItems containsBlank="1"/>
    </cacheField>
    <cacheField name="Zarobki uzyskiwane przez mojego/moją podopieczną/podopiecznego w 3 lata po ukończeniu studiów były satysfakcjonujące (z mojego punktu widzenia)19" numFmtId="0">
      <sharedItems containsBlank="1"/>
    </cacheField>
    <cacheField name="W ile miesięcy po ukończeniu studiów Twoja/Twój podopieczna/podopieczny uzyskał/a zatrudnienie? Proszę podać liczbę miesięcy lub wpisać inną opcję (np. praca przed ukończeniem studiów; założenie własnej firmy; nie zamierzam pracować)20" numFmtId="0">
      <sharedItems containsBlank="1" containsMixedTypes="1" containsNumber="1" containsInteger="1" minValue="3" maxValue="3"/>
    </cacheField>
    <cacheField name="Jakie inne (poza zarobkami) efekty kształcenia na ocenianej uczelni się dostrzegasz obecnie?21" numFmtId="0">
      <sharedItems containsBlank="1"/>
    </cacheField>
    <cacheField name="Jakiego rodzaju były studia, które ukończył/a Twoja/Twój podopieczna/podopieczny?22" numFmtId="0">
      <sharedItems containsBlank="1"/>
    </cacheField>
    <cacheField name="Pole dodatkowe23" numFmtId="0">
      <sharedItems containsNonDate="0" containsString="0" containsBlank="1"/>
    </cacheField>
    <cacheField name="Jeśli Twoja/Twój podopieczna/podopieczny ukończył/a również inne szkoły / kierunki studiów to proszę wpisz je tutaj.24" numFmtId="0">
      <sharedItems containsBlank="1"/>
    </cacheField>
    <cacheField name="Czy będziesz oceniał uczelnię ukończoną przez trzeciego podopiecznego?" numFmtId="0">
      <sharedItems containsBlank="1"/>
    </cacheField>
    <cacheField name="Jak się nazywa uczelnia, którą ukończył/a Twoja/Twój podopieczna/podopieczny? (proszę o wybranie jednej uczelni podlegającej ocenie)25" numFmtId="0">
      <sharedItems containsBlank="1"/>
    </cacheField>
    <cacheField name="W którym roku Twoja/Twój podopieczna/y ukończył/a studia (rok w którym uzyskano dyplom ukończenia studiów drugiego stopnia, albo pierwszego stopnia, jeśli nie uzyskano dyplomu 2. stopnia)?26" numFmtId="0">
      <sharedItems containsString="0" containsBlank="1" containsNumber="1" containsInteger="1" minValue="2016" maxValue="2016"/>
    </cacheField>
    <cacheField name="Czy ukończony kierunek był kierunkiem technicznym, tzn. takim, po którym uzyskano tytuł inżyniera?27" numFmtId="0">
      <sharedItems containsBlank="1"/>
    </cacheField>
    <cacheField name="Jak się nazywa kierunek, który ukończył/a Twoja/Twój podopieczna/podopieczny?28" numFmtId="0">
      <sharedItems containsBlank="1"/>
    </cacheField>
    <cacheField name="Moja satysfakcja z (efektów) usług edukacyjnych ocenianej uczelni jest wysoka.29" numFmtId="0">
      <sharedItems containsBlank="1"/>
    </cacheField>
    <cacheField name="Usługi edukacyjne ocenianej uczelni mają wysoką wartość (okazja / szansa rozwoju własnego lub kariery).30" numFmtId="0">
      <sharedItems containsBlank="1"/>
    </cacheField>
    <cacheField name="Kształcenie na ocenianej uczelni ma/będzie miało pozytywny wpływ na zwiększenie zarobków mojej/mojego podopiecznej/podopiecznego.31" numFmtId="0">
      <sharedItems containsBlank="1"/>
    </cacheField>
    <cacheField name="Zarobki uzyskiwane przez mojego/moją podopieczną/podopiecznego w pierwszym roku po ukończeniu studiów były satysfakcjonujące (z mojego punktu widzenia)32" numFmtId="0">
      <sharedItems containsBlank="1"/>
    </cacheField>
    <cacheField name="Zarobki uzyskiwane przez mojego/moją podopieczną/podopiecznego w 3 lata po ukończeniu studiów były satysfakcjonujące (z mojego punktu widzenia)33" numFmtId="0">
      <sharedItems containsBlank="1"/>
    </cacheField>
    <cacheField name="W ile miesięcy po ukończeniu studiów Twoja/Twój podopieczna/podopieczny uzyskał/a zatrudnienie? Proszę podać liczbę miesięcy lub wpisać inną opcję (np. praca przed ukończeniem studiów; założenie własnej firmy; nie zamierzam pracować)34" numFmtId="0">
      <sharedItems containsBlank="1" containsMixedTypes="1" containsNumber="1" containsInteger="1" minValue="1" maxValue="1"/>
    </cacheField>
    <cacheField name="Jakie inne (poza zarobkami) efekty kształcenia na ocenianej uczelni się dostrzegasz obecnie?35" numFmtId="0">
      <sharedItems containsBlank="1"/>
    </cacheField>
    <cacheField name="Jakiego rodzaju były studia, które ukończył/a Twoja/Twój podopieczna/podopieczny?36" numFmtId="0">
      <sharedItems containsBlank="1"/>
    </cacheField>
    <cacheField name="Pole dodatkowe37" numFmtId="0">
      <sharedItems containsNonDate="0" containsString="0" containsBlank="1"/>
    </cacheField>
    <cacheField name="Jeśli Twoja/Twój podopieczna/podopieczny ukończył/a również inne szkoły / kierunki studiów to proszę wpisz je tutaj.38" numFmtId="0">
      <sharedItems containsBlank="1"/>
    </cacheField>
    <cacheField name="Czy jesteś aktualnie pracownikiem administracyjnym uczelni wyższej?" numFmtId="0">
      <sharedItems count="2">
        <s v="Nie (przejście do kolejnej części)"/>
        <s v="Tak (kontynuowanie badania pracowników administracyjnych)"/>
      </sharedItems>
    </cacheField>
    <cacheField name="Jak się nazywa uczelnia, na której pracujesz? (proszę o wybranie jednej uczelni podlegającej ocenie)" numFmtId="0">
      <sharedItems containsBlank="1"/>
    </cacheField>
    <cacheField name="Na jakim wydziale pracujesz?" numFmtId="0">
      <sharedItems containsBlank="1"/>
    </cacheField>
    <cacheField name="Moja satysfakcja z pracy na ocenianej uczelni jest wysoka." numFmtId="0">
      <sharedItems containsBlank="1"/>
    </cacheField>
    <cacheField name="Atmosfera w zespole współpracowników jest dobra." numFmtId="0">
      <sharedItems containsBlank="1"/>
    </cacheField>
    <cacheField name="Moje zarobki są satysfakcjonujące." numFmtId="0">
      <sharedItems containsBlank="1"/>
    </cacheField>
    <cacheField name="Praca na ocenianej uczelni daje mi duże szanse rozwoju." numFmtId="0">
      <sharedItems containsBlank="1"/>
    </cacheField>
    <cacheField name="Wartość wykształcenia zdobywanego przez studentów ocenianej uczelni jest wysoka." numFmtId="0">
      <sharedItems containsBlank="1"/>
    </cacheField>
    <cacheField name="Zdobyte na ocenianej uczelni wykształcenie ma pozytywny wpływ na zwiększenie zarobków absolwentów." numFmtId="0">
      <sharedItems containsBlank="1"/>
    </cacheField>
    <cacheField name="Jakie inne (poza zarobkami) efekty kształcenia na ocenianej uczelni się dostrzegasz obecnie?39" numFmtId="0">
      <sharedItems containsBlank="1"/>
    </cacheField>
    <cacheField name="Czy jesteś aktualnie pracownikiem naukowym lub dydaktycznym uczelni wyższej?" numFmtId="0">
      <sharedItems count="2">
        <s v="Nie (przejście do kolejnej części)"/>
        <s v="Tak (kontynuowanie badania pracowników naukowych lub dydaktycznych)"/>
      </sharedItems>
    </cacheField>
    <cacheField name="Jak się nazywa uczelnia, na której pracujesz? (proszę o wybranie jednej uczelni podlegającej ocenie)40" numFmtId="0">
      <sharedItems containsBlank="1"/>
    </cacheField>
    <cacheField name="Na jakim wydziale pracujesz?41" numFmtId="0">
      <sharedItems containsBlank="1"/>
    </cacheField>
    <cacheField name="Moja satysfakcja z pracy na ocenianej uczelni jest wysoka.42" numFmtId="0">
      <sharedItems containsBlank="1"/>
    </cacheField>
    <cacheField name="Atmosfera w zespole współpracowników jest dobra.43" numFmtId="0">
      <sharedItems containsBlank="1"/>
    </cacheField>
    <cacheField name="Moje zarobki są satysfakcjonujące.44" numFmtId="0">
      <sharedItems containsBlank="1"/>
    </cacheField>
    <cacheField name="Praca na ocenianej uczelni daje mi duże szanse rozwoju.45" numFmtId="0">
      <sharedItems containsBlank="1"/>
    </cacheField>
    <cacheField name="Wartość wykształcenia zdobywanego przez studentów ocenianej uczelni jest wysoka.46" numFmtId="0">
      <sharedItems containsBlank="1"/>
    </cacheField>
    <cacheField name="Zdobyte na ocenianej uczelni wykształcenie ma pozytywny wpływ na zwiększenie zarobków absolwentów.47" numFmtId="0">
      <sharedItems containsBlank="1"/>
    </cacheField>
    <cacheField name="Jakie inne (poza zarobkami) efekty kształcenia na ocenianej uczelni dostrzegasz obecnie?48" numFmtId="0">
      <sharedItems containsBlank="1"/>
    </cacheField>
    <cacheField name="Czy jesteś przedstawicielem władz uczelni z grupy rektorów, prorektorów, dziekanów, prodziekanów, członków senatu lub członków rady uczelni?" numFmtId="0">
      <sharedItems count="2">
        <s v="Tak (kontynuowanie badania przedstawicieli władz uczelni)"/>
        <s v="Nie (przejście do kolejnej części)"/>
      </sharedItems>
    </cacheField>
    <cacheField name="Proszę podać pełnioną funkcję" numFmtId="0">
      <sharedItems containsBlank="1"/>
    </cacheField>
    <cacheField name="Kolumna3" numFmtId="0">
      <sharedItems containsNonDate="0" containsString="0" containsBlank="1"/>
    </cacheField>
    <cacheField name="Kolumna4" numFmtId="0">
      <sharedItems containsBlank="1"/>
    </cacheField>
    <cacheField name="Kolumna5" numFmtId="0">
      <sharedItems containsBlank="1"/>
    </cacheField>
    <cacheField name="Jak się nazywa uczelnia którą będziesz oceniać (jako przedstawiciel jej władz)?" numFmtId="0">
      <sharedItems containsBlank="1"/>
    </cacheField>
    <cacheField name="Efekty działań ocenianej uczelni na rzesz jakości edukacji są dobre" numFmtId="0">
      <sharedItems containsBlank="1"/>
    </cacheField>
    <cacheField name="Wartość wykształcenia zdobywanego przez studentów na ocenianej uczelni jest wysoka." numFmtId="0">
      <sharedItems containsBlank="1"/>
    </cacheField>
    <cacheField name="Zdobyte przez studentów ocenianej uczelni wykształcenie miało/ma pozytywny wpływ na ich zarobki." numFmtId="0">
      <sharedItems containsBlank="1"/>
    </cacheField>
    <cacheField name="Efekty działań ocenianej uczelni na rzecz jakości edukacji mają dobry wpływ na rozwój regionu." numFmtId="0">
      <sharedItems containsBlank="1"/>
    </cacheField>
    <cacheField name="Efekty działań ocenianej uczelni na rzecz jakości edukacji mają dobry wpływ na rozwój Polski." numFmtId="0">
      <sharedItems containsBlank="1"/>
    </cacheField>
    <cacheField name="Współpraca ocenianej uczelni z biznesem ma pozytywne efekty dla rozwoju regionu / kraju." numFmtId="0">
      <sharedItems containsBlank="1"/>
    </cacheField>
    <cacheField name="Ogólny poziom mojej satysfakcji z jakości usług edukacyjnych ocenianej uczelni jest wysoki." numFmtId="0">
      <sharedItems containsBlank="1"/>
    </cacheField>
    <cacheField name="Studenci : wybierz wartość z listy rozwijanej" numFmtId="0">
      <sharedItems containsString="0" containsBlank="1" containsNumber="1" containsInteger="1" minValue="20" maxValue="25"/>
    </cacheField>
    <cacheField name="Absolwenci : wybierz wartość z listy rozwijanej" numFmtId="0">
      <sharedItems containsString="0" containsBlank="1" containsNumber="1" containsInteger="1" minValue="5" maxValue="60"/>
    </cacheField>
    <cacheField name="Rodzice absolwentów : wybierz wartość z listy rozwijanej" numFmtId="0">
      <sharedItems containsString="0" containsBlank="1" containsNumber="1" containsInteger="1" minValue="0" maxValue="2"/>
    </cacheField>
    <cacheField name="Pracownicy administracyjni : wybierz wartość z listy rozwijanej" numFmtId="0">
      <sharedItems containsString="0" containsBlank="1" containsNumber="1" containsInteger="1" minValue="0" maxValue="30"/>
    </cacheField>
    <cacheField name="Pracownicy naukowi i dydaktyczni : wybierz wartość z listy rozwijanej" numFmtId="0">
      <sharedItems containsString="0" containsBlank="1" containsNumber="1" containsInteger="1" minValue="0" maxValue="30"/>
    </cacheField>
    <cacheField name="Pracodawcy : wybierz wartość z listy rozwijanej" numFmtId="0">
      <sharedItems containsString="0" containsBlank="1" containsNumber="1" containsInteger="1" minValue="0" maxValue="25"/>
    </cacheField>
    <cacheField name="Władze samorządowe i centralne : wybierz wartość z listy rozwijanej" numFmtId="0">
      <sharedItems containsString="0" containsBlank="1" containsNumber="1" containsInteger="1" minValue="0" maxValue="15"/>
    </cacheField>
    <cacheField name="Pole dodatkowe4" numFmtId="0">
      <sharedItems containsNonDate="0" containsString="0" containsBlank="1"/>
    </cacheField>
    <cacheField name="Studenci : wybierz wartość z listy rozwijanej5" numFmtId="0">
      <sharedItems containsString="0" containsBlank="1" containsNumber="1" containsInteger="1" minValue="10" maxValue="30"/>
    </cacheField>
    <cacheField name="Absolwenci : wybierz wartość z listy rozwijanej6" numFmtId="0">
      <sharedItems containsString="0" containsBlank="1" containsNumber="1" containsInteger="1" minValue="5" maxValue="60"/>
    </cacheField>
    <cacheField name="Rodzice absolwentów : wybierz wartość z listy rozwijanej7" numFmtId="0">
      <sharedItems containsString="0" containsBlank="1" containsNumber="1" containsInteger="1" minValue="0" maxValue="1"/>
    </cacheField>
    <cacheField name="Pracownicy administracyjni : wybierz wartość z listy rozwijanej8" numFmtId="0">
      <sharedItems containsString="0" containsBlank="1" containsNumber="1" containsInteger="1" minValue="0" maxValue="25"/>
    </cacheField>
    <cacheField name="Pracownicy naukowi i dydaktyczni : wybierz wartość z listy rozwijanej9" numFmtId="0">
      <sharedItems containsString="0" containsBlank="1" containsNumber="1" containsInteger="1" minValue="0" maxValue="50"/>
    </cacheField>
    <cacheField name="Pracodawcy : wybierz wartość z listy rozwijanej10" numFmtId="0">
      <sharedItems containsString="0" containsBlank="1" containsNumber="1" containsInteger="1" minValue="0" maxValue="25"/>
    </cacheField>
    <cacheField name="Władze samorządowe i centralne : wybierz wartość z listy rozwijanej11" numFmtId="0">
      <sharedItems containsString="0" containsBlank="1" containsNumber="1" containsInteger="1" minValue="0" maxValue="30"/>
    </cacheField>
    <cacheField name="Pole dodatkowe12" numFmtId="0">
      <sharedItems containsNonDate="0" containsString="0" containsBlank="1"/>
    </cacheField>
    <cacheField name="Czy jesteś przedstawicielem firmy, w której są zatrudniani absolwenci uczelni wyższych (tytuł licencjata, magistra lub wyższy)?" numFmtId="0">
      <sharedItems count="2">
        <s v="Tak (kontynuowanie badania przedstawicieli pracodawców)"/>
        <s v="Nie (przejście do kolejnej części)"/>
      </sharedItems>
    </cacheField>
    <cacheField name="Czy w Twojej firmie są zatrudnieni absolwenci uczelni technicznych (posiadają tytuł inżyniera)?" numFmtId="0">
      <sharedItems containsBlank="1"/>
    </cacheField>
    <cacheField name="Ile uczelni będziesz oceniać?" numFmtId="0">
      <sharedItems containsBlank="1" containsMixedTypes="1" containsNumber="1" containsInteger="1" minValue="1" maxValue="2"/>
    </cacheField>
    <cacheField name="Jak się nazywa uczelnia, którą ocenisz? " numFmtId="0">
      <sharedItems containsBlank="1"/>
    </cacheField>
    <cacheField name="Moja satysfakcja z (efektów) usług edukacyjnych na ocenianej uczelni jest wysoka." numFmtId="0">
      <sharedItems containsBlank="1"/>
    </cacheField>
    <cacheField name="Kompetencje absolwentów ocenianej uczelni są wysokie." numFmtId="0">
      <sharedItems containsBlank="1"/>
    </cacheField>
    <cacheField name="Zarobki absolwentów ocenianej uczelni zatrudnionych w mojej firmie są wyższe od zarobków absolwentów innych polskich uczelni." numFmtId="0">
      <sharedItems containsBlank="1"/>
    </cacheField>
    <cacheField name="Czy w Twojej firmie są zatrudniani absolwenci uczelni w pierwszym roku po ukończeniu studiów (do 12 miesięcy od uzyskania dyplomu)?" numFmtId="0">
      <sharedItems containsBlank="1"/>
    </cacheField>
    <cacheField name="Jakie kompetencje absolwentów ocenianej uczelni są w Twojej firmie najwyżej wyceniane?" numFmtId="0">
      <sharedItems containsBlank="1"/>
    </cacheField>
    <cacheField name="Jakiego rodzaju prace wykonują absolwenci ocenianej uczelni w Twojej firmie?" numFmtId="0">
      <sharedItems containsBlank="1"/>
    </cacheField>
    <cacheField name="Czy będziesz oceniał drugą uczelnię?" numFmtId="0">
      <sharedItems containsBlank="1"/>
    </cacheField>
    <cacheField name="Jak się nazywa uczelnia, którą ocenisz? 13" numFmtId="0">
      <sharedItems containsBlank="1"/>
    </cacheField>
    <cacheField name="Moja satysfakcja z (efektów) usług edukacyjnych na ocenianej uczelni jest wysoka.14" numFmtId="0">
      <sharedItems containsBlank="1"/>
    </cacheField>
    <cacheField name="Kompetencje absolwentów ocenianej uczelni są wysokie.15" numFmtId="0">
      <sharedItems containsBlank="1"/>
    </cacheField>
    <cacheField name="Zarobki absolwentów ocenianej uczelni zatrudnionych w mojej firmie są wyższe od zarobków absolwentów innych polskich uczelni.16" numFmtId="0">
      <sharedItems containsBlank="1"/>
    </cacheField>
    <cacheField name="Czy w Twojej firmie są zatrudniani absolwenci uczelni w pierwszym roku po ukończeniu studiów (do 12 miesięcy od uzyskania dyplomu)?17" numFmtId="0">
      <sharedItems containsBlank="1"/>
    </cacheField>
    <cacheField name="Jakie kompetencje absolwentów ocenianej uczelni są w Twojej firmie najwyżej wyceniane?18" numFmtId="0">
      <sharedItems containsBlank="1"/>
    </cacheField>
    <cacheField name="Jakiego rodzaju prace wykonują absolwenci ocenianej uczelni w Twojej firmie?19" numFmtId="0">
      <sharedItems containsBlank="1"/>
    </cacheField>
    <cacheField name="Czy będziesz oceniał trzecią uczelnię techniczną?" numFmtId="0">
      <sharedItems containsBlank="1"/>
    </cacheField>
    <cacheField name="Jak się nazywa uczelnia, którą ocenisz? 20" numFmtId="0">
      <sharedItems containsNonDate="0" containsString="0" containsBlank="1"/>
    </cacheField>
    <cacheField name="Moja satysfakcja z (efektów) usług edukacyjnych na ocenianej uczelni jest wysoka.21" numFmtId="0">
      <sharedItems containsNonDate="0" containsString="0" containsBlank="1"/>
    </cacheField>
    <cacheField name="Kompetencje absolwentów ocenianej uczelni są wysokie.22" numFmtId="0">
      <sharedItems containsNonDate="0" containsString="0" containsBlank="1"/>
    </cacheField>
    <cacheField name="Zarobki absolwentów ocenianej uczelni zatrudnionych w mojej firmie są wyższe od zarobków absolwentów innych polskich uczelni.23" numFmtId="0">
      <sharedItems containsNonDate="0" containsString="0" containsBlank="1"/>
    </cacheField>
    <cacheField name="Czy w Twojej firmie są zatrudniani absolwenci uczelni w pierwszym roku po ukończeniu studiów (do 12 miesięcy od uzyskania dyplomu)?24" numFmtId="0">
      <sharedItems containsNonDate="0" containsString="0" containsBlank="1"/>
    </cacheField>
    <cacheField name="Jakie kompetencje absolwentów ocenianej uczelni są w Twojej firmie najwyżej wyceniane?25" numFmtId="0">
      <sharedItems containsNonDate="0" containsString="0" containsBlank="1"/>
    </cacheField>
    <cacheField name="Jakiego rodzaju prace wykonują absolwenci ocenianej uczelni są w Twojej firmie?" numFmtId="0">
      <sharedItems containsNonDate="0" containsString="0" containsBlank="1"/>
    </cacheField>
    <cacheField name="Czy jesteś przedstawicielem władz samorządowych lub centralnych Rzeczypospolitej Polskiej?" numFmtId="0">
      <sharedItems count="2">
        <s v="Nie (przejście do kolejnej części)"/>
        <s v="Tak (kontynuacja badania przedstawicieli władz samorządowych)"/>
      </sharedItems>
    </cacheField>
    <cacheField name="Proszę wskaż jaki poziom władzy samorządowej lub centralnej reprezentujesz." numFmtId="0">
      <sharedItems containsBlank="1"/>
    </cacheField>
    <cacheField name="Proszę o podanie nazwy organu władzy jaki reprezentujesz." numFmtId="0">
      <sharedItems containsBlank="1"/>
    </cacheField>
    <cacheField name="Ile uczelni będziesz oceniać?26" numFmtId="0">
      <sharedItems containsBlank="1" containsMixedTypes="1" containsNumber="1" containsInteger="1" minValue="1" maxValue="1"/>
    </cacheField>
    <cacheField name="Jak się nazywa uczelnia, którą ocenisz?" numFmtId="0">
      <sharedItems containsBlank="1"/>
    </cacheField>
    <cacheField name="Efekty działań ocenianej uczelni na rzesz jakości edukacji są zgodne ze strategią rozwoju w regionie." numFmtId="0">
      <sharedItems containsBlank="1"/>
    </cacheField>
    <cacheField name="Wartość wykształcenia zdobywanego przez studentów na ocenianej uczelni jest wysoka.27" numFmtId="0">
      <sharedItems containsBlank="1"/>
    </cacheField>
    <cacheField name="Zdobyte przez studentów ocenianej uczelni wykształcenie miało/ma pozytywny wpływ na ich zarobki.28" numFmtId="0">
      <sharedItems containsBlank="1"/>
    </cacheField>
    <cacheField name="Efekty działań ocenianej uczelni na rzecz jakości edukacji mają dobry wpływ na rozwój regionu.29" numFmtId="0">
      <sharedItems containsBlank="1"/>
    </cacheField>
    <cacheField name="Efekty działań ocenianej uczelni na rzecz jakości edukacji mają dobry wpływ na rozwój Polski.30" numFmtId="0">
      <sharedItems containsBlank="1"/>
    </cacheField>
    <cacheField name="Współpraca ocenianej uczelni z biznesem ma pozytywne efekty dla rozwoju regionu / kraju.31" numFmtId="0">
      <sharedItems containsBlank="1"/>
    </cacheField>
    <cacheField name="Ogólny poziom mojej satysfakcji z jakości usług edukacyjnych ocenianej uczelni jest wysoki.32" numFmtId="0">
      <sharedItems containsBlank="1"/>
    </cacheField>
    <cacheField name="Pole dodatkowe33" numFmtId="0">
      <sharedItems containsNonDate="0" containsString="0" containsBlank="1"/>
    </cacheField>
    <cacheField name="Jakie inne efekty pracy ocenianej uczelni technicznej dostrzegasz obecnie?" numFmtId="0">
      <sharedItems containsBlank="1"/>
    </cacheField>
    <cacheField name="Czy będziesz oceniać drugą uczelnię?" numFmtId="0">
      <sharedItems containsBlank="1"/>
    </cacheField>
    <cacheField name="Jak się nazywa uczelnia, którą ocenisz?34" numFmtId="0">
      <sharedItems containsNonDate="0" containsString="0" containsBlank="1"/>
    </cacheField>
    <cacheField name="Efekty działań ocenianej uczelni na rzesz jakości edukacji są zgodne ze strategią rozwoju w regionie.35" numFmtId="0">
      <sharedItems containsNonDate="0" containsString="0" containsBlank="1"/>
    </cacheField>
    <cacheField name="Wartość wykształcenia zdobywanego przez studentów na ocenianej uczelni jest wysoka.36" numFmtId="0">
      <sharedItems containsNonDate="0" containsString="0" containsBlank="1"/>
    </cacheField>
    <cacheField name="Zdobyte przez studentów ocenianej uczelni wykształcenie miało/ma pozytywny wpływ na ich zarobki.37" numFmtId="0">
      <sharedItems containsNonDate="0" containsString="0" containsBlank="1"/>
    </cacheField>
    <cacheField name="Efekty działań ocenianej uczelni na rzecz jakości edukacji mają dobry wpływ na rozwój regionu.38" numFmtId="0">
      <sharedItems containsNonDate="0" containsString="0" containsBlank="1"/>
    </cacheField>
    <cacheField name="Efekty działań ocenianej uczelni na rzecz jakości edukacji mają dobry wpływ na rozwój Polski.39" numFmtId="0">
      <sharedItems containsNonDate="0" containsString="0" containsBlank="1"/>
    </cacheField>
    <cacheField name="Współpraca ocenianej uczelni z biznesem ma pozytywne efekty dla rozwoju regionu / kraju.40" numFmtId="0">
      <sharedItems containsNonDate="0" containsString="0" containsBlank="1"/>
    </cacheField>
    <cacheField name="Ogólny poziom mojej satysfakcji z jakości usług edukacyjnych ocenianej uczelni jest wysoki.41" numFmtId="0">
      <sharedItems containsNonDate="0" containsString="0" containsBlank="1"/>
    </cacheField>
    <cacheField name="Jakie inne efekty pracy ocenianej uczelni dostrzegasz obecnie?" numFmtId="0">
      <sharedItems containsNonDate="0" containsString="0" containsBlank="1"/>
    </cacheField>
    <cacheField name="Czy będziesz oceniać trzecią uczelnię?" numFmtId="0">
      <sharedItems containsNonDate="0" containsString="0" containsBlank="1"/>
    </cacheField>
    <cacheField name="Jak się nazywa uczelnia, którą ocenisz?42" numFmtId="0">
      <sharedItems containsNonDate="0" containsString="0" containsBlank="1"/>
    </cacheField>
    <cacheField name="Efekty działań ocenianej uczelni na rzesz jakości edukacji są zgodne ze strategią rozwoju w regionie.43" numFmtId="0">
      <sharedItems containsNonDate="0" containsString="0" containsBlank="1"/>
    </cacheField>
    <cacheField name="Wartość wykształcenia zdobywanego przez studentów na ocenianej uczelni jest wysoka.44" numFmtId="0">
      <sharedItems containsNonDate="0" containsString="0" containsBlank="1"/>
    </cacheField>
    <cacheField name="Zdobyte przez studentów ocenianej uczelni wykształcenie miało/ma pozytywny wpływ na ich zarobki.45" numFmtId="0">
      <sharedItems containsNonDate="0" containsString="0" containsBlank="1"/>
    </cacheField>
    <cacheField name="Efekty działań ocenianej uczelni na rzecz jakości edukacji mają dobry wpływ na rozwój regionu.46" numFmtId="0">
      <sharedItems containsNonDate="0" containsString="0" containsBlank="1"/>
    </cacheField>
    <cacheField name="Efekty działań ocenianej uczelni na rzecz jakości edukacji mają dobry wpływ na rozwój Polski.47" numFmtId="0">
      <sharedItems containsNonDate="0" containsString="0" containsBlank="1"/>
    </cacheField>
    <cacheField name="Współpraca ocenianej uczelni z biznesem ma pozytywne efekty dla rozwoju regionu / kraju.48" numFmtId="0">
      <sharedItems containsNonDate="0" containsString="0" containsBlank="1"/>
    </cacheField>
    <cacheField name="Ogólny poziom mojej satysfakcji z jakości usług edukacyjnych ocenianej uczelni jest wysoki.49" numFmtId="0">
      <sharedItems containsNonDate="0" containsString="0" containsBlank="1"/>
    </cacheField>
    <cacheField name="Jakie inne efekty pracy ocenianej uczelni dostrzegasz obecnie?50" numFmtId="0">
      <sharedItems containsNonDate="0" containsString="0" containsBlank="1"/>
    </cacheField>
    <cacheField name="Jakie, Twoim zdaniem, elementy decydują o tym, że uczelnie są lepsze lub gorsze." numFmtId="0">
      <sharedItems containsBlank="1" longText="1"/>
    </cacheField>
    <cacheField name="Kolumna51" numFmtId="0">
      <sharedItems containsBlank="1" longText="1"/>
    </cacheField>
    <cacheField name="Kolumna52" numFmtId="0">
      <sharedItems containsBlank="1"/>
    </cacheField>
    <cacheField name="Płeć" numFmtId="0">
      <sharedItems count="2">
        <s v="Mężczyzna"/>
        <s v="Kobieta"/>
      </sharedItems>
    </cacheField>
    <cacheField name="Rok urodzenia" numFmtId="0">
      <sharedItems containsMixedTypes="1" containsNumber="1" containsInteger="1" minValue="72" maxValue="2007"/>
    </cacheField>
    <cacheField name="Z jakiej wielkości miejscowości pochodzisz? (dotyczy miejscowości, w której się wychowałaś/eś" numFmtId="0">
      <sharedItems/>
    </cacheField>
    <cacheField name="Pole dodatkowe52" numFmtId="0">
      <sharedItems containsBlank="1"/>
    </cacheField>
    <cacheField name="Jakie inne wykształcenie poza tym uwzględnionym w niniejszej ankiecie posiadasz? (ukończone szkoły/studia)" numFmtId="0">
      <sharedItems containsBlank="1"/>
    </cacheField>
    <cacheField name="Jakie inne wykształcenie poza tym uwzględnionym w niniejszej ankiecie zdobywasz? (nieukończone jeszcze lub przerwane szkoły/studia)" numFmtId="0">
      <sharedItems containsBlank="1"/>
    </cacheField>
    <cacheField name="Dziękuję za czas poświęcony na wypełnienie niniejszej ankiety. _x000a_Jeśli masz uwagi to proszę zamieść je poniżej._x000a_Po zakończeniu udzielania odpowiedzi proszę o naciśnięcie przycisku &quot;Zakończ&quo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PSZ" refreshedDate="44936.722739930556" createdVersion="8" refreshedVersion="8" minRefreshableVersion="3" recordCount="157" xr:uid="{E126A9F0-9D45-4085-8E81-B3EBC54E111F}">
  <cacheSource type="worksheet">
    <worksheetSource name="Analiza"/>
  </cacheSource>
  <cacheFields count="214">
    <cacheField name="Lp." numFmtId="0">
      <sharedItems containsSemiMixedTypes="0" containsString="0" containsNumber="1" containsInteger="1" minValue="1" maxValue="261"/>
    </cacheField>
    <cacheField name="ID_zakończone" numFmtId="0">
      <sharedItems containsMixedTypes="1" containsNumber="1" containsInteger="1" minValue="1" maxValue="138"/>
    </cacheField>
    <cacheField name="ILE niepustych" numFmtId="0">
      <sharedItems containsSemiMixedTypes="0" containsString="0" containsNumber="1" containsInteger="1" minValue="9" maxValue="95"/>
    </cacheField>
    <cacheField name="Adres IP" numFmtId="0">
      <sharedItems/>
    </cacheField>
    <cacheField name="Kolektor" numFmtId="0">
      <sharedItems/>
    </cacheField>
    <cacheField name="Adres referencyjny / Respondent email" numFmtId="0">
      <sharedItems containsBlank="1"/>
    </cacheField>
    <cacheField name="Respondent imie" numFmtId="0">
      <sharedItems containsNonDate="0" containsString="0" containsBlank="1"/>
    </cacheField>
    <cacheField name="Respondent nazwisko" numFmtId="0">
      <sharedItems containsNonDate="0" containsString="0" containsBlank="1"/>
    </cacheField>
    <cacheField name="Respondent dodatkowe dane" numFmtId="0">
      <sharedItems containsNonDate="0" containsString="0" containsBlank="1"/>
    </cacheField>
    <cacheField name="Status" numFmtId="0">
      <sharedItems/>
    </cacheField>
    <cacheField name="Rozpoczęto wypełnianie" numFmtId="0">
      <sharedItems/>
    </cacheField>
    <cacheField name="Zakończono wypełnianie" numFmtId="0">
      <sharedItems/>
    </cacheField>
    <cacheField name="Czas trwania (s)" numFmtId="0">
      <sharedItems containsSemiMixedTypes="0" containsString="0" containsNumber="1" containsInteger="1" minValue="0" maxValue="1387173"/>
    </cacheField>
    <cacheField name="Punktacja" numFmtId="0">
      <sharedItems containsSemiMixedTypes="0" containsString="0" containsNumber="1" containsInteger="1" minValue="0" maxValue="0"/>
    </cacheField>
    <cacheField name="Czy jesteś osobą pełnoletnią?" numFmtId="0">
      <sharedItems count="1">
        <s v="Tak (kontynuacja ankiety)"/>
      </sharedItems>
    </cacheField>
    <cacheField name="Czy jesteś studentem uczelni wyższej?" numFmtId="0">
      <sharedItems count="2">
        <s v="Nie (przejście do kolejnej części)"/>
        <s v="Tak (kontynuacja badania studentów)"/>
      </sharedItems>
    </cacheField>
    <cacheField name="Jak się nazywa uczelnia, na której studiujesz? (proszę o wybranie jednej uczelni podlegającej ocenie)" numFmtId="0">
      <sharedItems containsBlank="1"/>
    </cacheField>
    <cacheField name="Czy studiujesz na kierunku technicznym, tzn. takim, po którym uzyskasz tytuł inżyniera?" numFmtId="0">
      <sharedItems containsBlank="1"/>
    </cacheField>
    <cacheField name="Jak się nazywa kierunek, na którym studiujesz?" numFmtId="0">
      <sharedItems containsBlank="1"/>
    </cacheField>
    <cacheField name="Moja satysfakcja z usług edukacyjnych ocenianej uczelni jest wysoka." numFmtId="0">
      <sharedItems containsBlank="1"/>
    </cacheField>
    <cacheField name="Usługi edukacyjne ocenianej uczelni mają wysoką wartość (okazja / szansa rozwoju własnego lub kariery)." numFmtId="0">
      <sharedItems containsBlank="1"/>
    </cacheField>
    <cacheField name="Kształcenie na ocenianej uczelni ma/będzie miało pozytywny wpływ na zwiększenie moich zarobków." numFmtId="0">
      <sharedItems containsBlank="1"/>
    </cacheField>
    <cacheField name="Kolumna1" numFmtId="0">
      <sharedItems containsBlank="1" containsMixedTypes="1" containsNumber="1" containsInteger="1" minValue="12" maxValue="12"/>
    </cacheField>
    <cacheField name="w pierwszym roku po ukończeniu studiów : wybierz wartość z listy rozwijanej" numFmtId="0">
      <sharedItems containsBlank="1"/>
    </cacheField>
    <cacheField name="w 3 lata po ukończeniu studiów : wybierz wartość z listy rozwijanej" numFmtId="0">
      <sharedItems containsBlank="1"/>
    </cacheField>
    <cacheField name="Jakich innych (poza zarobkami) efektów kształcenia na ocenianej uczelni się spodziewasz?" numFmtId="0">
      <sharedItems containsBlank="1"/>
    </cacheField>
    <cacheField name="Jakie elementy lub cechy sprawiały, że Tobie studiowało się dobrze?" numFmtId="0">
      <sharedItems containsBlank="1"/>
    </cacheField>
    <cacheField name="Jakie elementy lub cechy sprawiały, że Tobie studiowało się źle?" numFmtId="0">
      <sharedItems containsBlank="1"/>
    </cacheField>
    <cacheField name="Jakiego rodzaju są Twoje studia?" numFmtId="0">
      <sharedItems containsBlank="1"/>
    </cacheField>
    <cacheField name="Pole dodatkowe" numFmtId="0">
      <sharedItems containsBlank="1"/>
    </cacheField>
    <cacheField name="Na którym semestrze studiujesz obecnie?" numFmtId="0">
      <sharedItems containsString="0" containsBlank="1" containsNumber="1" containsInteger="1" minValue="2" maxValue="10"/>
    </cacheField>
    <cacheField name="Czy jesteś absolwentem uczelni wyższej?" numFmtId="0">
      <sharedItems count="2">
        <s v="Tak (kontynuowanie badania absolwentów)"/>
        <s v="Nie (przejście do kolejnej części)"/>
      </sharedItems>
    </cacheField>
    <cacheField name="Jak się nazywa uczelnia którą ukończyłeś? (proszę o wybranie jednej uczelni podlegającej ocenie)" numFmtId="0">
      <sharedItems containsBlank="1"/>
    </cacheField>
    <cacheField name="W którym roku ukończyłaś/eś studia (rok w którym uzyskano dyplom ukończenia studiów drugiego stopnia, albo pierwszego stopnia, jeśli nie uzyskano dyplomu 2. stopnia)?" numFmtId="0">
      <sharedItems containsBlank="1" containsMixedTypes="1" containsNumber="1" containsInteger="1" minValue="1956" maxValue="2020"/>
    </cacheField>
    <cacheField name="Czy ukończony kierunek był kierunkiem technicznym, tzn. takim, po którym uzyskałaś/eś tytuł inżyniera?" numFmtId="0">
      <sharedItems containsBlank="1"/>
    </cacheField>
    <cacheField name="Jak się nazywa kierunek, który ukończyłaś/eś?" numFmtId="0">
      <sharedItems containsBlank="1"/>
    </cacheField>
    <cacheField name="Moja satysfakcja z (efektów) usług edukacyjnych ocenianej uczelni jest wysoka." numFmtId="0">
      <sharedItems containsBlank="1"/>
    </cacheField>
    <cacheField name="Usługi edukacyjne ocenianej uczelni mają wysoką wartość (okazja / szansa rozwoju własnego lub kariery).3" numFmtId="0">
      <sharedItems containsBlank="1"/>
    </cacheField>
    <cacheField name="Kształcenie na ocenianej uczelni ma/miało pozytywny wpływ na zwiększenie moich zarobków." numFmtId="0">
      <sharedItems containsBlank="1"/>
    </cacheField>
    <cacheField name="Moje zarobki w pierwszym roku po ukończeniu studiów były satysfakcjonujące." numFmtId="0">
      <sharedItems containsBlank="1"/>
    </cacheField>
    <cacheField name="Moje zarobki po 3. latach po ukończeniu studiów były satysfakcjonujące." numFmtId="0">
      <sharedItems containsBlank="1"/>
    </cacheField>
    <cacheField name="W ile miesięcy po ukończeniu studiów uzyskałaś/eś zatrudnienie? Proszę podać liczbę miesięcy lub wpisać inną opcję (np. praca przed ukończeniem studiów; założenie własnej firmy; nie zamierzam pracować)" numFmtId="0">
      <sharedItems containsBlank="1" containsMixedTypes="1" containsNumber="1" containsInteger="1" minValue="0" maxValue="36"/>
    </cacheField>
    <cacheField name="w pierwszym roku po ukończeniu studiów : wybierz wartość z listy rozwijanej4" numFmtId="0">
      <sharedItems containsBlank="1"/>
    </cacheField>
    <cacheField name="w 3 lata po ukończeniu studiów : wybierz wartość z listy rozwijanej5" numFmtId="0">
      <sharedItems containsBlank="1"/>
    </cacheField>
    <cacheField name="Jakie inne (poza zarobkami) efekty kształcenia na ocenianej uczelni dostrzegasz obecnie?" numFmtId="0">
      <sharedItems containsBlank="1"/>
    </cacheField>
    <cacheField name="Co wpływało na twoją satysfakcję ze studiowania?_x000a_" numFmtId="0">
      <sharedItems containsBlank="1" longText="1"/>
    </cacheField>
    <cacheField name="Kolumna6" numFmtId="0">
      <sharedItems containsBlank="1"/>
    </cacheField>
    <cacheField name="Jakiego rodzaju były Twoje studia?" numFmtId="0">
      <sharedItems containsBlank="1"/>
    </cacheField>
    <cacheField name="Pole dodatkowe7" numFmtId="0">
      <sharedItems containsBlank="1"/>
    </cacheField>
    <cacheField name="Czy jesteś rodzicem / opiekunem absolwenta uczelni wyższej?" numFmtId="0">
      <sharedItems containsBlank="1" count="3">
        <s v="Nie (przejście do kolejnej części)"/>
        <s v="Tak (kontynuowanie badania rodziców absolwentów)"/>
        <m/>
      </sharedItems>
    </cacheField>
    <cacheField name="Uczelnie ilu podopiecznych będziesz oceniać?" numFmtId="0">
      <sharedItems containsString="0" containsBlank="1" containsNumber="1" containsInteger="1" minValue="1" maxValue="3"/>
    </cacheField>
    <cacheField name="Jak się nazywa uczelnia, którą ukończył/a Twoja/Twój podopieczna/podopieczny? (proszę o wybranie jednej uczelni podlegającej ocenie)" numFmtId="0">
      <sharedItems containsBlank="1"/>
    </cacheField>
    <cacheField name="W którym roku Twoja/Twój podopieczna/y ukończył/a studia (rok w którym uzyskano dyplom ukończenia studiów drugiego stopnia, albo pierwszego stopnia, jeśli nie uzyskano dyplomu 2. stopnia)?" numFmtId="0">
      <sharedItems containsBlank="1" containsMixedTypes="1" containsNumber="1" containsInteger="1" minValue="2002" maxValue="2020"/>
    </cacheField>
    <cacheField name="Czy ukończony kierunek był kierunkiem technicznym, tzn. takim, po którym uzyskano tytuł inżyniera?" numFmtId="0">
      <sharedItems containsBlank="1"/>
    </cacheField>
    <cacheField name="Jak się nazywa kierunek, który ukończył/a Twoja/Twój podopieczna/podopieczny?" numFmtId="0">
      <sharedItems containsBlank="1"/>
    </cacheField>
    <cacheField name="Moja satysfakcja z (efektów) usług edukacyjnych ocenianej uczelni jest wysoka.8" numFmtId="0">
      <sharedItems containsBlank="1"/>
    </cacheField>
    <cacheField name="Usługi edukacyjne ocenianej uczelni mają wysoką wartość (okazja / szansa rozwoju własnego lub kariery).9" numFmtId="0">
      <sharedItems containsBlank="1"/>
    </cacheField>
    <cacheField name="Kształcenie na ocenianej uczelni ma/będzie miało pozytywny wpływ na zwiększenie zarobków mojej/mojego podopiecznej/podopiecznego." numFmtId="0">
      <sharedItems containsBlank="1"/>
    </cacheField>
    <cacheField name="Zarobki uzyskiwane przez mojego/moją podopieczną/podopiecznego w pierwszym roku po ukończeniu studiów były satysfakcjonujące (z mojego punktu widzenia)" numFmtId="0">
      <sharedItems containsBlank="1"/>
    </cacheField>
    <cacheField name="Zarobki uzyskiwane przez mojego/moją podopieczną/podopiecznego w 3 lata po ukończeniu studiów były satysfakcjonujące (z mojego punktu widzenia)" numFmtId="0">
      <sharedItems containsBlank="1"/>
    </cacheField>
    <cacheField name="W ile miesięcy po ukończeniu studiów Twoja/Twój podopieczna/podopieczny uzyskał/a zatrudnienie? Proszę podać liczbę miesięcy lub wpisać inną opcję (np. praca przed ukończeniem studiów; założenie własnej firmy; nie zamierzam pracować)" numFmtId="0">
      <sharedItems containsBlank="1" containsMixedTypes="1" containsNumber="1" containsInteger="1" minValue="0" maxValue="12"/>
    </cacheField>
    <cacheField name="Jakie inne (poza zarobkami) efekty kształcenia na ocenianej uczelni się dostrzegasz obecnie?" numFmtId="0">
      <sharedItems containsBlank="1"/>
    </cacheField>
    <cacheField name="Jakiego rodzaju były studia, które ukończył/a Twoja/Twój podopieczna/podopieczny?" numFmtId="0">
      <sharedItems containsBlank="1"/>
    </cacheField>
    <cacheField name="Pole dodatkowe10" numFmtId="0">
      <sharedItems containsBlank="1"/>
    </cacheField>
    <cacheField name="Jeśli Twoja/Twój podopieczna/podopieczny ukończył/a również inne szkoły / kierunki studiów to proszę wpisz je tutaj." numFmtId="0">
      <sharedItems containsBlank="1"/>
    </cacheField>
    <cacheField name="Czy będziesz oceniał uczelnię ukończoną przez drugiego podopiecznego?" numFmtId="0">
      <sharedItems containsBlank="1"/>
    </cacheField>
    <cacheField name="Jak się nazywa uczelnia, którą ukończył/a Twoja/Twój podopieczna/podopieczny? (proszę o wybranie jednej uczelni podlegającej ocenie)11" numFmtId="0">
      <sharedItems containsBlank="1"/>
    </cacheField>
    <cacheField name="W którym roku Twoja/Twój podopieczna/y ukończył/a studia (rok w którym uzyskano dyplom ukończenia studiów drugiego stopnia, albo pierwszego stopnia, jeśli nie uzyskano dyplomu 2. stopnia)?12" numFmtId="0">
      <sharedItems containsString="0" containsBlank="1" containsNumber="1" containsInteger="1" minValue="2007" maxValue="2015"/>
    </cacheField>
    <cacheField name="Czy ukończony kierunek był kierunkiem technicznym, tzn. takim, po którym uzyskano tytuł inżyniera?13" numFmtId="0">
      <sharedItems containsBlank="1"/>
    </cacheField>
    <cacheField name="Jak się nazywa kierunek, który ukończył/a Twoja/Twój podopieczna/podopieczny?14" numFmtId="0">
      <sharedItems containsBlank="1"/>
    </cacheField>
    <cacheField name="Moja satysfakcja z (efektów) usług edukacyjnych ocenianej uczelni jest wysoka.15" numFmtId="0">
      <sharedItems containsBlank="1"/>
    </cacheField>
    <cacheField name="Usługi edukacyjne ocenianej uczelni mają wysoką wartość (okazja / szansa rozwoju własnego lub kariery).16" numFmtId="0">
      <sharedItems containsBlank="1"/>
    </cacheField>
    <cacheField name="Kształcenie na ocenianej uczelni ma/będzie miało pozytywny wpływ na zwiększenie zarobków mojej/mojego podopiecznej/podopiecznego.17" numFmtId="0">
      <sharedItems containsBlank="1"/>
    </cacheField>
    <cacheField name="Zarobki uzyskiwane przez mojego/moją podopieczną/podopiecznego w pierwszym roku po ukończeniu studiów były satysfakcjonujące (z mojego punktu widzenia)18" numFmtId="0">
      <sharedItems containsBlank="1"/>
    </cacheField>
    <cacheField name="Zarobki uzyskiwane przez mojego/moją podopieczną/podopiecznego w 3 lata po ukończeniu studiów były satysfakcjonujące (z mojego punktu widzenia)19" numFmtId="0">
      <sharedItems containsBlank="1"/>
    </cacheField>
    <cacheField name="W ile miesięcy po ukończeniu studiów Twoja/Twój podopieczna/podopieczny uzyskał/a zatrudnienie? Proszę podać liczbę miesięcy lub wpisać inną opcję (np. praca przed ukończeniem studiów; założenie własnej firmy; nie zamierzam pracować)20" numFmtId="0">
      <sharedItems containsBlank="1" containsMixedTypes="1" containsNumber="1" containsInteger="1" minValue="3" maxValue="3"/>
    </cacheField>
    <cacheField name="Jakie inne (poza zarobkami) efekty kształcenia na ocenianej uczelni się dostrzegasz obecnie?21" numFmtId="0">
      <sharedItems containsBlank="1"/>
    </cacheField>
    <cacheField name="Jakiego rodzaju były studia, które ukończył/a Twoja/Twój podopieczna/podopieczny?22" numFmtId="0">
      <sharedItems containsBlank="1"/>
    </cacheField>
    <cacheField name="Pole dodatkowe23" numFmtId="0">
      <sharedItems containsNonDate="0" containsString="0" containsBlank="1"/>
    </cacheField>
    <cacheField name="Jeśli Twoja/Twój podopieczna/podopieczny ukończył/a również inne szkoły / kierunki studiów to proszę wpisz je tutaj.24" numFmtId="0">
      <sharedItems containsBlank="1"/>
    </cacheField>
    <cacheField name="Czy będziesz oceniał uczelnię ukończoną przez trzeciego podopiecznego?" numFmtId="0">
      <sharedItems containsBlank="1"/>
    </cacheField>
    <cacheField name="Jak się nazywa uczelnia, którą ukończył/a Twoja/Twój podopieczna/podopieczny? (proszę o wybranie jednej uczelni podlegającej ocenie)25" numFmtId="0">
      <sharedItems containsBlank="1"/>
    </cacheField>
    <cacheField name="W którym roku Twoja/Twój podopieczna/y ukończył/a studia (rok w którym uzyskano dyplom ukończenia studiów drugiego stopnia, albo pierwszego stopnia, jeśli nie uzyskano dyplomu 2. stopnia)?26" numFmtId="0">
      <sharedItems containsString="0" containsBlank="1" containsNumber="1" containsInteger="1" minValue="2016" maxValue="2016"/>
    </cacheField>
    <cacheField name="Czy ukończony kierunek był kierunkiem technicznym, tzn. takim, po którym uzyskano tytuł inżyniera?27" numFmtId="0">
      <sharedItems containsBlank="1"/>
    </cacheField>
    <cacheField name="Jak się nazywa kierunek, który ukończył/a Twoja/Twój podopieczna/podopieczny?28" numFmtId="0">
      <sharedItems containsBlank="1"/>
    </cacheField>
    <cacheField name="Moja satysfakcja z (efektów) usług edukacyjnych ocenianej uczelni jest wysoka.29" numFmtId="0">
      <sharedItems containsBlank="1"/>
    </cacheField>
    <cacheField name="Usługi edukacyjne ocenianej uczelni mają wysoką wartość (okazja / szansa rozwoju własnego lub kariery).30" numFmtId="0">
      <sharedItems containsBlank="1"/>
    </cacheField>
    <cacheField name="Kształcenie na ocenianej uczelni ma/będzie miało pozytywny wpływ na zwiększenie zarobków mojej/mojego podopiecznej/podopiecznego.31" numFmtId="0">
      <sharedItems containsBlank="1"/>
    </cacheField>
    <cacheField name="Zarobki uzyskiwane przez mojego/moją podopieczną/podopiecznego w pierwszym roku po ukończeniu studiów były satysfakcjonujące (z mojego punktu widzenia)32" numFmtId="0">
      <sharedItems containsBlank="1"/>
    </cacheField>
    <cacheField name="Zarobki uzyskiwane przez mojego/moją podopieczną/podopiecznego w 3 lata po ukończeniu studiów były satysfakcjonujące (z mojego punktu widzenia)33" numFmtId="0">
      <sharedItems containsBlank="1"/>
    </cacheField>
    <cacheField name="W ile miesięcy po ukończeniu studiów Twoja/Twój podopieczna/podopieczny uzyskał/a zatrudnienie? Proszę podać liczbę miesięcy lub wpisać inną opcję (np. praca przed ukończeniem studiów; założenie własnej firmy; nie zamierzam pracować)34" numFmtId="0">
      <sharedItems containsBlank="1" containsMixedTypes="1" containsNumber="1" containsInteger="1" minValue="1" maxValue="1"/>
    </cacheField>
    <cacheField name="Jakie inne (poza zarobkami) efekty kształcenia na ocenianej uczelni się dostrzegasz obecnie?35" numFmtId="0">
      <sharedItems containsBlank="1"/>
    </cacheField>
    <cacheField name="Jakiego rodzaju były studia, które ukończył/a Twoja/Twój podopieczna/podopieczny?36" numFmtId="0">
      <sharedItems containsBlank="1"/>
    </cacheField>
    <cacheField name="Pole dodatkowe37" numFmtId="0">
      <sharedItems containsNonDate="0" containsString="0" containsBlank="1"/>
    </cacheField>
    <cacheField name="Jeśli Twoja/Twój podopieczna/podopieczny ukończył/a również inne szkoły / kierunki studiów to proszę wpisz je tutaj.38" numFmtId="0">
      <sharedItems containsBlank="1"/>
    </cacheField>
    <cacheField name="Czy jesteś aktualnie pracownikiem administracyjnym uczelni wyższej?" numFmtId="0">
      <sharedItems containsBlank="1" count="3">
        <s v="Nie (przejście do kolejnej części)"/>
        <s v="Tak (kontynuowanie badania pracowników administracyjnych)"/>
        <m/>
      </sharedItems>
    </cacheField>
    <cacheField name="Jak się nazywa uczelnia, na której pracujesz? (proszę o wybranie jednej uczelni podlegającej ocenie)" numFmtId="0">
      <sharedItems containsBlank="1"/>
    </cacheField>
    <cacheField name="Na jakim wydziale pracujesz?" numFmtId="0">
      <sharedItems containsBlank="1"/>
    </cacheField>
    <cacheField name="Moja satysfakcja z pracy na ocenianej uczelni jest wysoka." numFmtId="0">
      <sharedItems containsBlank="1"/>
    </cacheField>
    <cacheField name="Atmosfera w zespole współpracowników jest dobra." numFmtId="0">
      <sharedItems containsBlank="1"/>
    </cacheField>
    <cacheField name="Moje zarobki są satysfakcjonujące." numFmtId="0">
      <sharedItems containsBlank="1"/>
    </cacheField>
    <cacheField name="Praca na ocenianej uczelni daje mi duże szanse rozwoju." numFmtId="0">
      <sharedItems containsBlank="1"/>
    </cacheField>
    <cacheField name="Wartość wykształcenia zdobywanego przez studentów ocenianej uczelni jest wysoka." numFmtId="0">
      <sharedItems containsBlank="1"/>
    </cacheField>
    <cacheField name="Zdobyte na ocenianej uczelni wykształcenie ma pozytywny wpływ na zwiększenie zarobków absolwentów." numFmtId="0">
      <sharedItems containsBlank="1"/>
    </cacheField>
    <cacheField name="Jakie inne (poza zarobkami) efekty kształcenia na ocenianej uczelni się dostrzegasz obecnie?39" numFmtId="0">
      <sharedItems containsBlank="1"/>
    </cacheField>
    <cacheField name="Czy jesteś aktualnie pracownikiem naukowym lub dydaktycznym uczelni wyższej?" numFmtId="0">
      <sharedItems containsBlank="1" count="3">
        <s v="Nie (przejście do kolejnej części)"/>
        <s v="Tak (kontynuowanie badania pracowników naukowych lub dydaktycznych)"/>
        <m/>
      </sharedItems>
    </cacheField>
    <cacheField name="Jak się nazywa uczelnia, na której pracujesz? (proszę o wybranie jednej uczelni podlegającej ocenie)40" numFmtId="0">
      <sharedItems containsBlank="1"/>
    </cacheField>
    <cacheField name="Na jakim wydziale pracujesz?41" numFmtId="0">
      <sharedItems containsBlank="1"/>
    </cacheField>
    <cacheField name="Moja satysfakcja z pracy na ocenianej uczelni jest wysoka.42" numFmtId="0">
      <sharedItems containsBlank="1"/>
    </cacheField>
    <cacheField name="Atmosfera w zespole współpracowników jest dobra.43" numFmtId="0">
      <sharedItems containsBlank="1"/>
    </cacheField>
    <cacheField name="Moje zarobki są satysfakcjonujące.44" numFmtId="0">
      <sharedItems containsBlank="1"/>
    </cacheField>
    <cacheField name="Praca na ocenianej uczelni daje mi duże szanse rozwoju.45" numFmtId="0">
      <sharedItems containsBlank="1"/>
    </cacheField>
    <cacheField name="Wartość wykształcenia zdobywanego przez studentów ocenianej uczelni jest wysoka.46" numFmtId="0">
      <sharedItems containsBlank="1"/>
    </cacheField>
    <cacheField name="Zdobyte na ocenianej uczelni wykształcenie ma pozytywny wpływ na zwiększenie zarobków absolwentów.47" numFmtId="0">
      <sharedItems containsBlank="1"/>
    </cacheField>
    <cacheField name="Jakie inne (poza zarobkami) efekty kształcenia na ocenianej uczelni dostrzegasz obecnie?48" numFmtId="0">
      <sharedItems containsBlank="1"/>
    </cacheField>
    <cacheField name="Czy jesteś przedstawicielem władz uczelni z grupy rektorów, prorektorów, dziekanów, prodziekanów, członków senatu lub członków rady uczelni?" numFmtId="0">
      <sharedItems containsBlank="1" count="3">
        <s v="Nie (przejście do kolejnej części)"/>
        <s v="Tak (kontynuowanie badania przedstawicieli władz uczelni)"/>
        <m/>
      </sharedItems>
    </cacheField>
    <cacheField name="Proszę podać pełnioną funkcję" numFmtId="0">
      <sharedItems containsBlank="1"/>
    </cacheField>
    <cacheField name="Kolumna3" numFmtId="0">
      <sharedItems containsNonDate="0" containsString="0" containsBlank="1"/>
    </cacheField>
    <cacheField name="Kolumna4" numFmtId="0">
      <sharedItems containsBlank="1"/>
    </cacheField>
    <cacheField name="Kolumna5" numFmtId="0">
      <sharedItems containsBlank="1"/>
    </cacheField>
    <cacheField name="Jak się nazywa uczelnia którą będziesz oceniać (jako przedstawiciel jej władz)?" numFmtId="0">
      <sharedItems containsBlank="1"/>
    </cacheField>
    <cacheField name="Efekty działań ocenianej uczelni na rzesz jakości edukacji są dobre" numFmtId="0">
      <sharedItems containsBlank="1"/>
    </cacheField>
    <cacheField name="Wartość wykształcenia zdobywanego przez studentów na ocenianej uczelni jest wysoka." numFmtId="0">
      <sharedItems containsBlank="1"/>
    </cacheField>
    <cacheField name="Zdobyte przez studentów ocenianej uczelni wykształcenie miało/ma pozytywny wpływ na ich zarobki." numFmtId="0">
      <sharedItems containsBlank="1"/>
    </cacheField>
    <cacheField name="Efekty działań ocenianej uczelni na rzecz jakości edukacji mają dobry wpływ na rozwój regionu." numFmtId="0">
      <sharedItems containsBlank="1"/>
    </cacheField>
    <cacheField name="Efekty działań ocenianej uczelni na rzecz jakości edukacji mają dobry wpływ na rozwój Polski." numFmtId="0">
      <sharedItems containsBlank="1"/>
    </cacheField>
    <cacheField name="Współpraca ocenianej uczelni z biznesem ma pozytywne efekty dla rozwoju regionu / kraju." numFmtId="0">
      <sharedItems containsBlank="1"/>
    </cacheField>
    <cacheField name="Ogólny poziom mojej satysfakcji z jakości usług edukacyjnych ocenianej uczelni jest wysoki." numFmtId="0">
      <sharedItems containsBlank="1"/>
    </cacheField>
    <cacheField name="Studenci : wybierz wartość z listy rozwijanej" numFmtId="0">
      <sharedItems containsString="0" containsBlank="1" containsNumber="1" containsInteger="1" minValue="20" maxValue="25"/>
    </cacheField>
    <cacheField name="Absolwenci : wybierz wartość z listy rozwijanej" numFmtId="0">
      <sharedItems containsString="0" containsBlank="1" containsNumber="1" containsInteger="1" minValue="5" maxValue="60"/>
    </cacheField>
    <cacheField name="Rodzice absolwentów : wybierz wartość z listy rozwijanej" numFmtId="0">
      <sharedItems containsString="0" containsBlank="1" containsNumber="1" containsInteger="1" minValue="0" maxValue="2"/>
    </cacheField>
    <cacheField name="Pracownicy administracyjni : wybierz wartość z listy rozwijanej" numFmtId="0">
      <sharedItems containsString="0" containsBlank="1" containsNumber="1" containsInteger="1" minValue="0" maxValue="30"/>
    </cacheField>
    <cacheField name="Pracownicy naukowi i dydaktyczni : wybierz wartość z listy rozwijanej" numFmtId="0">
      <sharedItems containsString="0" containsBlank="1" containsNumber="1" containsInteger="1" minValue="0" maxValue="30"/>
    </cacheField>
    <cacheField name="Pracodawcy : wybierz wartość z listy rozwijanej" numFmtId="0">
      <sharedItems containsString="0" containsBlank="1" containsNumber="1" containsInteger="1" minValue="0" maxValue="25"/>
    </cacheField>
    <cacheField name="Władze samorządowe i centralne : wybierz wartość z listy rozwijanej" numFmtId="0">
      <sharedItems containsString="0" containsBlank="1" containsNumber="1" containsInteger="1" minValue="0" maxValue="15"/>
    </cacheField>
    <cacheField name="Pole dodatkowe4" numFmtId="0">
      <sharedItems containsNonDate="0" containsString="0" containsBlank="1"/>
    </cacheField>
    <cacheField name="Studenci : wybierz wartość z listy rozwijanej5" numFmtId="0">
      <sharedItems containsString="0" containsBlank="1" containsNumber="1" containsInteger="1" minValue="10" maxValue="30"/>
    </cacheField>
    <cacheField name="Absolwenci : wybierz wartość z listy rozwijanej6" numFmtId="0">
      <sharedItems containsString="0" containsBlank="1" containsNumber="1" containsInteger="1" minValue="5" maxValue="60"/>
    </cacheField>
    <cacheField name="Rodzice absolwentów : wybierz wartość z listy rozwijanej7" numFmtId="0">
      <sharedItems containsString="0" containsBlank="1" containsNumber="1" containsInteger="1" minValue="0" maxValue="1"/>
    </cacheField>
    <cacheField name="Pracownicy administracyjni : wybierz wartość z listy rozwijanej8" numFmtId="0">
      <sharedItems containsString="0" containsBlank="1" containsNumber="1" containsInteger="1" minValue="0" maxValue="25"/>
    </cacheField>
    <cacheField name="Pracownicy naukowi i dydaktyczni : wybierz wartość z listy rozwijanej9" numFmtId="0">
      <sharedItems containsString="0" containsBlank="1" containsNumber="1" containsInteger="1" minValue="0" maxValue="50"/>
    </cacheField>
    <cacheField name="Pracodawcy : wybierz wartość z listy rozwijanej10" numFmtId="0">
      <sharedItems containsString="0" containsBlank="1" containsNumber="1" containsInteger="1" minValue="0" maxValue="25"/>
    </cacheField>
    <cacheField name="Władze samorządowe i centralne : wybierz wartość z listy rozwijanej11" numFmtId="0">
      <sharedItems containsString="0" containsBlank="1" containsNumber="1" containsInteger="1" minValue="0" maxValue="30"/>
    </cacheField>
    <cacheField name="Pole dodatkowe12" numFmtId="0">
      <sharedItems containsNonDate="0" containsString="0" containsBlank="1"/>
    </cacheField>
    <cacheField name="Czy jesteś przedstawicielem firmy, w której są zatrudniani absolwenci uczelni wyższych (tytuł licencjata, magistra lub wyższy)?" numFmtId="0">
      <sharedItems containsBlank="1" count="3">
        <s v="Nie (przejście do kolejnej części)"/>
        <m/>
        <s v="Tak (kontynuowanie badania przedstawicieli pracodawców)"/>
      </sharedItems>
    </cacheField>
    <cacheField name="Czy w Twojej firmie są zatrudnieni absolwenci uczelni technicznych (posiadają tytuł inżyniera)?" numFmtId="0">
      <sharedItems containsBlank="1"/>
    </cacheField>
    <cacheField name="Ile uczelni będziesz oceniać?" numFmtId="0">
      <sharedItems containsBlank="1" containsMixedTypes="1" containsNumber="1" containsInteger="1" minValue="1" maxValue="2"/>
    </cacheField>
    <cacheField name="Jak się nazywa uczelnia, którą ocenisz? " numFmtId="0">
      <sharedItems containsBlank="1"/>
    </cacheField>
    <cacheField name="Moja satysfakcja z (efektów) usług edukacyjnych na ocenianej uczelni jest wysoka." numFmtId="0">
      <sharedItems containsBlank="1"/>
    </cacheField>
    <cacheField name="Kompetencje absolwentów ocenianej uczelni są wysokie." numFmtId="0">
      <sharedItems containsBlank="1"/>
    </cacheField>
    <cacheField name="Zarobki absolwentów ocenianej uczelni zatrudnionych w mojej firmie są wyższe od zarobków absolwentów innych polskich uczelni." numFmtId="0">
      <sharedItems containsBlank="1"/>
    </cacheField>
    <cacheField name="Czy w Twojej firmie są zatrudniani absolwenci uczelni w pierwszym roku po ukończeniu studiów (do 12 miesięcy od uzyskania dyplomu)?" numFmtId="0">
      <sharedItems containsBlank="1"/>
    </cacheField>
    <cacheField name="Jakie kompetencje absolwentów ocenianej uczelni są w Twojej firmie najwyżej wyceniane?" numFmtId="0">
      <sharedItems containsBlank="1"/>
    </cacheField>
    <cacheField name="Jakiego rodzaju prace wykonują absolwenci ocenianej uczelni w Twojej firmie?" numFmtId="0">
      <sharedItems containsBlank="1"/>
    </cacheField>
    <cacheField name="Czy będziesz oceniał drugą uczelnię?" numFmtId="0">
      <sharedItems containsBlank="1"/>
    </cacheField>
    <cacheField name="Jak się nazywa uczelnia, którą ocenisz? 13" numFmtId="0">
      <sharedItems containsBlank="1"/>
    </cacheField>
    <cacheField name="Moja satysfakcja z (efektów) usług edukacyjnych na ocenianej uczelni jest wysoka.14" numFmtId="0">
      <sharedItems containsBlank="1"/>
    </cacheField>
    <cacheField name="Kompetencje absolwentów ocenianej uczelni są wysokie.15" numFmtId="0">
      <sharedItems containsBlank="1"/>
    </cacheField>
    <cacheField name="Zarobki absolwentów ocenianej uczelni zatrudnionych w mojej firmie są wyższe od zarobków absolwentów innych polskich uczelni.16" numFmtId="0">
      <sharedItems containsBlank="1"/>
    </cacheField>
    <cacheField name="Czy w Twojej firmie są zatrudniani absolwenci uczelni w pierwszym roku po ukończeniu studiów (do 12 miesięcy od uzyskania dyplomu)?17" numFmtId="0">
      <sharedItems containsBlank="1"/>
    </cacheField>
    <cacheField name="Jakie kompetencje absolwentów ocenianej uczelni są w Twojej firmie najwyżej wyceniane?18" numFmtId="0">
      <sharedItems containsBlank="1"/>
    </cacheField>
    <cacheField name="Jakiego rodzaju prace wykonują absolwenci ocenianej uczelni w Twojej firmie?19" numFmtId="0">
      <sharedItems containsBlank="1"/>
    </cacheField>
    <cacheField name="Czy będziesz oceniał trzecią uczelnię techniczną?" numFmtId="0">
      <sharedItems containsBlank="1"/>
    </cacheField>
    <cacheField name="Jak się nazywa uczelnia, którą ocenisz? 20" numFmtId="0">
      <sharedItems containsNonDate="0" containsString="0" containsBlank="1"/>
    </cacheField>
    <cacheField name="Moja satysfakcja z (efektów) usług edukacyjnych na ocenianej uczelni jest wysoka.21" numFmtId="0">
      <sharedItems containsNonDate="0" containsString="0" containsBlank="1"/>
    </cacheField>
    <cacheField name="Kompetencje absolwentów ocenianej uczelni są wysokie.22" numFmtId="0">
      <sharedItems containsNonDate="0" containsString="0" containsBlank="1"/>
    </cacheField>
    <cacheField name="Zarobki absolwentów ocenianej uczelni zatrudnionych w mojej firmie są wyższe od zarobków absolwentów innych polskich uczelni.23" numFmtId="0">
      <sharedItems containsNonDate="0" containsString="0" containsBlank="1"/>
    </cacheField>
    <cacheField name="Czy w Twojej firmie są zatrudniani absolwenci uczelni w pierwszym roku po ukończeniu studiów (do 12 miesięcy od uzyskania dyplomu)?24" numFmtId="0">
      <sharedItems containsNonDate="0" containsString="0" containsBlank="1"/>
    </cacheField>
    <cacheField name="Jakie kompetencje absolwentów ocenianej uczelni są w Twojej firmie najwyżej wyceniane?25" numFmtId="0">
      <sharedItems containsNonDate="0" containsString="0" containsBlank="1"/>
    </cacheField>
    <cacheField name="Jakiego rodzaju prace wykonują absolwenci ocenianej uczelni są w Twojej firmie?" numFmtId="0">
      <sharedItems containsNonDate="0" containsString="0" containsBlank="1"/>
    </cacheField>
    <cacheField name="Czy jesteś przedstawicielem władz samorządowych lub centralnych Rzeczypospolitej Polskiej?" numFmtId="0">
      <sharedItems containsBlank="1" count="3">
        <s v="Nie (przejście do kolejnej części)"/>
        <m/>
        <s v="Tak (kontynuacja badania przedstawicieli władz samorządowych)"/>
      </sharedItems>
    </cacheField>
    <cacheField name="Proszę wskaż jaki poziom władzy samorządowej lub centralnej reprezentujesz." numFmtId="0">
      <sharedItems containsBlank="1"/>
    </cacheField>
    <cacheField name="Proszę o podanie nazwy organu władzy jaki reprezentujesz." numFmtId="0">
      <sharedItems containsBlank="1"/>
    </cacheField>
    <cacheField name="Ile uczelni będziesz oceniać?26" numFmtId="0">
      <sharedItems containsBlank="1" containsMixedTypes="1" containsNumber="1" containsInteger="1" minValue="1" maxValue="1"/>
    </cacheField>
    <cacheField name="Jak się nazywa uczelnia, którą ocenisz?" numFmtId="0">
      <sharedItems containsBlank="1"/>
    </cacheField>
    <cacheField name="Efekty działań ocenianej uczelni na rzesz jakości edukacji są zgodne ze strategią rozwoju w regionie." numFmtId="0">
      <sharedItems containsBlank="1"/>
    </cacheField>
    <cacheField name="Wartość wykształcenia zdobywanego przez studentów na ocenianej uczelni jest wysoka.27" numFmtId="0">
      <sharedItems containsBlank="1"/>
    </cacheField>
    <cacheField name="Zdobyte przez studentów ocenianej uczelni wykształcenie miało/ma pozytywny wpływ na ich zarobki.28" numFmtId="0">
      <sharedItems containsBlank="1"/>
    </cacheField>
    <cacheField name="Efekty działań ocenianej uczelni na rzecz jakości edukacji mają dobry wpływ na rozwój regionu.29" numFmtId="0">
      <sharedItems containsBlank="1"/>
    </cacheField>
    <cacheField name="Efekty działań ocenianej uczelni na rzecz jakości edukacji mają dobry wpływ na rozwój Polski.30" numFmtId="0">
      <sharedItems containsBlank="1"/>
    </cacheField>
    <cacheField name="Współpraca ocenianej uczelni z biznesem ma pozytywne efekty dla rozwoju regionu / kraju.31" numFmtId="0">
      <sharedItems containsBlank="1"/>
    </cacheField>
    <cacheField name="Ogólny poziom mojej satysfakcji z jakości usług edukacyjnych ocenianej uczelni jest wysoki.32" numFmtId="0">
      <sharedItems containsBlank="1"/>
    </cacheField>
    <cacheField name="Pole dodatkowe33" numFmtId="0">
      <sharedItems containsNonDate="0" containsString="0" containsBlank="1"/>
    </cacheField>
    <cacheField name="Jakie inne efekty pracy ocenianej uczelni technicznej dostrzegasz obecnie?" numFmtId="0">
      <sharedItems containsBlank="1"/>
    </cacheField>
    <cacheField name="Czy będziesz oceniać drugą uczelnię?" numFmtId="0">
      <sharedItems containsBlank="1"/>
    </cacheField>
    <cacheField name="Jak się nazywa uczelnia, którą ocenisz?34" numFmtId="0">
      <sharedItems containsNonDate="0" containsString="0" containsBlank="1"/>
    </cacheField>
    <cacheField name="Efekty działań ocenianej uczelni na rzesz jakości edukacji są zgodne ze strategią rozwoju w regionie.35" numFmtId="0">
      <sharedItems containsNonDate="0" containsString="0" containsBlank="1"/>
    </cacheField>
    <cacheField name="Wartość wykształcenia zdobywanego przez studentów na ocenianej uczelni jest wysoka.36" numFmtId="0">
      <sharedItems containsNonDate="0" containsString="0" containsBlank="1"/>
    </cacheField>
    <cacheField name="Zdobyte przez studentów ocenianej uczelni wykształcenie miało/ma pozytywny wpływ na ich zarobki.37" numFmtId="0">
      <sharedItems containsNonDate="0" containsString="0" containsBlank="1"/>
    </cacheField>
    <cacheField name="Efekty działań ocenianej uczelni na rzecz jakości edukacji mają dobry wpływ na rozwój regionu.38" numFmtId="0">
      <sharedItems containsNonDate="0" containsString="0" containsBlank="1"/>
    </cacheField>
    <cacheField name="Efekty działań ocenianej uczelni na rzecz jakości edukacji mają dobry wpływ na rozwój Polski.39" numFmtId="0">
      <sharedItems containsNonDate="0" containsString="0" containsBlank="1"/>
    </cacheField>
    <cacheField name="Współpraca ocenianej uczelni z biznesem ma pozytywne efekty dla rozwoju regionu / kraju.40" numFmtId="0">
      <sharedItems containsNonDate="0" containsString="0" containsBlank="1"/>
    </cacheField>
    <cacheField name="Ogólny poziom mojej satysfakcji z jakości usług edukacyjnych ocenianej uczelni jest wysoki.41" numFmtId="0">
      <sharedItems containsNonDate="0" containsString="0" containsBlank="1"/>
    </cacheField>
    <cacheField name="Jakie inne efekty pracy ocenianej uczelni dostrzegasz obecnie?" numFmtId="0">
      <sharedItems containsNonDate="0" containsString="0" containsBlank="1"/>
    </cacheField>
    <cacheField name="Czy będziesz oceniać trzecią uczelnię?" numFmtId="0">
      <sharedItems containsNonDate="0" containsString="0" containsBlank="1"/>
    </cacheField>
    <cacheField name="Jak się nazywa uczelnia, którą ocenisz?42" numFmtId="0">
      <sharedItems containsNonDate="0" containsString="0" containsBlank="1"/>
    </cacheField>
    <cacheField name="Efekty działań ocenianej uczelni na rzesz jakości edukacji są zgodne ze strategią rozwoju w regionie.43" numFmtId="0">
      <sharedItems containsNonDate="0" containsString="0" containsBlank="1"/>
    </cacheField>
    <cacheField name="Wartość wykształcenia zdobywanego przez studentów na ocenianej uczelni jest wysoka.44" numFmtId="0">
      <sharedItems containsNonDate="0" containsString="0" containsBlank="1"/>
    </cacheField>
    <cacheField name="Zdobyte przez studentów ocenianej uczelni wykształcenie miało/ma pozytywny wpływ na ich zarobki.45" numFmtId="0">
      <sharedItems containsNonDate="0" containsString="0" containsBlank="1"/>
    </cacheField>
    <cacheField name="Efekty działań ocenianej uczelni na rzecz jakości edukacji mają dobry wpływ na rozwój regionu.46" numFmtId="0">
      <sharedItems containsNonDate="0" containsString="0" containsBlank="1"/>
    </cacheField>
    <cacheField name="Efekty działań ocenianej uczelni na rzecz jakości edukacji mają dobry wpływ na rozwój Polski.47" numFmtId="0">
      <sharedItems containsNonDate="0" containsString="0" containsBlank="1"/>
    </cacheField>
    <cacheField name="Współpraca ocenianej uczelni z biznesem ma pozytywne efekty dla rozwoju regionu / kraju.48" numFmtId="0">
      <sharedItems containsNonDate="0" containsString="0" containsBlank="1"/>
    </cacheField>
    <cacheField name="Ogólny poziom mojej satysfakcji z jakości usług edukacyjnych ocenianej uczelni jest wysoki.49" numFmtId="0">
      <sharedItems containsNonDate="0" containsString="0" containsBlank="1"/>
    </cacheField>
    <cacheField name="Jakie inne efekty pracy ocenianej uczelni dostrzegasz obecnie?50" numFmtId="0">
      <sharedItems containsNonDate="0" containsString="0" containsBlank="1"/>
    </cacheField>
    <cacheField name="Jakie, Twoim zdaniem, elementy decydują o tym, że uczelnie są lepsze lub gorsze." numFmtId="0">
      <sharedItems containsBlank="1" longText="1"/>
    </cacheField>
    <cacheField name="Kolumna51" numFmtId="0">
      <sharedItems containsBlank="1" longText="1"/>
    </cacheField>
    <cacheField name="Kolumna52" numFmtId="0">
      <sharedItems containsBlank="1"/>
    </cacheField>
    <cacheField name="Płeć" numFmtId="0">
      <sharedItems containsBlank="1" count="3">
        <s v="Kobieta"/>
        <s v="Mężczyzna"/>
        <m/>
      </sharedItems>
    </cacheField>
    <cacheField name="Rok urodzenia" numFmtId="0">
      <sharedItems containsBlank="1" containsMixedTypes="1" containsNumber="1" containsInteger="1" minValue="72" maxValue="2007"/>
    </cacheField>
    <cacheField name="Z jakiej wielkości miejscowości pochodzisz? (dotyczy miejscowości, w której się wychowałaś/eś" numFmtId="0">
      <sharedItems containsBlank="1"/>
    </cacheField>
    <cacheField name="Pole dodatkowe52" numFmtId="0">
      <sharedItems containsBlank="1"/>
    </cacheField>
    <cacheField name="Jakie inne wykształcenie poza tym uwzględnionym w niniejszej ankiecie posiadasz? (ukończone szkoły/studia)" numFmtId="0">
      <sharedItems containsBlank="1"/>
    </cacheField>
    <cacheField name="Jakie inne wykształcenie poza tym uwzględnionym w niniejszej ankiecie zdobywasz? (nieukończone jeszcze lub przerwane szkoły/studia)" numFmtId="0">
      <sharedItems containsBlank="1"/>
    </cacheField>
    <cacheField name="Dziękuję za czas poświęcony na wypełnienie niniejszej ankiety. _x000a_Jeśli masz uwagi to proszę zamieść je poniżej._x000a_Po zakończeniu udzielania odpowiedzi proszę o naciśnięcie przycisku &quot;Zakończ&quo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2"/>
    <n v="2"/>
    <n v="95"/>
    <s v="31.179.150.134"/>
    <s v="Link"/>
    <m/>
    <m/>
    <m/>
    <m/>
    <s v="Zakończono"/>
    <s v="2020-04-30 13:28:06"/>
    <s v="2020-04-30 13:54:19"/>
    <n v="1573"/>
    <n v="0"/>
    <s v="Tak (kontynuacja ankiety)"/>
    <x v="0"/>
    <m/>
    <m/>
    <m/>
    <m/>
    <m/>
    <m/>
    <m/>
    <m/>
    <m/>
    <m/>
    <m/>
    <m/>
    <m/>
    <m/>
    <m/>
    <x v="0"/>
    <s v="Akademia Muzyczna w Gdańsku"/>
    <n v="1986"/>
    <s v="nie"/>
    <s v="Wydział Instrumentalny - skrzypce"/>
    <s v="zgadzam się"/>
    <s v="zgadzam się"/>
    <s v="zgadzam się"/>
    <s v="ani się zgadzam, ani nie zgadzam"/>
    <s v="zgadzam się"/>
    <n v="3"/>
    <s v="do 1000 zł"/>
    <s v="powyżej 3000 zł, ale nie więcej niż 4000 zł"/>
    <s v="wrażliwość na sztukę i rozumienie problemów środowiska artystów"/>
    <s v="studiowałem kierunek zgodny z moją pasją"/>
    <s v="trudności lokalowe/brak sal do ćwiczenia"/>
    <s v="stacjonarne (dzienne) studia 2 stopnia (magisterskie)"/>
    <s v="jednolite studia magisterskie"/>
    <x v="0"/>
    <n v="2"/>
    <s v="Uniwersytet Warszawski"/>
    <n v="2013"/>
    <s v="nie"/>
    <s v="Prawo"/>
    <s v="raczej się zgadzam"/>
    <s v="zgadzam się"/>
    <s v="zgadzam się"/>
    <s v="zgadzam się"/>
    <s v="zgadzam się"/>
    <s v="jeszcze przed ukończeniem"/>
    <s v="umiejętność ścisłego (prawniczego) rozumowania"/>
    <s v="stacjonarne (dzienne) studia 2 stopnia (magisterskie)"/>
    <m/>
    <s v="SGH Zarządzanie i Marketing - studia podyplomowe"/>
    <s v="Tak (przejście do analogicznej części oceny dotyczącej drugiego podopiecznego)"/>
    <s v="Szkoła Główna Handlowa w Warszawie"/>
    <n v="2015"/>
    <s v="nie"/>
    <s v="Rachunkowość i Finanse"/>
    <s v="zgadzam się"/>
    <s v="zdecydowanie się zgadzam"/>
    <s v="zgadzam się"/>
    <s v="zgadzam się"/>
    <s v="zgadzam się"/>
    <s v="Jeszcze przed ukończeniem studiów"/>
    <s v="Opinia o uczelni jest pomocna w znalezieniu dobrej pracy"/>
    <s v="stacjonarne (dzienne) studia 1 stopnia (licencjackie / inżynierskie)"/>
    <m/>
    <m/>
    <s v="Nie (przejście do kolejnej części badania)"/>
    <m/>
    <m/>
    <m/>
    <m/>
    <m/>
    <m/>
    <m/>
    <m/>
    <m/>
    <m/>
    <m/>
    <m/>
    <m/>
    <m/>
    <x v="0"/>
    <m/>
    <m/>
    <m/>
    <m/>
    <m/>
    <m/>
    <m/>
    <m/>
    <m/>
    <x v="0"/>
    <m/>
    <m/>
    <m/>
    <m/>
    <m/>
    <m/>
    <m/>
    <m/>
    <m/>
    <x v="0"/>
    <m/>
    <m/>
    <m/>
    <s v="Członek rady uczelni"/>
    <s v="Akademia Muzyczna im. S.Moniuszki w Gdańsku"/>
    <s v="raczej się zgadzam"/>
    <s v="zgadzam się"/>
    <s v="ani się zgadzam, ani nie zgadzam"/>
    <s v="ani się zgadzam, ani nie zgadzam"/>
    <s v="raczej się zgadzam"/>
    <s v="raczej się zgadzam"/>
    <s v="zgadzam się"/>
    <n v="25"/>
    <n v="25"/>
    <n v="2"/>
    <n v="5"/>
    <n v="8"/>
    <n v="25"/>
    <n v="10"/>
    <m/>
    <n v="20"/>
    <n v="20"/>
    <n v="1"/>
    <n v="4"/>
    <n v="25"/>
    <n v="25"/>
    <n v="5"/>
    <m/>
    <x v="0"/>
    <s v="Tak"/>
    <n v="1"/>
    <s v="SGGW"/>
    <s v="zgadzam się"/>
    <s v="zgadzam się"/>
    <s v="ani się zgadzam, ani nie zgadzam"/>
    <s v="Nie"/>
    <s v="Znajomość branży i dokładność w wykonywaniu pracy"/>
    <s v="inżynierskie, kreślarskie, nadzór na budowie"/>
    <s v="Nie (przejście do kolejnej części badania)"/>
    <m/>
    <m/>
    <m/>
    <m/>
    <m/>
    <m/>
    <m/>
    <m/>
    <m/>
    <m/>
    <m/>
    <m/>
    <m/>
    <m/>
    <m/>
    <x v="0"/>
    <s v="nie dotyczy"/>
    <m/>
    <m/>
    <m/>
    <m/>
    <m/>
    <m/>
    <m/>
    <m/>
    <m/>
    <m/>
    <m/>
    <m/>
    <m/>
    <m/>
    <m/>
    <m/>
    <m/>
    <m/>
    <m/>
    <m/>
    <m/>
    <m/>
    <m/>
    <m/>
    <m/>
    <m/>
    <m/>
    <m/>
    <m/>
    <m/>
    <m/>
    <m/>
    <s v="poziom kadry pedagogicznej"/>
    <s v="wyniesiona wiedza"/>
    <s v="stosunek do pracy pracownika"/>
    <x v="0"/>
    <n v="1961"/>
    <s v="miasto wojewódzkie"/>
    <m/>
    <s v="Podyplomowe SGH"/>
    <m/>
    <m/>
  </r>
  <r>
    <n v="5"/>
    <n v="5"/>
    <n v="83"/>
    <s v="37.47.200.135"/>
    <s v="Link"/>
    <m/>
    <m/>
    <m/>
    <m/>
    <s v="Zakończono"/>
    <s v="2020-05-04 11:21:12"/>
    <s v="2020-05-04 11:48:51"/>
    <n v="1659"/>
    <n v="0"/>
    <s v="Tak (kontynuacja ankiety)"/>
    <x v="0"/>
    <m/>
    <m/>
    <m/>
    <m/>
    <m/>
    <m/>
    <m/>
    <m/>
    <m/>
    <m/>
    <m/>
    <m/>
    <m/>
    <m/>
    <m/>
    <x v="0"/>
    <s v="Uniwersytet Gdański"/>
    <n v="1999"/>
    <s v="nie"/>
    <s v="germanistyka"/>
    <s v="raczej się zgadzam"/>
    <s v="raczej się zgadzam"/>
    <s v="zgadzam się"/>
    <s v="zgadzam się"/>
    <s v="zdecydowanie się zgadzam"/>
    <s v="praca już przed ukończeniem studiów"/>
    <s v="powyżej 3000 zł, ale nie więcej niż 4000 zł"/>
    <s v="powyżej 4000 zł, ale nie więcej niż 5000 zł"/>
    <s v="dostęp do biblioteki fachowej"/>
    <s v="studia zaoczne"/>
    <s v="połowa zajęć - pedagodzy nieprzygotowani, zajęcia bezwartościowe"/>
    <s v="niestacjonarne (zaoczne) studia 2 stopnia (magisterskie)"/>
    <m/>
    <x v="0"/>
    <n v="3"/>
    <s v="Politechnika Gdańska"/>
    <n v="2011"/>
    <s v="tak"/>
    <s v="Zarządzanie i Marketing"/>
    <s v="zdecydowanie się zgadzam"/>
    <s v="zdecydowanie się zgadzam"/>
    <s v="zgadzam się"/>
    <s v="raczej się zgadzam"/>
    <s v="zgadzam się"/>
    <n v="1"/>
    <s v="szerokie poznanie branży"/>
    <s v="stacjonarne (dzienne) studia 2 stopnia (magisterskie)"/>
    <m/>
    <s v="szkoła muzyczna II st."/>
    <s v="Tak (przejście do analogicznej części oceny dotyczącej drugiego podopiecznego)"/>
    <s v="Akademia Muzyczna w Gdańsku"/>
    <n v="2011"/>
    <s v="nie"/>
    <s v="instrumentalistyka"/>
    <s v="ani się zgadzam, ani nie zgadzam"/>
    <s v="raczej się nie zgadzam"/>
    <s v="nie zgadzam się"/>
    <s v="raczej się nie zgadzam"/>
    <s v="raczej się zgadzam"/>
    <s v="praca przed ukończeniem studiów"/>
    <m/>
    <s v="stacjonarne (dzienne) studia 1 stopnia (licencjackie / inżynierskie)"/>
    <m/>
    <s v="szkoła muzyczna II st."/>
    <s v="Tak (przejście do analogicznej części oceny dotyczącej trzeciego podopiecznego)"/>
    <s v="Uniwersytet Gdański"/>
    <n v="2016"/>
    <s v="nie"/>
    <s v="logopedia"/>
    <s v="zdecydowanie się zgadzam"/>
    <s v="zdecydowanie się zgadzam"/>
    <s v="zdecydowanie się zgadzam"/>
    <s v="zgadzam się"/>
    <s v="zgadzam się"/>
    <n v="1"/>
    <s v="szeroka znajomość branży"/>
    <s v="stacjonarne (dzienne) studia 2 stopnia (magisterskie)"/>
    <m/>
    <s v="szkoła muzyczna II st."/>
    <x v="0"/>
    <m/>
    <m/>
    <m/>
    <m/>
    <m/>
    <m/>
    <m/>
    <m/>
    <m/>
    <x v="1"/>
    <s v="Akademia Muzyczna w Gdańsku"/>
    <s v="Studium Języków Obcych"/>
    <s v="raczej się zgadzam"/>
    <s v="zdecydowanie się zgadzam"/>
    <s v="zdecydowanie się zgadzam"/>
    <s v="ani się zgadzam, ani nie zgadzam"/>
    <s v="ani się zgadzam, ani nie zgadzam"/>
    <s v="ani się zgadzam, ani nie zgadzam"/>
    <s v="kontakty w branży, wyjazdy zagraniczne"/>
    <x v="1"/>
    <m/>
    <m/>
    <m/>
    <m/>
    <m/>
    <m/>
    <m/>
    <m/>
    <m/>
    <m/>
    <m/>
    <m/>
    <m/>
    <m/>
    <m/>
    <m/>
    <m/>
    <m/>
    <m/>
    <m/>
    <m/>
    <m/>
    <m/>
    <m/>
    <m/>
    <m/>
    <m/>
    <m/>
    <x v="1"/>
    <m/>
    <m/>
    <m/>
    <m/>
    <m/>
    <m/>
    <m/>
    <m/>
    <m/>
    <m/>
    <m/>
    <m/>
    <m/>
    <m/>
    <m/>
    <m/>
    <m/>
    <m/>
    <m/>
    <m/>
    <m/>
    <m/>
    <m/>
    <m/>
    <m/>
    <x v="0"/>
    <s v="nie dotyczy"/>
    <m/>
    <m/>
    <m/>
    <m/>
    <m/>
    <m/>
    <m/>
    <m/>
    <m/>
    <m/>
    <m/>
    <m/>
    <m/>
    <m/>
    <m/>
    <m/>
    <m/>
    <m/>
    <m/>
    <m/>
    <m/>
    <m/>
    <m/>
    <m/>
    <m/>
    <m/>
    <m/>
    <m/>
    <m/>
    <m/>
    <m/>
    <m/>
    <s v="szerokie i głębokie poznanie studiowanej dziedziny, wprowadzenie w środowisko zawodowe"/>
    <s v="wykształcenie komplementarne, tzn. bez braków w jakichś obszarach studiowanej dziedziny"/>
    <s v="niski poziom wymagań i uzyskanych kompetencji"/>
    <x v="0"/>
    <n v="1961"/>
    <s v="nieduże miasto powiatowe"/>
    <m/>
    <s v="Akademia Muzyczna - instrumentalistyka"/>
    <m/>
    <m/>
  </r>
  <r>
    <n v="130"/>
    <n v="79"/>
    <n v="81"/>
    <s v="81.190.71.209"/>
    <s v="Link"/>
    <s v="https://ankietaplus.pl/ankiety/analiza/wyniki-pojedyncze/13308"/>
    <m/>
    <m/>
    <m/>
    <s v="Zakończono"/>
    <s v="2020-11-20 00:05:15"/>
    <s v="2020-11-20 01:15:24"/>
    <n v="4209"/>
    <n v="0"/>
    <s v="Tak (kontynuacja ankiety)"/>
    <x v="0"/>
    <m/>
    <m/>
    <m/>
    <m/>
    <m/>
    <m/>
    <m/>
    <m/>
    <m/>
    <m/>
    <m/>
    <m/>
    <m/>
    <m/>
    <m/>
    <x v="0"/>
    <s v="Akademia Sztuk Pięknych w Łodzi"/>
    <n v="1985"/>
    <s v="nie"/>
    <s v="ASP"/>
    <s v="zgadzam się"/>
    <s v="zgadzam się"/>
    <s v="zdecydowanie się zgadzam"/>
    <s v="nie zgadzam się"/>
    <s v="nie zgadzam się"/>
    <n v="0"/>
    <s v="do 1000 zł"/>
    <s v="do 1000 zł"/>
    <s v="Uczelnia artystyczna dała możliwość budowania pozycji w środowisku artystycznym; elastyczność; umiejętność pracy w wielu dziedzinach"/>
    <s v=" "/>
    <s v=" "/>
    <s v="stacjonarne (dzienne) studia 2 stopnia (magisterskie)"/>
    <m/>
    <x v="0"/>
    <n v="2"/>
    <s v="ASP Łódź"/>
    <n v="2005"/>
    <s v="nie"/>
    <s v="Grafika artystyczna"/>
    <s v="zdecydowanie się zgadzam"/>
    <s v="zdecydowanie się zgadzam"/>
    <s v="zdecydowanie się zgadzam"/>
    <s v="nie zgadzam się"/>
    <s v="nie zgadzam się"/>
    <n v="0"/>
    <s v="kontakty, możliwości rozwoju"/>
    <s v="stacjonarne (dzienne) studia 2 stopnia (magisterskie)"/>
    <m/>
    <m/>
    <s v="Tak (przejście do analogicznej części oceny dotyczącej drugiego podopiecznego)"/>
    <s v="Akademia Muzyczna w Warszawie"/>
    <n v="2008"/>
    <s v="nie"/>
    <s v="Reżyseria dźwięku"/>
    <s v="zdecydowanie się zgadzam"/>
    <s v="zdecydowanie się zgadzam"/>
    <s v="zdecydowanie się zgadzam"/>
    <s v="raczej się nie zgadzam"/>
    <s v="raczej się zgadzam"/>
    <s v="założenie  własnej firmy zaraz po studiach"/>
    <s v="wejście w ciekawe środowisko; zaradność; dobre relacje; nagrody już podczas studiów; wsparcie uczelni dla działań w świecie"/>
    <s v="stacjonarne (dzienne) studia 2 stopnia (magisterskie)"/>
    <m/>
    <m/>
    <s v="Nie (przejście do kolejnej części badania)"/>
    <m/>
    <m/>
    <m/>
    <m/>
    <m/>
    <m/>
    <m/>
    <m/>
    <m/>
    <m/>
    <m/>
    <m/>
    <m/>
    <m/>
    <x v="0"/>
    <m/>
    <m/>
    <m/>
    <m/>
    <m/>
    <m/>
    <m/>
    <m/>
    <m/>
    <x v="0"/>
    <m/>
    <m/>
    <m/>
    <m/>
    <m/>
    <m/>
    <m/>
    <m/>
    <m/>
    <x v="0"/>
    <s v="Rektor / prorektor"/>
    <m/>
    <m/>
    <m/>
    <s v="ASP Łódź"/>
    <s v="zgadzam się"/>
    <s v="zgadzam się"/>
    <s v="zgadzam się"/>
    <s v="zgadzam się"/>
    <s v="zgadzam się"/>
    <s v="zdecydowanie się zgadzam"/>
    <s v="zgadzam się"/>
    <n v="20"/>
    <n v="5"/>
    <n v="0"/>
    <n v="30"/>
    <n v="25"/>
    <n v="10"/>
    <n v="10"/>
    <m/>
    <n v="10"/>
    <n v="5"/>
    <n v="0"/>
    <n v="25"/>
    <n v="25"/>
    <n v="5"/>
    <n v="30"/>
    <m/>
    <x v="1"/>
    <m/>
    <m/>
    <m/>
    <m/>
    <m/>
    <m/>
    <m/>
    <m/>
    <m/>
    <m/>
    <m/>
    <m/>
    <m/>
    <m/>
    <m/>
    <m/>
    <m/>
    <m/>
    <m/>
    <m/>
    <m/>
    <m/>
    <m/>
    <m/>
    <m/>
    <x v="0"/>
    <m/>
    <m/>
    <m/>
    <m/>
    <m/>
    <m/>
    <m/>
    <m/>
    <m/>
    <m/>
    <m/>
    <m/>
    <m/>
    <m/>
    <m/>
    <m/>
    <m/>
    <m/>
    <m/>
    <m/>
    <m/>
    <m/>
    <m/>
    <m/>
    <m/>
    <m/>
    <m/>
    <m/>
    <m/>
    <m/>
    <m/>
    <m/>
    <m/>
    <s v="mistrzowie, sprzęt, promocja uczelni (szczera, ale silna)"/>
    <s v=" "/>
    <s v=" "/>
    <x v="1"/>
    <n v="1958"/>
    <s v="miasto wojewódzkie"/>
    <m/>
    <m/>
    <m/>
    <m/>
  </r>
  <r>
    <n v="125"/>
    <n v="74"/>
    <n v="79"/>
    <s v="89.64.73.37"/>
    <s v="Link"/>
    <m/>
    <m/>
    <m/>
    <m/>
    <s v="Zakończono"/>
    <s v="2020-10-28 13:55:46"/>
    <s v="2020-10-28 14:12:08"/>
    <n v="982"/>
    <n v="0"/>
    <s v="Tak (kontynuacja ankiety)"/>
    <x v="0"/>
    <m/>
    <m/>
    <m/>
    <m/>
    <m/>
    <m/>
    <m/>
    <m/>
    <m/>
    <m/>
    <m/>
    <m/>
    <m/>
    <m/>
    <m/>
    <x v="0"/>
    <s v="Politechnika Gdańska"/>
    <n v="1978"/>
    <s v="nie"/>
    <s v="Fizyka techniczna (kierunek średniotechniczny, ale kończący się tytuł zawodowy magistra inzyniera"/>
    <s v="zdecydowanie się zgadzam"/>
    <s v="zdecydowanie się zgadzam"/>
    <s v="zdecydowanie się zgadzam"/>
    <s v="zgadzam się"/>
    <s v="zgadzam się"/>
    <s v="niezłocznie po uzyskaniu dyplomu"/>
    <s v="nie dotyczy"/>
    <s v="nie dotyczy"/>
    <s v="to były bardzo dobre studia, zgodne z moimi zainteresowaniami"/>
    <s v="świetni wykładowcy, elitarny kierunek kształcenia (30 studentów), atmosfera"/>
    <s v="nie dotyczy"/>
    <m/>
    <s v="5-letnie magisterskie"/>
    <x v="0"/>
    <n v="1"/>
    <s v="SWPS"/>
    <n v="2020"/>
    <s v="nie"/>
    <s v="Psychologia"/>
    <s v="nie dotyczy"/>
    <s v="nie dotyczy"/>
    <s v="nie dotyczy"/>
    <s v="nie dotyczy"/>
    <s v="nie dotyczy"/>
    <s v="pracowała w trakcie studiów"/>
    <s v="świetni wykładowcy"/>
    <s v="niestacjonarne (zaoczne) studia 2 stopnia (magisterskie)"/>
    <m/>
    <s v="PG/kierunek zarządzanie i marketing"/>
    <s v="Nie (przejście do kolejnej części badania)"/>
    <m/>
    <m/>
    <m/>
    <m/>
    <m/>
    <m/>
    <m/>
    <m/>
    <m/>
    <m/>
    <m/>
    <m/>
    <m/>
    <m/>
    <m/>
    <m/>
    <m/>
    <m/>
    <m/>
    <m/>
    <m/>
    <m/>
    <m/>
    <m/>
    <m/>
    <m/>
    <m/>
    <m/>
    <m/>
    <x v="0"/>
    <m/>
    <m/>
    <m/>
    <m/>
    <m/>
    <m/>
    <m/>
    <m/>
    <m/>
    <x v="1"/>
    <s v="Politechnika Gdańska"/>
    <s v="Wydział Zarządzania i Ekonomii"/>
    <s v="zdecydowanie się zgadzam"/>
    <s v="raczej się zgadzam"/>
    <s v="zgadzam się"/>
    <s v="zdecydowanie się zgadzam"/>
    <s v="zgadzam się"/>
    <s v="zgadzam się"/>
    <s v="kształtowanie otwartych postaw, przekazywanie solidnej wiedzy"/>
    <x v="0"/>
    <m/>
    <m/>
    <s v="Członek senatu"/>
    <m/>
    <s v="PG"/>
    <s v="zgadzam się"/>
    <s v="zgadzam się"/>
    <s v="zgadzam się"/>
    <s v="zgadzam się"/>
    <s v="raczej się zgadzam"/>
    <s v="raczej się zgadzam"/>
    <s v="raczej się zgadzam"/>
    <n v="25"/>
    <n v="10"/>
    <n v="0"/>
    <n v="10"/>
    <n v="25"/>
    <n v="15"/>
    <n v="15"/>
    <m/>
    <n v="10"/>
    <n v="10"/>
    <n v="0"/>
    <n v="10"/>
    <n v="50"/>
    <n v="10"/>
    <n v="10"/>
    <m/>
    <x v="1"/>
    <m/>
    <m/>
    <m/>
    <m/>
    <m/>
    <m/>
    <m/>
    <m/>
    <m/>
    <m/>
    <m/>
    <m/>
    <m/>
    <m/>
    <m/>
    <m/>
    <m/>
    <m/>
    <m/>
    <m/>
    <m/>
    <m/>
    <m/>
    <m/>
    <m/>
    <x v="0"/>
    <m/>
    <m/>
    <m/>
    <m/>
    <m/>
    <m/>
    <m/>
    <m/>
    <m/>
    <m/>
    <m/>
    <m/>
    <m/>
    <m/>
    <m/>
    <m/>
    <m/>
    <m/>
    <m/>
    <m/>
    <m/>
    <m/>
    <m/>
    <m/>
    <m/>
    <m/>
    <m/>
    <m/>
    <m/>
    <m/>
    <m/>
    <m/>
    <m/>
    <s v="studia są trudne, ale ciekawe; należne miejsce zajmuje trzecia misja, są uczelniami badawczymi"/>
    <s v="jestem dumny z pracy na PG"/>
    <s v="chciałbym, aby uczelnia była coraz bardziej otwarta na oczekiwania otoczenia i kreowała je"/>
    <x v="0"/>
    <s v="ankieta jest anonimowa"/>
    <s v="miasto wojewódzkie"/>
    <m/>
    <s v="stopnie naukowe dr i dr hab."/>
    <m/>
    <m/>
  </r>
  <r>
    <n v="91"/>
    <n v="55"/>
    <n v="77"/>
    <s v="83.23.232.192"/>
    <s v="Link"/>
    <m/>
    <m/>
    <m/>
    <m/>
    <s v="Zakończono"/>
    <s v="2020-06-28 09:50:26"/>
    <s v="2020-06-29 07:07:15"/>
    <n v="76609"/>
    <n v="0"/>
    <s v="Tak (kontynuacja ankiety)"/>
    <x v="0"/>
    <m/>
    <m/>
    <m/>
    <m/>
    <m/>
    <m/>
    <m/>
    <m/>
    <m/>
    <m/>
    <m/>
    <m/>
    <m/>
    <m/>
    <m/>
    <x v="0"/>
    <s v="Uniwersytet Gdański"/>
    <n v="1980"/>
    <s v="nie"/>
    <s v="filologia angielska"/>
    <s v="zdecydowanie się zgadzam"/>
    <s v="zdecydowanie się zgadzam"/>
    <s v="zgadzam się"/>
    <s v="raczej się nie zgadzam"/>
    <s v="raczej się nie zgadzam"/>
    <s v="12 miesięcy"/>
    <s v="powyżej 2000 zł, ale nie więcej niż 3000 zł"/>
    <s v="powyżej 2000 zł, ale nie więcej niż 3000 zł"/>
    <s v="wieksza róznorodność kierunków i oferowanych zajęć"/>
    <s v="znakomici wykladowcy"/>
    <s v="brak dostępu do dobrych publikacji/zbiorów bibliotecznych"/>
    <s v="stacjonarne (dzienne) studia 2 stopnia (magisterskie)"/>
    <m/>
    <x v="0"/>
    <n v="2"/>
    <s v="Uniwersytet Gdański"/>
    <n v="2009"/>
    <s v="nie"/>
    <s v="Politologia"/>
    <s v="zdecydowanie się zgadzam"/>
    <s v="zdecydowanie się zgadzam"/>
    <s v="zdecydowanie się zgadzam"/>
    <s v="raczej się nie zgadzam"/>
    <s v="raczej się nie zgadzam"/>
    <s v="12 miesiecy"/>
    <s v="rozwój intelektualny"/>
    <s v="stacjonarne (dzienne) studia 2 stopnia (magisterskie)"/>
    <m/>
    <s v="psychologia"/>
    <s v="Nie (przejście do kolejnej części badania)"/>
    <m/>
    <m/>
    <m/>
    <m/>
    <m/>
    <m/>
    <m/>
    <m/>
    <m/>
    <m/>
    <m/>
    <m/>
    <m/>
    <m/>
    <m/>
    <m/>
    <m/>
    <m/>
    <m/>
    <m/>
    <m/>
    <m/>
    <m/>
    <m/>
    <m/>
    <m/>
    <m/>
    <m/>
    <m/>
    <x v="1"/>
    <s v="Uniwersytet Gdański"/>
    <s v="Wydział Filologiczny"/>
    <s v="zdecydowanie się zgadzam"/>
    <s v="raczej się zgadzam"/>
    <s v="raczej się nie zgadzam"/>
    <s v="zdecydowanie się zgadzam"/>
    <s v="zdecydowanie się zgadzam"/>
    <s v="zdecydowanie się zgadzam"/>
    <s v="rozwój umiejętności społecznych"/>
    <x v="1"/>
    <s v="Uniwersytet Gdański"/>
    <s v="Wydział Filologiczny"/>
    <s v="zdecydowanie się zgadzam"/>
    <s v="raczej się zgadzam"/>
    <s v="raczej się nie zgadzam"/>
    <s v="zdecydowanie się zgadzam"/>
    <s v="zdecydowanie się zgadzam"/>
    <s v="zgadzam się"/>
    <s v="możliwość rozwoju społecznego"/>
    <x v="1"/>
    <m/>
    <m/>
    <m/>
    <m/>
    <m/>
    <m/>
    <m/>
    <m/>
    <m/>
    <m/>
    <m/>
    <m/>
    <m/>
    <m/>
    <m/>
    <m/>
    <m/>
    <m/>
    <m/>
    <m/>
    <m/>
    <m/>
    <m/>
    <m/>
    <m/>
    <m/>
    <m/>
    <m/>
    <x v="0"/>
    <s v="Nie"/>
    <n v="1"/>
    <s v="Uniwersytet Gdański"/>
    <s v="zdecydowanie się zgadzam"/>
    <s v="zdecydowanie się zgadzam"/>
    <s v="nie zgadzam się"/>
    <s v="Nie"/>
    <s v="umiejętność pracy naukowej"/>
    <s v="dydaktyka, publikacje naukowe"/>
    <s v="Nie (przejście do kolejnej części badania)"/>
    <m/>
    <m/>
    <m/>
    <m/>
    <m/>
    <m/>
    <m/>
    <m/>
    <m/>
    <m/>
    <m/>
    <m/>
    <m/>
    <m/>
    <m/>
    <x v="0"/>
    <s v="nie dotyczy"/>
    <m/>
    <s v="nie dotyczy"/>
    <m/>
    <m/>
    <m/>
    <m/>
    <m/>
    <m/>
    <m/>
    <m/>
    <m/>
    <m/>
    <m/>
    <m/>
    <m/>
    <m/>
    <m/>
    <m/>
    <m/>
    <m/>
    <m/>
    <m/>
    <m/>
    <m/>
    <m/>
    <m/>
    <m/>
    <m/>
    <m/>
    <m/>
    <m/>
    <m/>
    <s v="publikacje pracowników w renomowanych czasopismach naukowych"/>
    <s v="możliwość indywidualnego rozwoju i autonomia pracy"/>
    <s v="małe zarobki i konieczność pracy dodatkowej w innych uczelniach"/>
    <x v="1"/>
    <n v="1957"/>
    <s v="miasto wojewódzkie"/>
    <m/>
    <s v="dr hab."/>
    <m/>
    <m/>
  </r>
  <r>
    <n v="21"/>
    <n v="18"/>
    <n v="76"/>
    <s v="156.17.106.1"/>
    <s v="Link"/>
    <m/>
    <m/>
    <m/>
    <m/>
    <s v="Zakończono"/>
    <s v="2020-05-14 12:15:18"/>
    <s v="2020-05-14 13:45:56"/>
    <n v="5438"/>
    <n v="0"/>
    <s v="Tak (kontynuacja ankiety)"/>
    <x v="0"/>
    <m/>
    <m/>
    <m/>
    <m/>
    <m/>
    <m/>
    <m/>
    <m/>
    <m/>
    <m/>
    <m/>
    <m/>
    <m/>
    <m/>
    <m/>
    <x v="0"/>
    <s v="Akademia Sztuk Pięknych we Wrocławiu"/>
    <n v="1985"/>
    <s v="nie"/>
    <s v="malarstwo"/>
    <s v="zdecydowanie się zgadzam"/>
    <s v="zdecydowanie się zgadzam"/>
    <s v="raczej się nie zgadzam"/>
    <s v="nie zgadzam się"/>
    <s v="nie zgadzam się"/>
    <s v="po 3 miesiącach"/>
    <s v="do 1000 zł"/>
    <s v="do 1000 zł"/>
    <s v="jestem wszechstronnie wykwalifikowanym artystą plastykiem"/>
    <s v="miasto, uczelnia, środowisko, dydaktycy"/>
    <s v="brak"/>
    <s v="stacjonarne (dzienne) studia 1 stopnia (licencjackie / inżynierskie)"/>
    <m/>
    <x v="1"/>
    <m/>
    <m/>
    <m/>
    <m/>
    <m/>
    <m/>
    <m/>
    <m/>
    <m/>
    <m/>
    <m/>
    <m/>
    <m/>
    <m/>
    <m/>
    <m/>
    <m/>
    <m/>
    <m/>
    <m/>
    <m/>
    <m/>
    <m/>
    <m/>
    <m/>
    <m/>
    <m/>
    <m/>
    <m/>
    <m/>
    <m/>
    <m/>
    <m/>
    <m/>
    <m/>
    <m/>
    <m/>
    <m/>
    <m/>
    <m/>
    <m/>
    <m/>
    <m/>
    <m/>
    <m/>
    <x v="1"/>
    <s v="ASP we Wrocławiu"/>
    <s v="Wydział Malarstwa i Rzeźby"/>
    <s v="zdecydowanie się zgadzam"/>
    <s v="zdecydowanie się zgadzam"/>
    <s v="zdecydowanie się zgadzam"/>
    <s v="zdecydowanie się zgadzam"/>
    <s v="zdecydowanie się zgadzam"/>
    <s v="zdecydowanie się zgadzam"/>
    <s v="wszechstronne doświadczenie"/>
    <x v="1"/>
    <s v="ASP we Wrocławiu"/>
    <s v="Malarstwa i Rzeźby"/>
    <s v="zdecydowanie się zgadzam"/>
    <s v="zdecydowanie się zgadzam"/>
    <s v="zdecydowanie się zgadzam"/>
    <s v="zdecydowanie się zgadzam"/>
    <s v="zdecydowanie się zgadzam"/>
    <s v="zdecydowanie się zgadzam"/>
    <s v="wszechstronne wykształcenie"/>
    <x v="0"/>
    <s v="Rektor / prorektor"/>
    <m/>
    <m/>
    <m/>
    <s v="ASP"/>
    <s v="zdecydowanie się zgadzam"/>
    <s v="zdecydowanie się zgadzam"/>
    <s v="zdecydowanie się zgadzam"/>
    <s v="zdecydowanie się zgadzam"/>
    <s v="zdecydowanie się zgadzam"/>
    <s v="zdecydowanie się zgadzam"/>
    <s v="zdecydowanie się zgadzam"/>
    <n v="20"/>
    <n v="20"/>
    <n v="0"/>
    <n v="15"/>
    <n v="30"/>
    <n v="0"/>
    <n v="15"/>
    <m/>
    <n v="30"/>
    <n v="20"/>
    <n v="0"/>
    <n v="10"/>
    <n v="25"/>
    <n v="0"/>
    <n v="15"/>
    <m/>
    <x v="1"/>
    <s v="Tak"/>
    <s v="nie dotyczy"/>
    <m/>
    <m/>
    <m/>
    <m/>
    <m/>
    <m/>
    <m/>
    <m/>
    <m/>
    <m/>
    <m/>
    <m/>
    <m/>
    <m/>
    <m/>
    <m/>
    <m/>
    <m/>
    <m/>
    <m/>
    <m/>
    <m/>
    <m/>
    <x v="0"/>
    <s v="nie dotyczy"/>
    <m/>
    <s v="nie dotyczy"/>
    <m/>
    <m/>
    <m/>
    <m/>
    <m/>
    <m/>
    <m/>
    <m/>
    <m/>
    <m/>
    <m/>
    <m/>
    <m/>
    <m/>
    <m/>
    <m/>
    <m/>
    <m/>
    <m/>
    <m/>
    <m/>
    <m/>
    <m/>
    <m/>
    <m/>
    <m/>
    <m/>
    <m/>
    <m/>
    <m/>
    <s v="w uczelniach artystycznych nie występuje"/>
    <s v="poziom oceny parametrycznej, dotacja budżetowa"/>
    <s v="wysokość stypendiów studenckich i pomocy socjalnej"/>
    <x v="0"/>
    <n v="1960"/>
    <s v="duże miasto powiatowe"/>
    <m/>
    <m/>
    <m/>
    <m/>
  </r>
  <r>
    <n v="83"/>
    <n v="48"/>
    <n v="75"/>
    <s v="83.23.239.59"/>
    <s v="Link"/>
    <m/>
    <m/>
    <m/>
    <m/>
    <s v="Zakończono"/>
    <s v="2020-06-04 20:57:39"/>
    <s v="2020-06-04 21:52:51"/>
    <n v="3312"/>
    <n v="0"/>
    <s v="Tak (kontynuacja ankiety)"/>
    <x v="0"/>
    <m/>
    <m/>
    <m/>
    <m/>
    <m/>
    <m/>
    <m/>
    <m/>
    <m/>
    <m/>
    <m/>
    <m/>
    <m/>
    <m/>
    <m/>
    <x v="0"/>
    <s v="Politechnika Gdańska"/>
    <n v="1978"/>
    <s v="tak"/>
    <s v="Instytut Okrętowy"/>
    <s v="zdecydowanie się zgadzam"/>
    <s v="zdecydowanie się zgadzam"/>
    <s v="ani się zgadzam, ani nie zgadzam"/>
    <s v="zgadzam się"/>
    <s v="zgadzam się"/>
    <n v="2"/>
    <s v="powyżej 2000 zł, ale nie więcej niż 3000 zł"/>
    <s v="powyżej 4000 zł, ale nie więcej niż 5000 zł"/>
    <s v="wiedza techniczna"/>
    <s v="zainteresowanie kierunkiem ,towarzystwo"/>
    <s v="brak"/>
    <s v="stacjonarne (dzienne) studia 2 stopnia (magisterskie)"/>
    <m/>
    <x v="0"/>
    <n v="2"/>
    <s v="Politechnika Gdańska"/>
    <n v="2005"/>
    <s v="tak"/>
    <s v="Architektura"/>
    <s v="zgadzam się"/>
    <s v="zgadzam się"/>
    <s v="zdecydowanie się zgadzam"/>
    <s v="raczej się zgadzam"/>
    <s v="raczej się zgadzam"/>
    <n v="3"/>
    <s v="Wiedza zawodowa"/>
    <s v="stacjonarne (dzienne) studia 2 stopnia (magisterskie)"/>
    <m/>
    <s v="nie"/>
    <s v="Tak (przejście do analogicznej części oceny dotyczącej drugiego podopiecznego)"/>
    <s v="Politechnika Gdańska"/>
    <n v="2007"/>
    <s v="tak"/>
    <s v="Architektura"/>
    <s v="zgadzam się"/>
    <s v="zgadzam się"/>
    <s v="zgadzam się"/>
    <s v="raczej się zgadzam"/>
    <s v="raczej się zgadzam"/>
    <n v="3"/>
    <s v="nie"/>
    <s v="stacjonarne (dzienne) studia 2 stopnia (magisterskie)"/>
    <m/>
    <s v="nie"/>
    <s v="Nie (przejście do kolejnej części badania)"/>
    <m/>
    <m/>
    <m/>
    <m/>
    <m/>
    <m/>
    <m/>
    <m/>
    <m/>
    <m/>
    <m/>
    <m/>
    <m/>
    <m/>
    <x v="0"/>
    <m/>
    <m/>
    <m/>
    <m/>
    <m/>
    <m/>
    <m/>
    <m/>
    <m/>
    <x v="1"/>
    <s v="ASP w Gdańsku"/>
    <s v="Architektura i Wzornictwo"/>
    <s v="zgadzam się"/>
    <s v="zgadzam się"/>
    <s v="zgadzam się"/>
    <s v="zgadzam się"/>
    <s v="zgadzam się"/>
    <s v="raczej się zgadzam"/>
    <s v="trening mózgu, kontakt z ludźmi o podobnych zainteresowaniach"/>
    <x v="1"/>
    <m/>
    <m/>
    <m/>
    <m/>
    <m/>
    <m/>
    <m/>
    <m/>
    <m/>
    <m/>
    <m/>
    <m/>
    <m/>
    <m/>
    <m/>
    <m/>
    <m/>
    <m/>
    <m/>
    <m/>
    <m/>
    <m/>
    <m/>
    <m/>
    <m/>
    <m/>
    <m/>
    <m/>
    <x v="1"/>
    <s v="Nie"/>
    <s v="nie dotyczy"/>
    <m/>
    <m/>
    <m/>
    <m/>
    <m/>
    <m/>
    <m/>
    <m/>
    <m/>
    <m/>
    <m/>
    <m/>
    <m/>
    <m/>
    <m/>
    <m/>
    <m/>
    <m/>
    <m/>
    <m/>
    <m/>
    <m/>
    <m/>
    <x v="0"/>
    <s v="nie dotyczy"/>
    <m/>
    <s v="nie dotyczy"/>
    <m/>
    <m/>
    <m/>
    <m/>
    <m/>
    <m/>
    <m/>
    <m/>
    <m/>
    <m/>
    <m/>
    <m/>
    <m/>
    <m/>
    <m/>
    <m/>
    <m/>
    <m/>
    <m/>
    <m/>
    <m/>
    <m/>
    <m/>
    <m/>
    <m/>
    <m/>
    <m/>
    <m/>
    <m/>
    <m/>
    <s v="zawodowa sprawność absolwenta"/>
    <s v="profesjonalność"/>
    <s v="złe przygotowanie do zawodu"/>
    <x v="0"/>
    <n v="1954"/>
    <s v="miasto wojewódzkie"/>
    <m/>
    <s v="nie posiadam"/>
    <s v="nie studiuję"/>
    <m/>
  </r>
  <r>
    <n v="259"/>
    <n v="136"/>
    <n v="72"/>
    <s v="5.173.8.81"/>
    <s v="Link"/>
    <m/>
    <m/>
    <m/>
    <m/>
    <s v="Zakończono"/>
    <s v="2022-08-15 10:14:24"/>
    <s v="2022-08-15 10:33:35"/>
    <n v="1151"/>
    <n v="0"/>
    <s v="Tak (kontynuacja ankiety)"/>
    <x v="0"/>
    <m/>
    <m/>
    <m/>
    <m/>
    <m/>
    <m/>
    <m/>
    <m/>
    <m/>
    <m/>
    <m/>
    <m/>
    <m/>
    <m/>
    <m/>
    <x v="0"/>
    <s v="Uniwersytet Gdański"/>
    <n v="1987"/>
    <s v="nie"/>
    <s v="Ekonomia"/>
    <s v="nie dotyczy"/>
    <s v="nie dotyczy"/>
    <s v="nie dotyczy"/>
    <s v="nie dotyczy"/>
    <s v="nie dotyczy"/>
    <s v="brak odp."/>
    <s v="nie dotyczy"/>
    <s v="nie dotyczy"/>
    <m/>
    <s v=" "/>
    <s v=" "/>
    <s v="stacjonarne (dzienne) studia 2 stopnia (magisterskie)"/>
    <s v="jednolite magisterkie"/>
    <x v="0"/>
    <n v="3"/>
    <s v="Politechnika Gdańska"/>
    <n v="2020"/>
    <s v="tak"/>
    <s v="Robotyka"/>
    <s v="zgadzam się"/>
    <s v="raczej się zgadzam"/>
    <s v="zdecydowanie się zgadzam"/>
    <s v="zgadzam się"/>
    <s v="nie dotyczy"/>
    <s v="praca przed ukończeniem studió"/>
    <s v="w pracy 10% wiedzy wykorzystanej"/>
    <s v="stacjonarne (dzienne) studia 2 stopnia (magisterskie)"/>
    <m/>
    <m/>
    <s v="Tak (przejście do analogicznej części oceny dotyczącej drugiego podopiecznego)"/>
    <s v="Politechnika Gdańska"/>
    <n v="2013"/>
    <s v="tak"/>
    <s v="Matematyka"/>
    <s v="raczej się zgadzam"/>
    <s v="zgadzam się"/>
    <s v="raczej się zgadzam"/>
    <s v="raczej się zgadzam"/>
    <s v="raczej się zgadzam"/>
    <s v="praca przed ukończeniem studiów"/>
    <m/>
    <s v="stacjonarne (dzienne) studia 2 stopnia (magisterskie)"/>
    <m/>
    <s v="dodatkowy kurs pedagogiczny dający możliwość uczenia w szkole"/>
    <s v="Tak (przejście do analogicznej części oceny dotyczącej trzeciego podopiecznego)"/>
    <s v="Politechnika Gdańska"/>
    <n v="2016"/>
    <s v="tak"/>
    <s v="Inżynieria maszyn i urządzeń (ISCED '11 - 52)"/>
    <s v="ani się zgadzam, ani nie zgadzam"/>
    <s v="raczej się zgadzam"/>
    <s v="zgadzam się"/>
    <s v="zdecydowanie się zgadzam"/>
    <s v="zgadzam się"/>
    <s v="praca przed ukończeniem studiów"/>
    <s v="zwiększona wiedza techniczna"/>
    <s v="stacjonarne (dzienne) studia 2 stopnia (magisterskie)"/>
    <m/>
    <m/>
    <x v="0"/>
    <m/>
    <m/>
    <m/>
    <m/>
    <m/>
    <m/>
    <m/>
    <m/>
    <m/>
    <x v="0"/>
    <m/>
    <m/>
    <m/>
    <m/>
    <m/>
    <m/>
    <m/>
    <m/>
    <m/>
    <x v="1"/>
    <m/>
    <m/>
    <m/>
    <m/>
    <m/>
    <m/>
    <m/>
    <m/>
    <m/>
    <m/>
    <m/>
    <m/>
    <m/>
    <m/>
    <m/>
    <m/>
    <m/>
    <m/>
    <m/>
    <m/>
    <m/>
    <m/>
    <m/>
    <m/>
    <m/>
    <m/>
    <m/>
    <m/>
    <x v="1"/>
    <m/>
    <m/>
    <m/>
    <m/>
    <m/>
    <m/>
    <m/>
    <m/>
    <m/>
    <m/>
    <m/>
    <m/>
    <m/>
    <m/>
    <m/>
    <m/>
    <m/>
    <m/>
    <m/>
    <m/>
    <m/>
    <m/>
    <m/>
    <m/>
    <m/>
    <x v="0"/>
    <m/>
    <m/>
    <m/>
    <m/>
    <m/>
    <m/>
    <m/>
    <m/>
    <m/>
    <m/>
    <m/>
    <m/>
    <m/>
    <m/>
    <m/>
    <m/>
    <m/>
    <m/>
    <m/>
    <m/>
    <m/>
    <m/>
    <m/>
    <m/>
    <m/>
    <m/>
    <m/>
    <m/>
    <m/>
    <m/>
    <m/>
    <m/>
    <m/>
    <s v=" "/>
    <s v=" "/>
    <s v=" "/>
    <x v="0"/>
    <n v="1962"/>
    <s v="miasto wojewódzkie"/>
    <m/>
    <m/>
    <s v="studia doktoranckie"/>
    <s v="[03]"/>
  </r>
  <r>
    <n v="135"/>
    <n v="82"/>
    <n v="67"/>
    <s v="37.47.228.248"/>
    <s v="Link"/>
    <s v="https://ankietaplus.pl/ankiety/analiza/wyniki-zbiorcze/13308"/>
    <m/>
    <m/>
    <m/>
    <s v="Zakończono"/>
    <s v="2020-12-04 09:38:48"/>
    <s v="2020-12-04 10:14:15"/>
    <n v="2127"/>
    <n v="0"/>
    <s v="Tak (kontynuacja ankiety)"/>
    <x v="0"/>
    <m/>
    <m/>
    <m/>
    <m/>
    <m/>
    <m/>
    <m/>
    <m/>
    <m/>
    <m/>
    <m/>
    <m/>
    <m/>
    <m/>
    <m/>
    <x v="0"/>
    <s v="Politechnika Gdańska"/>
    <n v="1982"/>
    <s v="tak"/>
    <s v="budowa maszyn"/>
    <s v="zdecydowanie się zgadzam"/>
    <s v="zdecydowanie się zgadzam"/>
    <s v="zdecydowanie się zgadzam"/>
    <s v="zdecydowanie się zgadzam"/>
    <s v="zdecydowanie się zgadzam"/>
    <n v="0"/>
    <s v="powyżej 3000 zł, ale nie więcej niż 4000 zł"/>
    <s v="powyżej 5000 zł, ale nie więcej niż 6000 zł"/>
    <s v="Umiejętność budowania pozytywnych relacji, lepiej się dogadywać niż kłócić"/>
    <s v="ciągłość studiów, skrócone studia, duża intensywność; kompetentna dobra kadra; niezłościwi wykładowcy"/>
    <s v="brak"/>
    <m/>
    <s v="jednolite mgr-inż"/>
    <x v="0"/>
    <n v="1"/>
    <s v="SWPS"/>
    <n v="2011"/>
    <s v="nie"/>
    <s v="Psychologia"/>
    <s v="zdecydowanie się zgadzam"/>
    <s v="zdecydowanie się zgadzam"/>
    <s v="zdecydowanie się zgadzam"/>
    <s v="zdecydowanie się zgadzam"/>
    <s v="zdecydowanie się zgadzam"/>
    <s v="praca na już na studiach"/>
    <s v="uczelnia poszerzyła postrzeganie dziedziny w której zdobywała wiedzę - wiele zastosowań zdobytej wiedzy"/>
    <s v="stacjonarne (dzienne) studia 2 stopnia (magisterskie)"/>
    <m/>
    <s v="studia podyplomowe, robi doktorat"/>
    <s v="Nie (przejście do kolejnej części badania)"/>
    <m/>
    <m/>
    <m/>
    <m/>
    <m/>
    <m/>
    <m/>
    <m/>
    <m/>
    <m/>
    <m/>
    <m/>
    <m/>
    <m/>
    <m/>
    <m/>
    <m/>
    <m/>
    <m/>
    <m/>
    <m/>
    <m/>
    <m/>
    <m/>
    <m/>
    <m/>
    <m/>
    <m/>
    <m/>
    <x v="0"/>
    <m/>
    <m/>
    <m/>
    <m/>
    <m/>
    <m/>
    <m/>
    <m/>
    <m/>
    <x v="1"/>
    <s v="Politechnika Gdańska"/>
    <s v="Budowa Maszyn"/>
    <s v="zdecydowanie się zgadzam"/>
    <s v="zdecydowanie się zgadzam"/>
    <s v="zdecydowanie się zgadzam"/>
    <s v="zgadzam się"/>
    <s v="zdecydowanie się zgadzam"/>
    <s v="zdecydowanie się zgadzam"/>
    <s v="dodanie wiary w to, że polska gospodarka może się rozwinąć;"/>
    <x v="1"/>
    <m/>
    <m/>
    <m/>
    <m/>
    <m/>
    <m/>
    <m/>
    <m/>
    <m/>
    <m/>
    <m/>
    <m/>
    <m/>
    <m/>
    <m/>
    <m/>
    <m/>
    <m/>
    <m/>
    <m/>
    <m/>
    <m/>
    <m/>
    <m/>
    <m/>
    <m/>
    <m/>
    <m/>
    <x v="0"/>
    <s v="Tak"/>
    <n v="1"/>
    <s v="PG"/>
    <s v="zdecydowanie się zgadzam"/>
    <s v="zdecydowanie się zgadzam"/>
    <s v="ani się zgadzam, ani nie zgadzam"/>
    <s v="Tak"/>
    <s v="pracowitość, chęć rozwoju, umiejętność budowania relacji, umiejętność pracy w stresie i pod presją czasu"/>
    <s v="projektanci, nadzór, monterzy (serwis)"/>
    <s v="Nie (przejście do kolejnej części badania)"/>
    <m/>
    <m/>
    <m/>
    <m/>
    <m/>
    <m/>
    <m/>
    <m/>
    <m/>
    <m/>
    <m/>
    <m/>
    <m/>
    <m/>
    <m/>
    <x v="0"/>
    <m/>
    <m/>
    <m/>
    <m/>
    <m/>
    <m/>
    <m/>
    <m/>
    <m/>
    <m/>
    <m/>
    <m/>
    <m/>
    <m/>
    <m/>
    <m/>
    <m/>
    <m/>
    <m/>
    <m/>
    <m/>
    <m/>
    <m/>
    <m/>
    <m/>
    <m/>
    <m/>
    <m/>
    <m/>
    <m/>
    <m/>
    <m/>
    <m/>
    <s v="umiejętność współpracy przy budowaniu gospodarki"/>
    <s v="mentalność włądz uczelni nastawiona na współpracę, zrozumienie misji uczelni technicznej, któa ma pracowac dla gospodarki"/>
    <s v="brak zrozumienia potrzeb rozwojowych kraju z punktu widzenia rozwoju gospodarki"/>
    <x v="0"/>
    <s v="1956?"/>
    <s v="duże miasto powiatowe"/>
    <m/>
    <s v="doktorat, studium podyplomowe - podwyższanie trwałości maszyn"/>
    <s v="studia rolnicze"/>
    <m/>
  </r>
  <r>
    <n v="188"/>
    <n v="107"/>
    <n v="66"/>
    <s v="5.173.0.225"/>
    <s v="Link"/>
    <m/>
    <m/>
    <m/>
    <m/>
    <s v="Zakończono"/>
    <s v="2020-12-18 15:32:59"/>
    <s v="2020-12-18 16:02:47"/>
    <n v="1788"/>
    <n v="0"/>
    <s v="Tak (kontynuacja ankiety)"/>
    <x v="0"/>
    <m/>
    <m/>
    <m/>
    <m/>
    <m/>
    <m/>
    <m/>
    <m/>
    <m/>
    <m/>
    <m/>
    <m/>
    <m/>
    <m/>
    <m/>
    <x v="0"/>
    <s v="Politechnika Gdańska"/>
    <n v="1983"/>
    <s v="tak"/>
    <s v="BM"/>
    <s v="zgadzam się"/>
    <s v="zgadzam się"/>
    <s v="nie zgadzam się"/>
    <s v="zdecydowanie się nie zgadzam"/>
    <s v="raczej się zgadzam"/>
    <n v="36"/>
    <s v="nie dotyczy"/>
    <s v="nie dotyczy"/>
    <s v="nieporównywalnie wyższy poziom wiedzy niż mają obecni absolwenci"/>
    <s v="ciekawe zajęcia"/>
    <s v="?"/>
    <s v="stacjonarne (dzienne) studia 1 stopnia (licencjackie / inżynierskie)"/>
    <m/>
    <x v="0"/>
    <n v="3"/>
    <s v="Politechnika Gdańska"/>
    <n v="2019"/>
    <s v="tak"/>
    <s v="Mechaniczny"/>
    <s v="nie zgadzam się"/>
    <s v="raczej się nie zgadzam"/>
    <s v="raczej się zgadzam"/>
    <s v="ani się zgadzam, ani nie zgadzam"/>
    <s v="nie dotyczy"/>
    <s v="praca przed ukończeniem"/>
    <s v="kontakty z rówieśnikami"/>
    <s v="stacjonarne (dzienne) studia 2 stopnia (magisterskie)"/>
    <m/>
    <m/>
    <s v="Nie (przejście do kolejnej części badania)"/>
    <m/>
    <m/>
    <m/>
    <m/>
    <m/>
    <m/>
    <m/>
    <m/>
    <m/>
    <m/>
    <m/>
    <m/>
    <m/>
    <m/>
    <m/>
    <m/>
    <m/>
    <m/>
    <m/>
    <m/>
    <m/>
    <m/>
    <m/>
    <m/>
    <m/>
    <m/>
    <m/>
    <m/>
    <m/>
    <x v="0"/>
    <m/>
    <m/>
    <m/>
    <m/>
    <m/>
    <m/>
    <m/>
    <m/>
    <m/>
    <x v="0"/>
    <m/>
    <m/>
    <m/>
    <m/>
    <m/>
    <m/>
    <m/>
    <m/>
    <m/>
    <x v="1"/>
    <m/>
    <m/>
    <m/>
    <m/>
    <m/>
    <m/>
    <m/>
    <m/>
    <m/>
    <m/>
    <m/>
    <m/>
    <m/>
    <m/>
    <m/>
    <m/>
    <m/>
    <m/>
    <m/>
    <m/>
    <m/>
    <m/>
    <m/>
    <m/>
    <m/>
    <m/>
    <m/>
    <m/>
    <x v="0"/>
    <s v="Tak"/>
    <n v="2"/>
    <s v="PG"/>
    <s v="nie zgadzam się"/>
    <s v="nie zgadzam się"/>
    <s v="raczej się nie zgadzam"/>
    <s v="Tak"/>
    <s v="wiedza praktyczna"/>
    <s v="w zależności od umiejętności i wiedzy"/>
    <s v="Tak (przejście do analogicznej części oceny dotyczącej drugiej uczelni)"/>
    <s v="uniwersytet warmińsko-mazurski w olsztynie"/>
    <s v="zdecydowanie się nie zgadzam"/>
    <s v="zdecydowanie się nie zgadzam"/>
    <s v="nie zgadzam się"/>
    <s v="Tak"/>
    <s v="Umiejętność praktycznego zastosowania informacji (na uczelni obecnie wiedzy się nie zdobywa) uzyskanych w trakcie studiów"/>
    <s v="w zależności od umiejętności - od pracy fizycznej, poprzez proste zadania rysunkowe po projektowanie pod kierunkiem osoby coś potrafiącej"/>
    <s v="Nie (przejście do kolejnej części badania)"/>
    <m/>
    <m/>
    <m/>
    <m/>
    <m/>
    <m/>
    <m/>
    <x v="0"/>
    <m/>
    <m/>
    <m/>
    <m/>
    <m/>
    <m/>
    <m/>
    <m/>
    <m/>
    <m/>
    <m/>
    <m/>
    <m/>
    <m/>
    <m/>
    <m/>
    <m/>
    <m/>
    <m/>
    <m/>
    <m/>
    <m/>
    <m/>
    <m/>
    <m/>
    <m/>
    <m/>
    <m/>
    <m/>
    <m/>
    <m/>
    <m/>
    <m/>
    <s v="Jakość kadry dydaktycznej, ilość zajęć laboratoryjnych i praktycznych"/>
    <s v="Nic. Jestem zawiedziony tak bardzo niskim poziomem przygotowania absolwentów do pracy zawodowej"/>
    <s v="Stosowanie testowego sposobu oceny pozomu wiadomości studenta"/>
    <x v="0"/>
    <n v="1959"/>
    <s v="wieś"/>
    <m/>
    <s v="budowlane, elekrtyczne, elektroniczne - średnie"/>
    <s v="nie ma"/>
    <s v="Proszę nie wprowadzać w błąd, bo ankieta nie zajmuje min."/>
  </r>
  <r>
    <n v="260"/>
    <n v="137"/>
    <n v="66"/>
    <s v="5.173.8.81"/>
    <s v="Link"/>
    <m/>
    <m/>
    <m/>
    <m/>
    <s v="Zakończono"/>
    <s v="2022-08-15 10:35:41"/>
    <s v="2022-08-15 10:47:28"/>
    <n v="707"/>
    <n v="0"/>
    <s v="Tak (kontynuacja ankiety)"/>
    <x v="0"/>
    <m/>
    <m/>
    <m/>
    <m/>
    <m/>
    <m/>
    <m/>
    <m/>
    <m/>
    <m/>
    <m/>
    <m/>
    <m/>
    <m/>
    <m/>
    <x v="0"/>
    <s v="Politechnika Gdańska"/>
    <n v="1985"/>
    <s v="tak"/>
    <s v="architektura i budownictwo (ISCED '11 - 58)"/>
    <s v="zgadzam się"/>
    <s v="zgadzam się"/>
    <s v="ani się zgadzam, ani nie zgadzam"/>
    <s v="nie zgadzam się"/>
    <s v="zgadzam się"/>
    <s v="praca przed ukończeniem studiów"/>
    <s v="do 1000 zł"/>
    <s v="powyżej 5000 zł, ale nie więcej niż 6000 zł"/>
    <s v="umiejętności uczenia się, wnioskowania logicznego, tworzenia"/>
    <s v=" "/>
    <s v=" "/>
    <s v="stacjonarne (dzienne) studia 2 stopnia (magisterskie)"/>
    <s v="jednolite magisterskie"/>
    <x v="0"/>
    <n v="1"/>
    <s v="Politechnika Gdańska"/>
    <n v="2018"/>
    <s v="tak"/>
    <s v="inżynieria maszyn i urządzeń (ISCED '11 - 52)"/>
    <s v="ani się zgadzam, ani nie zgadzam"/>
    <s v="ani się zgadzam, ani nie zgadzam"/>
    <s v="raczej się nie zgadzam"/>
    <s v="raczej się zgadzam"/>
    <s v="nie dotyczy"/>
    <n v="12"/>
    <s v="wiedza teoretyczna, mało wiedzy praktycznej"/>
    <s v="stacjonarne (dzienne) studia 2 stopnia (magisterskie)"/>
    <m/>
    <m/>
    <s v="Nie (przejście do kolejnej części badania)"/>
    <m/>
    <m/>
    <m/>
    <m/>
    <m/>
    <m/>
    <m/>
    <m/>
    <m/>
    <m/>
    <m/>
    <m/>
    <m/>
    <m/>
    <m/>
    <m/>
    <m/>
    <m/>
    <m/>
    <m/>
    <m/>
    <m/>
    <m/>
    <m/>
    <m/>
    <m/>
    <m/>
    <m/>
    <m/>
    <x v="0"/>
    <m/>
    <m/>
    <m/>
    <m/>
    <m/>
    <m/>
    <m/>
    <m/>
    <m/>
    <x v="0"/>
    <m/>
    <m/>
    <m/>
    <m/>
    <m/>
    <m/>
    <m/>
    <m/>
    <m/>
    <x v="1"/>
    <m/>
    <m/>
    <m/>
    <m/>
    <m/>
    <m/>
    <m/>
    <m/>
    <m/>
    <m/>
    <m/>
    <m/>
    <m/>
    <m/>
    <m/>
    <m/>
    <m/>
    <m/>
    <m/>
    <m/>
    <m/>
    <m/>
    <m/>
    <m/>
    <m/>
    <m/>
    <m/>
    <m/>
    <x v="0"/>
    <s v="Tak"/>
    <n v="2"/>
    <s v="Politechnika Gdańska"/>
    <s v="ani się zgadzam, ani nie zgadzam"/>
    <s v="raczej się zgadzam"/>
    <s v="ani się zgadzam, ani nie zgadzam"/>
    <s v="Tak"/>
    <s v="Informatyka - umiejętności zawodowe, uczenie się, kreatywność"/>
    <s v="Informatyka, wsparcie techniczne"/>
    <s v="Tak (przejście do analogicznej części oceny dotyczącej drugiej uczelni)"/>
    <s v="Uniwersytet Gdański"/>
    <s v="raczej się zgadzam"/>
    <s v="raczej się zgadzam"/>
    <s v="ani się zgadzam, ani nie zgadzam"/>
    <s v="Tak"/>
    <s v="Kontakt z ludźmi, wiedza o zarządzaniu, uczenie się, kreatywność"/>
    <s v="Wdrażanie, sprzedaż, marketing"/>
    <s v="Nie (przejście do kolejnej części badania)"/>
    <m/>
    <m/>
    <m/>
    <m/>
    <m/>
    <m/>
    <m/>
    <x v="0"/>
    <m/>
    <m/>
    <m/>
    <m/>
    <m/>
    <m/>
    <m/>
    <m/>
    <m/>
    <m/>
    <m/>
    <m/>
    <m/>
    <m/>
    <m/>
    <m/>
    <m/>
    <m/>
    <m/>
    <m/>
    <m/>
    <m/>
    <m/>
    <m/>
    <m/>
    <m/>
    <m/>
    <m/>
    <m/>
    <m/>
    <m/>
    <m/>
    <m/>
    <s v=" "/>
    <s v=" "/>
    <s v=" "/>
    <x v="0"/>
    <n v="1959"/>
    <s v="miasto wojewódzkie"/>
    <m/>
    <s v="Podyplomowe - Zarządzanie"/>
    <m/>
    <s v="[A01]"/>
  </r>
  <r>
    <n v="11"/>
    <n v="10"/>
    <n v="62"/>
    <s v="83.23.251.56"/>
    <s v="Link"/>
    <m/>
    <m/>
    <m/>
    <m/>
    <s v="Zakończono"/>
    <s v="2020-05-06 08:27:07"/>
    <s v="2020-05-06 08:50:31"/>
    <n v="1404"/>
    <n v="0"/>
    <s v="Tak (kontynuacja ankiety)"/>
    <x v="0"/>
    <m/>
    <m/>
    <m/>
    <m/>
    <m/>
    <m/>
    <m/>
    <m/>
    <m/>
    <m/>
    <m/>
    <m/>
    <m/>
    <m/>
    <m/>
    <x v="0"/>
    <s v="Politechnika Gdańska"/>
    <n v="1986"/>
    <s v="tak"/>
    <s v="Technologia Maszyn"/>
    <s v="zgadzam się"/>
    <s v="zgadzam się"/>
    <s v="raczej się zgadzam"/>
    <s v="ani się zgadzam, ani nie zgadzam"/>
    <s v="ani się zgadzam, ani nie zgadzam"/>
    <n v="2"/>
    <s v="powyżej 2000 zł, ale nie więcej niż 3000 zł"/>
    <s v="powyżej 3000 zł, ale nie więcej niż 4000 zł"/>
    <s v="Rozumienie istoty rożnych zjawisk "/>
    <s v="Wysoki poziom kompetencji kadry"/>
    <s v="Brak skonkretyzowanych zainteresowań na pierwszych 2 latach studiów"/>
    <s v="stacjonarne (dzienne) studia 2 stopnia (magisterskie)"/>
    <m/>
    <x v="0"/>
    <n v="1"/>
    <s v="Uniwersytet Gdański"/>
    <n v="2011"/>
    <s v="nie"/>
    <s v="Biotechnologia"/>
    <s v="zgadzam się"/>
    <s v="zgadzam się"/>
    <s v="zdecydowanie się zgadzam"/>
    <s v="zdecydowanie się zgadzam"/>
    <s v="zdecydowanie się zgadzam"/>
    <n v="1"/>
    <s v="Dobre perspektywy rozwoju zawodowego, stabilność zatrudnienia"/>
    <s v="stacjonarne (dzienne) studia 2 stopnia (magisterskie)"/>
    <m/>
    <s v="Studia doktoranckie 2015"/>
    <s v="Nie (przejście do kolejnej części badania)"/>
    <m/>
    <m/>
    <m/>
    <m/>
    <m/>
    <m/>
    <m/>
    <m/>
    <m/>
    <m/>
    <m/>
    <m/>
    <m/>
    <m/>
    <m/>
    <m/>
    <m/>
    <m/>
    <m/>
    <m/>
    <m/>
    <m/>
    <m/>
    <m/>
    <m/>
    <m/>
    <m/>
    <m/>
    <m/>
    <x v="0"/>
    <m/>
    <m/>
    <m/>
    <m/>
    <m/>
    <m/>
    <m/>
    <m/>
    <m/>
    <x v="1"/>
    <s v="Politechnika Gdańska"/>
    <s v="Wydział Zarządzania i Ekonomii"/>
    <s v="zgadzam się"/>
    <s v="zgadzam się"/>
    <s v="raczej się zgadzam"/>
    <s v="zgadzam się"/>
    <s v="zgadzam się"/>
    <s v="zgadzam się"/>
    <s v="Wiarygodność, rzetelność kształcenia i dobry poziom badań naukowych"/>
    <x v="1"/>
    <m/>
    <m/>
    <m/>
    <m/>
    <m/>
    <m/>
    <m/>
    <m/>
    <m/>
    <m/>
    <m/>
    <m/>
    <m/>
    <m/>
    <m/>
    <m/>
    <m/>
    <m/>
    <m/>
    <m/>
    <m/>
    <m/>
    <m/>
    <m/>
    <m/>
    <m/>
    <m/>
    <m/>
    <x v="1"/>
    <s v="Nie"/>
    <s v="nie dotyczy"/>
    <m/>
    <m/>
    <m/>
    <m/>
    <m/>
    <m/>
    <m/>
    <m/>
    <m/>
    <m/>
    <m/>
    <m/>
    <m/>
    <m/>
    <m/>
    <m/>
    <m/>
    <m/>
    <m/>
    <m/>
    <m/>
    <m/>
    <m/>
    <x v="0"/>
    <s v="nie dotyczy"/>
    <m/>
    <s v="nie dotyczy"/>
    <m/>
    <m/>
    <m/>
    <m/>
    <m/>
    <m/>
    <m/>
    <m/>
    <m/>
    <m/>
    <m/>
    <m/>
    <m/>
    <m/>
    <m/>
    <m/>
    <m/>
    <m/>
    <m/>
    <m/>
    <m/>
    <m/>
    <m/>
    <m/>
    <m/>
    <m/>
    <m/>
    <m/>
    <m/>
    <m/>
    <s v="Dorobek i wiarygodność w ujęciu historycznym"/>
    <s v="szeroka oferta kierunków kształcenia, wysokie kwalifikacje kadry, kontakty z otoczeniem społeczno gospodarczym "/>
    <s v="zatory komunikacyjne, &quot;silosowość struktur zarządzania&quot;, podziały na grupy (kasty) pracowników, brak szacunku do opinii innych osób w zakresie podejmowania kluczowych decyzji  "/>
    <x v="0"/>
    <n v="1963"/>
    <s v="miasto wojewódzkie"/>
    <s v="Gdańsk"/>
    <s v="dr hab n. ekonomicznych dr nauk technicznych, magister inżynier mechanik"/>
    <s v="jw"/>
    <m/>
  </r>
  <r>
    <n v="257"/>
    <n v="134"/>
    <n v="61"/>
    <s v="5.173.8.81"/>
    <s v="Link"/>
    <m/>
    <m/>
    <m/>
    <m/>
    <s v="Zakończono"/>
    <s v="2022-08-15 09:35:07"/>
    <s v="2022-08-15 09:58:57"/>
    <n v="1430"/>
    <n v="0"/>
    <s v="Tak (kontynuacja ankiety)"/>
    <x v="0"/>
    <m/>
    <m/>
    <m/>
    <m/>
    <m/>
    <m/>
    <m/>
    <m/>
    <m/>
    <m/>
    <m/>
    <m/>
    <m/>
    <m/>
    <m/>
    <x v="0"/>
    <s v="Politechnika Gdańska"/>
    <n v="1989"/>
    <s v="tak"/>
    <s v="architektura i budownictwo (ISCED '11 - 58)"/>
    <s v="zgadzam się"/>
    <s v="zgadzam się"/>
    <s v="raczej się zgadzam"/>
    <s v="raczej się zgadzam"/>
    <s v="raczej się zgadzam"/>
    <n v="0"/>
    <s v="powyżej 4000 zł, ale nie więcej niż 5000 zł"/>
    <s v="powyżej 4000 zł, ale nie więcej niż 5000 zł"/>
    <s v="Ukierunkowanie w pracy samorządowej, kontakty, umiejętność myślenia, poszerzenie horyzontów (również pozaedukacyjnie)"/>
    <s v=" "/>
    <s v=" "/>
    <s v="stacjonarne (dzienne) studia 2 stopnia (magisterskie)"/>
    <s v="jednolite mgr-inż"/>
    <x v="0"/>
    <n v="1"/>
    <s v="Politechnika Gdańska"/>
    <n v="2016"/>
    <s v="tak"/>
    <s v="inż. energetyka ; mgr. wentylacje"/>
    <s v="zgadzam się"/>
    <s v="zgadzam się"/>
    <s v="ani się zgadzam, ani nie zgadzam"/>
    <s v="raczej się nie zgadzam"/>
    <s v="raczej się zgadzam"/>
    <s v="praca jeszcze przed ukończeniem studiów"/>
    <s v="umiejętność uczenia się, przebranżowienia, wiedza techniczna, umiejętność myślenia"/>
    <s v="stacjonarne (dzienne) studia 2 stopnia (magisterskie)"/>
    <m/>
    <m/>
    <s v="Nie (przejście do kolejnej części badania)"/>
    <m/>
    <m/>
    <m/>
    <m/>
    <m/>
    <m/>
    <m/>
    <m/>
    <m/>
    <m/>
    <m/>
    <m/>
    <m/>
    <m/>
    <m/>
    <m/>
    <m/>
    <m/>
    <m/>
    <m/>
    <m/>
    <m/>
    <m/>
    <m/>
    <m/>
    <m/>
    <m/>
    <m/>
    <m/>
    <x v="0"/>
    <m/>
    <m/>
    <m/>
    <m/>
    <m/>
    <m/>
    <m/>
    <m/>
    <m/>
    <x v="0"/>
    <m/>
    <m/>
    <m/>
    <m/>
    <m/>
    <m/>
    <m/>
    <m/>
    <m/>
    <x v="1"/>
    <m/>
    <m/>
    <m/>
    <m/>
    <m/>
    <m/>
    <m/>
    <m/>
    <m/>
    <m/>
    <m/>
    <m/>
    <m/>
    <m/>
    <m/>
    <m/>
    <m/>
    <m/>
    <m/>
    <m/>
    <m/>
    <m/>
    <m/>
    <m/>
    <m/>
    <m/>
    <m/>
    <m/>
    <x v="1"/>
    <m/>
    <m/>
    <m/>
    <m/>
    <m/>
    <m/>
    <m/>
    <m/>
    <m/>
    <m/>
    <m/>
    <m/>
    <m/>
    <m/>
    <m/>
    <m/>
    <m/>
    <m/>
    <m/>
    <m/>
    <m/>
    <m/>
    <m/>
    <m/>
    <m/>
    <x v="1"/>
    <s v="przedstawiciel władz gminy"/>
    <s v="Gmina Czersk"/>
    <n v="1"/>
    <s v="Politechnika Gdańska"/>
    <s v="zgadzam się"/>
    <s v="zgadzam się"/>
    <s v="zgadzam się"/>
    <s v="zgadzam się"/>
    <s v="zgadzam się"/>
    <s v="zgadzam się"/>
    <s v="zgadzam się"/>
    <m/>
    <s v="pozytywny wpływ na przedsięwzięcia w regionie, komunikacja, zagospodarowanie przestrzeni"/>
    <s v="Nie (przejście do kolejnej części badania)"/>
    <m/>
    <m/>
    <m/>
    <m/>
    <m/>
    <m/>
    <m/>
    <m/>
    <m/>
    <m/>
    <m/>
    <m/>
    <m/>
    <m/>
    <m/>
    <m/>
    <m/>
    <m/>
    <m/>
    <s v=" "/>
    <s v=" "/>
    <s v=" "/>
    <x v="0"/>
    <n v="1965"/>
    <s v="miasto gminne"/>
    <m/>
    <s v="Studia podyplomowe"/>
    <m/>
    <s v="B01"/>
  </r>
  <r>
    <n v="261"/>
    <n v="138"/>
    <n v="61"/>
    <s v="5.173.8.81"/>
    <s v="Link"/>
    <m/>
    <m/>
    <m/>
    <m/>
    <s v="Zakończono"/>
    <s v="2022-08-15 10:49:03"/>
    <s v="2022-08-15 10:59:19"/>
    <n v="616"/>
    <n v="0"/>
    <s v="Tak (kontynuacja ankiety)"/>
    <x v="0"/>
    <m/>
    <m/>
    <m/>
    <m/>
    <m/>
    <m/>
    <m/>
    <m/>
    <m/>
    <m/>
    <m/>
    <m/>
    <m/>
    <m/>
    <m/>
    <x v="0"/>
    <s v="Uniwersytet Gdański"/>
    <n v="1992"/>
    <s v="nie"/>
    <s v="Historia"/>
    <s v="zgadzam się"/>
    <s v="zdecydowanie się zgadzam"/>
    <s v="zgadzam się"/>
    <s v="ani się zgadzam, ani nie zgadzam"/>
    <s v="raczej się zgadzam"/>
    <n v="0"/>
    <s v="powyżej 1000 zł, ale nie więcej niż 2000 zł"/>
    <s v="powyżej 2000 zł, ale nie więcej niż 3000 zł"/>
    <s v="poszerzenie horyzontów, kontakt ze środowiskiem zawodowym"/>
    <s v=" "/>
    <s v=" "/>
    <s v="stacjonarne (dzienne) studia 2 stopnia (magisterskie)"/>
    <s v="jednolite magisterskie"/>
    <x v="0"/>
    <n v="1"/>
    <s v="Uniwersytet Jagielloński"/>
    <n v="2019"/>
    <s v="nie"/>
    <s v="Filologia polska"/>
    <s v="zdecydowanie się zgadzam"/>
    <s v="zdecydowanie się zgadzam"/>
    <s v="zdecydowanie się zgadzam"/>
    <s v="zdecydowanie się zgadzam"/>
    <s v="nie dotyczy"/>
    <s v="praca jeszcze przed ukończeniem studiów"/>
    <s v="kształtowanie poglądów; kontakty w środowisku zawodowym"/>
    <s v="stacjonarne (dzienne) studia 2 stopnia (magisterskie)"/>
    <m/>
    <s v="Podyplomowe - logopedia"/>
    <s v="Nie (przejście do kolejnej części badania)"/>
    <m/>
    <m/>
    <m/>
    <m/>
    <m/>
    <m/>
    <m/>
    <m/>
    <m/>
    <m/>
    <m/>
    <m/>
    <m/>
    <m/>
    <m/>
    <m/>
    <m/>
    <m/>
    <m/>
    <m/>
    <m/>
    <m/>
    <m/>
    <m/>
    <m/>
    <m/>
    <m/>
    <m/>
    <m/>
    <x v="0"/>
    <m/>
    <m/>
    <m/>
    <m/>
    <m/>
    <m/>
    <m/>
    <m/>
    <m/>
    <x v="0"/>
    <m/>
    <m/>
    <m/>
    <m/>
    <m/>
    <m/>
    <m/>
    <m/>
    <m/>
    <x v="1"/>
    <m/>
    <m/>
    <m/>
    <m/>
    <m/>
    <m/>
    <m/>
    <m/>
    <m/>
    <m/>
    <m/>
    <m/>
    <m/>
    <m/>
    <m/>
    <m/>
    <m/>
    <m/>
    <m/>
    <m/>
    <m/>
    <m/>
    <m/>
    <m/>
    <m/>
    <m/>
    <m/>
    <m/>
    <x v="1"/>
    <m/>
    <m/>
    <m/>
    <m/>
    <m/>
    <m/>
    <m/>
    <m/>
    <m/>
    <m/>
    <m/>
    <m/>
    <m/>
    <m/>
    <m/>
    <m/>
    <m/>
    <m/>
    <m/>
    <m/>
    <m/>
    <m/>
    <m/>
    <m/>
    <m/>
    <x v="1"/>
    <s v="przedstawiciel władz gminy"/>
    <s v="Rada gminy Czersk"/>
    <n v="1"/>
    <s v="Politechnika Gdańska"/>
    <s v="zgadzam się"/>
    <s v="zgadzam się"/>
    <s v="zdecydowanie się zgadzam"/>
    <s v="zdecydowanie się zgadzam"/>
    <s v="nie dotyczy"/>
    <s v="nie dotyczy"/>
    <s v="zdecydowanie się zgadzam"/>
    <m/>
    <m/>
    <s v="Nie (przejście do kolejnej części badania)"/>
    <m/>
    <m/>
    <m/>
    <m/>
    <m/>
    <m/>
    <m/>
    <m/>
    <m/>
    <m/>
    <m/>
    <m/>
    <m/>
    <m/>
    <m/>
    <m/>
    <m/>
    <m/>
    <m/>
    <s v=" "/>
    <s v=" "/>
    <s v=" "/>
    <x v="0"/>
    <n v="1968"/>
    <s v="miasto gminne"/>
    <m/>
    <s v="Podyplomowe - Zarządzanie"/>
    <m/>
    <s v="[A02]"/>
  </r>
  <r>
    <n v="8"/>
    <n v="8"/>
    <n v="58"/>
    <s v="94.172.217.53"/>
    <s v="Link"/>
    <m/>
    <m/>
    <m/>
    <m/>
    <s v="Zakończono"/>
    <s v="2020-05-04 18:33:10"/>
    <s v="2020-05-04 18:45:58"/>
    <n v="768"/>
    <n v="0"/>
    <s v="Tak (kontynuacja ankiety)"/>
    <x v="0"/>
    <m/>
    <m/>
    <m/>
    <m/>
    <m/>
    <m/>
    <m/>
    <m/>
    <m/>
    <m/>
    <m/>
    <m/>
    <m/>
    <m/>
    <m/>
    <x v="0"/>
    <s v="Uniwersytet Warszawski"/>
    <n v="1973"/>
    <s v="nie"/>
    <s v="Fuzyka"/>
    <s v="zdecydowanie się zgadzam"/>
    <s v="zdecydowanie się zgadzam"/>
    <s v="zgadzam się"/>
    <s v="zdecydowanie się nie zgadzam"/>
    <s v="zdecydowanie się nie zgadzam"/>
    <n v="0"/>
    <s v="do 1000 zł"/>
    <s v="do 1000 zł"/>
    <s v="Znajomość matematyki i fizyki, kreatywność w rozwiązywaniu problemów. "/>
    <s v="Satysfakcja z wysokiego poziomu studiów, reputacja uczelni, dobra atmosfera w relacjach z kolegami i kadrą. "/>
    <s v="Trudność zagadnień, słabe przygotowanie z liceum"/>
    <s v="stacjonarne (dzienne) studia 1 stopnia (licencjackie / inżynierskie)"/>
    <m/>
    <x v="0"/>
    <n v="3"/>
    <s v="Uniwersytet Warszawski"/>
    <s v="Nie wiem"/>
    <s v="nie"/>
    <s v="Politologia "/>
    <s v="zdecydowanie się zgadzam"/>
    <s v="zdecydowanie się zgadzam"/>
    <s v="nie zgadzam się"/>
    <s v="nie zgadzam się"/>
    <s v="nie zgadzam się"/>
    <n v="0"/>
    <s v="Reputacja, wysoki poziom nauczania, "/>
    <s v="stacjonarne (dzienne) studia 1 stopnia (licencjackie / inżynierskie)"/>
    <m/>
    <m/>
    <s v="Nie (przejście do kolejnej części badania)"/>
    <m/>
    <m/>
    <m/>
    <m/>
    <m/>
    <m/>
    <m/>
    <m/>
    <m/>
    <m/>
    <m/>
    <m/>
    <m/>
    <m/>
    <m/>
    <m/>
    <m/>
    <m/>
    <m/>
    <m/>
    <m/>
    <m/>
    <m/>
    <m/>
    <m/>
    <m/>
    <m/>
    <m/>
    <m/>
    <x v="0"/>
    <m/>
    <m/>
    <m/>
    <m/>
    <m/>
    <m/>
    <m/>
    <m/>
    <m/>
    <x v="1"/>
    <s v="SGH"/>
    <s v="Kolegium Analiz Ekonomicznych"/>
    <s v="zgadzam się"/>
    <s v="zgadzam się"/>
    <s v="zgadzam się"/>
    <s v="zgadzam się"/>
    <s v="zgadzam się"/>
    <s v="zgadzam się"/>
    <s v="Orientacja na rozwiązywanie problemów, postawa otwartości, szacunek dla warsztatu zawodowego "/>
    <x v="1"/>
    <m/>
    <m/>
    <m/>
    <m/>
    <m/>
    <m/>
    <m/>
    <m/>
    <m/>
    <m/>
    <m/>
    <m/>
    <m/>
    <m/>
    <m/>
    <m/>
    <m/>
    <m/>
    <m/>
    <m/>
    <m/>
    <m/>
    <m/>
    <m/>
    <m/>
    <m/>
    <m/>
    <m/>
    <x v="1"/>
    <s v="Nie"/>
    <s v="nie dotyczy"/>
    <m/>
    <m/>
    <m/>
    <m/>
    <m/>
    <m/>
    <m/>
    <m/>
    <m/>
    <m/>
    <m/>
    <m/>
    <m/>
    <m/>
    <m/>
    <m/>
    <m/>
    <m/>
    <m/>
    <m/>
    <m/>
    <m/>
    <m/>
    <x v="0"/>
    <s v="nie dotyczy"/>
    <m/>
    <s v="nie dotyczy"/>
    <m/>
    <m/>
    <m/>
    <m/>
    <m/>
    <m/>
    <m/>
    <m/>
    <m/>
    <m/>
    <m/>
    <m/>
    <m/>
    <m/>
    <m/>
    <m/>
    <m/>
    <m/>
    <m/>
    <m/>
    <m/>
    <m/>
    <m/>
    <m/>
    <m/>
    <m/>
    <m/>
    <m/>
    <m/>
    <m/>
    <s v="jakość badań, jakość kształcenia, sprawne zarządzanie"/>
    <s v="dobra infrastruktura dydaktyczna, dobre przygotowanie studentów, rosnące docenianie wartości osiągnięć naukowych, "/>
    <s v="mierne umiejętności władz akademickich "/>
    <x v="0"/>
    <n v="1950"/>
    <s v="miasto wojewódzkie"/>
    <m/>
    <m/>
    <m/>
    <m/>
  </r>
  <r>
    <n v="258"/>
    <n v="135"/>
    <n v="55"/>
    <s v="5.173.8.81"/>
    <s v="Link"/>
    <m/>
    <m/>
    <m/>
    <m/>
    <s v="Zakończono"/>
    <s v="2022-08-15 10:01:31"/>
    <s v="2022-08-15 10:13:32"/>
    <n v="721"/>
    <n v="0"/>
    <s v="Tak (kontynuacja ankiety)"/>
    <x v="0"/>
    <m/>
    <m/>
    <m/>
    <m/>
    <m/>
    <m/>
    <m/>
    <m/>
    <m/>
    <m/>
    <m/>
    <m/>
    <m/>
    <m/>
    <m/>
    <x v="0"/>
    <s v="Akademia Muzyczna w Gdańsku"/>
    <n v="1985"/>
    <s v="nie"/>
    <s v="Studia muzyczne, wydział instrumentalny"/>
    <s v="zdecydowanie się zgadzam"/>
    <s v="zdecydowanie się zgadzam"/>
    <s v="zgadzam się"/>
    <s v="raczej się nie zgadzam"/>
    <s v="raczej się nie zgadzam"/>
    <n v="4"/>
    <s v="powyżej 1000 zł, ale nie więcej niż 2000 zł"/>
    <s v="powyżej 1000 zł, ale nie więcej niż 2000 zł"/>
    <s v="praktyczne uprawianie zawodu muzyka; otoczenie, spotkane osobowości z różnych dziedzin"/>
    <s v=" "/>
    <s v=" "/>
    <s v="stacjonarne (dzienne) studia 2 stopnia (magisterskie)"/>
    <s v="jednolite magisterskie"/>
    <x v="1"/>
    <m/>
    <m/>
    <m/>
    <m/>
    <m/>
    <m/>
    <m/>
    <m/>
    <m/>
    <m/>
    <m/>
    <m/>
    <m/>
    <m/>
    <m/>
    <m/>
    <m/>
    <m/>
    <m/>
    <m/>
    <m/>
    <m/>
    <m/>
    <m/>
    <m/>
    <m/>
    <m/>
    <m/>
    <m/>
    <m/>
    <m/>
    <m/>
    <m/>
    <m/>
    <m/>
    <m/>
    <m/>
    <m/>
    <m/>
    <m/>
    <m/>
    <m/>
    <m/>
    <m/>
    <m/>
    <x v="0"/>
    <m/>
    <m/>
    <m/>
    <m/>
    <m/>
    <m/>
    <m/>
    <m/>
    <m/>
    <x v="0"/>
    <m/>
    <m/>
    <m/>
    <m/>
    <m/>
    <m/>
    <m/>
    <m/>
    <m/>
    <x v="0"/>
    <s v="Rektor / prorektor"/>
    <m/>
    <m/>
    <m/>
    <s v="Akademia Muzyczna w Gdańsku"/>
    <s v="raczej się zgadzam"/>
    <s v="raczej się zgadzam"/>
    <s v="raczej się zgadzam"/>
    <s v="nie dotyczy"/>
    <s v="nie dotyczy"/>
    <s v="nie dotyczy"/>
    <s v="raczej się zgadzam"/>
    <n v="20"/>
    <n v="60"/>
    <n v="0"/>
    <n v="0"/>
    <n v="0"/>
    <n v="20"/>
    <n v="0"/>
    <m/>
    <n v="20"/>
    <n v="60"/>
    <n v="0"/>
    <n v="0"/>
    <n v="0"/>
    <n v="20"/>
    <n v="0"/>
    <m/>
    <x v="1"/>
    <m/>
    <m/>
    <m/>
    <m/>
    <m/>
    <m/>
    <m/>
    <m/>
    <m/>
    <m/>
    <m/>
    <m/>
    <m/>
    <m/>
    <m/>
    <m/>
    <m/>
    <m/>
    <m/>
    <m/>
    <m/>
    <m/>
    <m/>
    <m/>
    <m/>
    <x v="0"/>
    <m/>
    <m/>
    <m/>
    <m/>
    <m/>
    <m/>
    <m/>
    <m/>
    <m/>
    <m/>
    <m/>
    <m/>
    <m/>
    <m/>
    <m/>
    <m/>
    <m/>
    <m/>
    <m/>
    <m/>
    <m/>
    <m/>
    <m/>
    <m/>
    <m/>
    <m/>
    <m/>
    <m/>
    <m/>
    <m/>
    <m/>
    <m/>
    <m/>
    <s v="  "/>
    <s v=" "/>
    <s v=" "/>
    <x v="0"/>
    <n v="1961"/>
    <s v="miasto wojewódzkie"/>
    <m/>
    <m/>
    <m/>
    <m/>
  </r>
  <r>
    <n v="70"/>
    <n v="39"/>
    <n v="54"/>
    <s v="188.147.109.77"/>
    <s v="Link"/>
    <m/>
    <m/>
    <m/>
    <m/>
    <s v="Zakończono"/>
    <s v="2020-05-18 00:00:06"/>
    <s v="2020-05-18 00:31:14"/>
    <n v="1868"/>
    <n v="0"/>
    <s v="Tak (kontynuacja ankiety)"/>
    <x v="0"/>
    <m/>
    <m/>
    <m/>
    <m/>
    <m/>
    <m/>
    <m/>
    <m/>
    <m/>
    <m/>
    <m/>
    <m/>
    <m/>
    <m/>
    <m/>
    <x v="0"/>
    <s v="Politechnika Gdańska"/>
    <n v="2008"/>
    <s v="tak"/>
    <s v="Architektura i Urbanistyka"/>
    <s v="raczej się zgadzam"/>
    <s v="ani się zgadzam, ani nie zgadzam"/>
    <s v="raczej się zgadzam"/>
    <s v="nie zgadzam się"/>
    <s v="nie zgadzam się"/>
    <s v="założenie własnej firmy"/>
    <s v="powyżej 1000 zł, ale nie więcej niż 2000 zł"/>
    <s v="powyżej 2000 zł, ale nie więcej niż 3000 zł"/>
    <s v="wiedza teoretyczna"/>
    <s v="Ludzie których poznałem, możliwość wyjazdu na erasmusa."/>
    <s v="Kompletny brak kontaktu z praktyką zawodową, biznesem."/>
    <s v="stacjonarne (dzienne) studia 1 stopnia (licencjackie / inżynierskie)"/>
    <m/>
    <x v="1"/>
    <m/>
    <m/>
    <m/>
    <m/>
    <m/>
    <m/>
    <m/>
    <m/>
    <m/>
    <m/>
    <m/>
    <m/>
    <m/>
    <m/>
    <m/>
    <m/>
    <m/>
    <m/>
    <m/>
    <m/>
    <m/>
    <m/>
    <m/>
    <m/>
    <m/>
    <m/>
    <m/>
    <m/>
    <m/>
    <m/>
    <m/>
    <m/>
    <m/>
    <m/>
    <m/>
    <m/>
    <m/>
    <m/>
    <m/>
    <m/>
    <m/>
    <m/>
    <m/>
    <m/>
    <m/>
    <x v="0"/>
    <m/>
    <m/>
    <m/>
    <m/>
    <m/>
    <m/>
    <m/>
    <m/>
    <m/>
    <x v="1"/>
    <s v="ASP w Gdańsku"/>
    <s v="Architektura i Wzornictwo"/>
    <s v="zgadzam się"/>
    <s v="raczej się zgadzam"/>
    <s v="ani się zgadzam, ani nie zgadzam"/>
    <s v="raczej się zgadzam"/>
    <s v="raczej się nie zgadzam"/>
    <s v="raczej się nie zgadzam"/>
    <s v="Rozwój zdolności manualnych, baza kontaktów."/>
    <x v="1"/>
    <m/>
    <m/>
    <m/>
    <m/>
    <m/>
    <m/>
    <m/>
    <m/>
    <m/>
    <m/>
    <m/>
    <m/>
    <m/>
    <m/>
    <m/>
    <m/>
    <m/>
    <m/>
    <m/>
    <m/>
    <m/>
    <m/>
    <m/>
    <m/>
    <m/>
    <m/>
    <m/>
    <m/>
    <x v="0"/>
    <s v="Nie"/>
    <n v="1"/>
    <s v="Akademia Sztuk Pięknych w Gdańsku"/>
    <s v="raczej się zgadzam"/>
    <s v="zgadzam się"/>
    <s v="nie zgadzam się"/>
    <s v="Tak"/>
    <s v="Znajomość sztuk projektowych, kontakt z klientem, sprzedaż."/>
    <s v="Projektowanie, sprzedaż."/>
    <s v="Nie (przejście do kolejnej części badania)"/>
    <m/>
    <m/>
    <m/>
    <m/>
    <m/>
    <m/>
    <m/>
    <m/>
    <m/>
    <m/>
    <m/>
    <m/>
    <m/>
    <m/>
    <m/>
    <x v="0"/>
    <s v="nie dotyczy"/>
    <m/>
    <s v="nie dotyczy"/>
    <m/>
    <m/>
    <m/>
    <m/>
    <m/>
    <m/>
    <m/>
    <m/>
    <m/>
    <m/>
    <m/>
    <m/>
    <m/>
    <m/>
    <m/>
    <m/>
    <m/>
    <m/>
    <m/>
    <m/>
    <m/>
    <m/>
    <m/>
    <m/>
    <m/>
    <m/>
    <m/>
    <m/>
    <m/>
    <m/>
    <s v="Zakres programu nauczania. Dostęp do praktyk zawodowych. Wyniki studentów w konkursach i prezentacja wybranych projektów uczelni na targach "/>
    <s v="Możliwość zdobywania wiedzy merytorycznej. Możliwości sprawdzenia kilku sposobów nauczania ( korzystając z erasmusa za granicą), Integracja społeczna wśród studentów."/>
    <s v="Brak praktyk zawodowych. Brak połączenia z biznesem. Brak kursów o wykorzystaniu wiedzy nabytej na uczelni podczas realnej pracy zawodowe lub prowadzenia własnej działalności."/>
    <x v="0"/>
    <n v="1983"/>
    <s v="miasto wojewódzkie"/>
    <m/>
    <s v="stopień doktora"/>
    <m/>
    <s v="Powodzenia;)"/>
  </r>
  <r>
    <n v="196"/>
    <n v="112"/>
    <n v="54"/>
    <s v="185.244.97.163"/>
    <s v="Link"/>
    <m/>
    <m/>
    <m/>
    <m/>
    <s v="Zakończono"/>
    <s v="2020-12-18 16:04:15"/>
    <s v="2020-12-18 16:14:29"/>
    <n v="614"/>
    <n v="0"/>
    <s v="Tak (kontynuacja ankiety)"/>
    <x v="0"/>
    <m/>
    <m/>
    <m/>
    <m/>
    <m/>
    <m/>
    <m/>
    <m/>
    <m/>
    <m/>
    <m/>
    <m/>
    <m/>
    <m/>
    <m/>
    <x v="0"/>
    <s v="Politechnika Gdańska"/>
    <n v="1991"/>
    <s v="tak"/>
    <s v="Budownictwo Lądowe"/>
    <s v="zgadzam się"/>
    <s v="zgadzam się"/>
    <s v="zgadzam się"/>
    <s v="nie dotyczy"/>
    <s v="nie dotyczy"/>
    <s v="założenie własnej firmy"/>
    <s v="nie dotyczy"/>
    <s v="nie dotyczy"/>
    <s v="sumienność, pracowitość, zdolność do poświęceń"/>
    <s v="studiowałem co lubię, bliskość uczelni"/>
    <s v="nie było takich cech"/>
    <s v="stacjonarne (dzienne) studia 1 stopnia (licencjackie / inżynierskie)"/>
    <m/>
    <x v="0"/>
    <n v="1"/>
    <s v="Politechnika Gdańska"/>
    <n v="2018"/>
    <s v="tak"/>
    <s v="Chemia"/>
    <s v="ani się zgadzam, ani nie zgadzam"/>
    <s v="ani się zgadzam, ani nie zgadzam"/>
    <s v="ani się zgadzam, ani nie zgadzam"/>
    <s v="ani się zgadzam, ani nie zgadzam"/>
    <s v="ani się zgadzam, ani nie zgadzam"/>
    <n v="1"/>
    <m/>
    <s v="stacjonarne (dzienne) studia 1 stopnia (licencjackie / inżynierskie)"/>
    <m/>
    <m/>
    <s v="Nie (przejście do kolejnej części badania)"/>
    <m/>
    <m/>
    <m/>
    <m/>
    <m/>
    <m/>
    <m/>
    <m/>
    <m/>
    <m/>
    <m/>
    <m/>
    <m/>
    <m/>
    <m/>
    <m/>
    <m/>
    <m/>
    <m/>
    <m/>
    <m/>
    <m/>
    <m/>
    <m/>
    <m/>
    <m/>
    <m/>
    <m/>
    <m/>
    <x v="0"/>
    <m/>
    <m/>
    <m/>
    <m/>
    <m/>
    <m/>
    <m/>
    <m/>
    <m/>
    <x v="0"/>
    <m/>
    <m/>
    <m/>
    <m/>
    <m/>
    <m/>
    <m/>
    <m/>
    <m/>
    <x v="1"/>
    <m/>
    <m/>
    <m/>
    <m/>
    <m/>
    <m/>
    <m/>
    <m/>
    <m/>
    <m/>
    <m/>
    <m/>
    <m/>
    <m/>
    <m/>
    <m/>
    <m/>
    <m/>
    <m/>
    <m/>
    <m/>
    <m/>
    <m/>
    <m/>
    <m/>
    <m/>
    <m/>
    <m/>
    <x v="0"/>
    <s v="Tak"/>
    <n v="1"/>
    <s v="Politechnika Gdańska"/>
    <s v="zdecydowanie się zgadzam"/>
    <s v="zdecydowanie się zgadzam"/>
    <s v="ani się zgadzam, ani nie zgadzam"/>
    <s v="Tak"/>
    <s v="umiejętność przyswajania wiedzy"/>
    <s v="programistyczne"/>
    <s v="Nie (przejście do kolejnej części badania)"/>
    <m/>
    <m/>
    <m/>
    <m/>
    <m/>
    <m/>
    <m/>
    <m/>
    <m/>
    <m/>
    <m/>
    <m/>
    <m/>
    <m/>
    <m/>
    <x v="0"/>
    <m/>
    <m/>
    <m/>
    <m/>
    <m/>
    <m/>
    <m/>
    <m/>
    <m/>
    <m/>
    <m/>
    <m/>
    <m/>
    <m/>
    <m/>
    <m/>
    <m/>
    <m/>
    <m/>
    <m/>
    <m/>
    <m/>
    <m/>
    <m/>
    <m/>
    <m/>
    <m/>
    <m/>
    <m/>
    <m/>
    <m/>
    <m/>
    <m/>
    <s v="uczenie obsługi narzędzi które sa przydatne w biznesie "/>
    <s v="zdolność do przyswajania wiedzy"/>
    <s v="nauka starych narzędzi"/>
    <x v="0"/>
    <n v="1966"/>
    <s v="miasto wojewódzkie"/>
    <m/>
    <m/>
    <m/>
    <m/>
  </r>
  <r>
    <n v="76"/>
    <n v="42"/>
    <n v="53"/>
    <s v="37.47.198.130"/>
    <s v="Link"/>
    <s v="https://ankietaplus.pl/ankiety/analiza/statystyki/13308"/>
    <m/>
    <m/>
    <m/>
    <s v="Zakończono"/>
    <s v="2020-05-24 12:31:37"/>
    <s v="2020-05-24 12:58:53"/>
    <n v="1636"/>
    <n v="0"/>
    <s v="Tak (kontynuacja ankiety)"/>
    <x v="0"/>
    <m/>
    <m/>
    <m/>
    <m/>
    <m/>
    <m/>
    <m/>
    <m/>
    <m/>
    <m/>
    <m/>
    <m/>
    <m/>
    <m/>
    <m/>
    <x v="0"/>
    <s v="AWFiS Gdańsk"/>
    <n v="2013"/>
    <s v="nie"/>
    <s v="Fizjoterapia"/>
    <s v="raczej się nie zgadzam"/>
    <s v="ani się zgadzam, ani nie zgadzam"/>
    <s v="raczej się zgadzam"/>
    <s v="zdecydowanie się nie zgadzam"/>
    <s v="nie zgadzam się"/>
    <n v="0"/>
    <s v="powyżej 1000 zł, ale nie więcej niż 2000 zł"/>
    <s v="powyżej 1000 zł, ale nie więcej niż 2000 zł"/>
    <s v="Wstęp do dalszego rozwoju, poprzez kursy doskonalące; poznanie świetnych ludzi - przyjaciół; stopień naukowy;"/>
    <s v="dobra atmosfera; otwartość nauczycieli do studentów; szacunek do studentów; możliwości płatnego stażu; bardzo duża ilość praktyk;"/>
    <s v="brak organizacji (brak informacji o odwoływanych zajęciach); złe warunki lokalowe; "/>
    <s v="stacjonarne (dzienne) studia 2 stopnia (magisterskie)"/>
    <m/>
    <x v="1"/>
    <m/>
    <m/>
    <m/>
    <m/>
    <m/>
    <m/>
    <m/>
    <m/>
    <m/>
    <m/>
    <m/>
    <m/>
    <m/>
    <m/>
    <m/>
    <m/>
    <m/>
    <m/>
    <m/>
    <m/>
    <m/>
    <m/>
    <m/>
    <m/>
    <m/>
    <m/>
    <m/>
    <m/>
    <m/>
    <m/>
    <m/>
    <m/>
    <m/>
    <m/>
    <m/>
    <m/>
    <m/>
    <m/>
    <m/>
    <m/>
    <m/>
    <m/>
    <m/>
    <m/>
    <m/>
    <x v="0"/>
    <m/>
    <m/>
    <m/>
    <m/>
    <m/>
    <m/>
    <m/>
    <m/>
    <m/>
    <x v="1"/>
    <s v="AWFiS Gdańsk"/>
    <s v="Wychowania Fizycznego"/>
    <s v="zdecydowanie się nie zgadzam"/>
    <s v="zgadzam się"/>
    <s v="zdecydowanie się nie zgadzam"/>
    <s v="nie zgadzam się"/>
    <s v="ani się zgadzam, ani nie zgadzam"/>
    <s v="ani się zgadzam, ani nie zgadzam"/>
    <s v="staże, praktyki"/>
    <x v="1"/>
    <m/>
    <m/>
    <m/>
    <m/>
    <m/>
    <m/>
    <m/>
    <m/>
    <m/>
    <m/>
    <m/>
    <m/>
    <m/>
    <m/>
    <m/>
    <m/>
    <m/>
    <m/>
    <m/>
    <m/>
    <m/>
    <m/>
    <m/>
    <m/>
    <m/>
    <m/>
    <m/>
    <m/>
    <x v="0"/>
    <s v="Nie"/>
    <n v="1"/>
    <s v="GUMed"/>
    <s v="zgadzam się"/>
    <s v="zgadzam się"/>
    <s v="nie zgadzam się"/>
    <s v="Tak"/>
    <s v="Praktyczne umiejętności, komunikacja z pacjentem, doświadczenie"/>
    <s v="fizjoterapeuci"/>
    <s v="Nie (przejście do kolejnej części badania)"/>
    <m/>
    <m/>
    <m/>
    <m/>
    <m/>
    <m/>
    <m/>
    <m/>
    <m/>
    <m/>
    <m/>
    <m/>
    <m/>
    <m/>
    <m/>
    <x v="0"/>
    <s v="nie dotyczy"/>
    <m/>
    <m/>
    <m/>
    <m/>
    <m/>
    <m/>
    <m/>
    <m/>
    <m/>
    <m/>
    <m/>
    <m/>
    <m/>
    <m/>
    <m/>
    <m/>
    <m/>
    <m/>
    <m/>
    <m/>
    <m/>
    <m/>
    <m/>
    <m/>
    <m/>
    <m/>
    <m/>
    <m/>
    <m/>
    <m/>
    <m/>
    <m/>
    <s v="kwalifikacje kadry nauczającej; ilość godzin praktyk; możliwość odbywania staży; dobra atmosfera"/>
    <s v="oferta edukacyjne, zajęcia praktyczne; możliwość zdobycia dodatkowych kwalifikacji podczas studiów (np. przygotowanie pedagogiczne); wyjazdy na obozy (np. narciarskie); możliwość udziału w projektach badawczych; "/>
    <s v="organizacja; realizacja nieprzydatnych przedmiotów; brak praktyk; niedostosowanie oferty do rynku pracy; "/>
    <x v="1"/>
    <n v="1988"/>
    <s v="nieduże miasto powiatowe"/>
    <m/>
    <s v="psychologia - magisterka; oligofrenopedagogika - kurs kwalifikacyjny (jak studia podyplomowe)"/>
    <m/>
    <s v="&lt;&lt;Burza&gt;&gt;"/>
  </r>
  <r>
    <n v="75"/>
    <n v="41"/>
    <n v="51"/>
    <s v="155.133.45.58"/>
    <s v="Link"/>
    <s v="https://poczta.interia.pl/"/>
    <m/>
    <m/>
    <m/>
    <s v="Zakończono"/>
    <s v="2020-05-21 20:01:36"/>
    <s v="2020-05-21 20:09:43"/>
    <n v="487"/>
    <n v="0"/>
    <s v="Tak (kontynuacja ankiety)"/>
    <x v="1"/>
    <s v="Akademia Muzyczna im. Stanisława Moniuszki w Gdańsku"/>
    <s v="nie"/>
    <s v="Kompozycja"/>
    <s v="nie zgadzam się"/>
    <s v="zdecydowanie się nie zgadzam"/>
    <s v="nie zgadzam się"/>
    <s v="założenie własnej firmy"/>
    <s v="powyżej 5000 zł, ale nie więcej niż 6000 zł"/>
    <s v="powyżej 10.000 zł"/>
    <s v="satysfakcja zawodowa, spełnienie artystyczne"/>
    <s v="porozumienie z pedagogiem"/>
    <s v="rywalizacja, niska jakość kształcenia"/>
    <s v="stacjonarne (dzienne) studia 2 stopnia (magisterskie)"/>
    <m/>
    <n v="2"/>
    <x v="0"/>
    <s v="Uniwersytet Gdański"/>
    <n v="2012"/>
    <s v="nie"/>
    <s v="filologia angielska"/>
    <s v="nie zgadzam się"/>
    <s v="nie zgadzam się"/>
    <s v="nie zgadzam się"/>
    <s v="zdecydowanie się nie zgadzam"/>
    <s v="nie zgadzam się"/>
    <s v="praca przed ukończeniem studiów"/>
    <s v="powyżej 2000 zł, ale nie więcej niż 3000 zł"/>
    <s v="powyżej 3000 zł, ale nie więcej niż 4000 zł"/>
    <s v="znajomość języka obcego"/>
    <s v="towarzystwo"/>
    <s v="niska jakość kształcenia, biurokracja"/>
    <s v="niestacjonarne (zaocz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jakość kształcenia, nastawienie pedagogów"/>
    <s v="zdolność do satysfakcjonującej pracy w zawodzie"/>
    <s v="nieporozumienie z pedagogiem, zacofanie uczelni"/>
    <x v="0"/>
    <n v="1990"/>
    <s v="miasto wojewódzkie"/>
    <m/>
    <s v="studia podyplomowe w zakresie biznesu"/>
    <s v="zagraniczne studium w zakresie kompozycji, studia magisterskie (zarządzanie przedsiębiorstwem)"/>
    <m/>
  </r>
  <r>
    <n v="84"/>
    <n v="49"/>
    <n v="49"/>
    <s v="5.173.165.128"/>
    <s v="Link"/>
    <m/>
    <m/>
    <m/>
    <m/>
    <s v="Zakończono"/>
    <s v="2020-06-06 23:24:32"/>
    <s v="2020-06-06 23:47:01"/>
    <n v="1349"/>
    <n v="0"/>
    <s v="Tak (kontynuacja ankiety)"/>
    <x v="1"/>
    <s v="SGGW"/>
    <s v="nie"/>
    <s v="Rolnictwo dla absolwentów kierunków nierolniczych "/>
    <s v="raczej się zgadzam"/>
    <s v="raczej się zgadzam"/>
    <s v="ani się zgadzam, ani nie zgadzam"/>
    <s v="założenie własnej firmy"/>
    <s v="do 1000 zł"/>
    <s v="powyżej 5000 zł, ale nie więcej niż 6000 zł"/>
    <s v="Uzyskanie uprawnień do posiadania ziemii "/>
    <s v="dogodne formy prowadzenia zajęć, bliskość uczelni "/>
    <s v="brak jasnej komunikacji oraz zdolności interpersonalnych u części wykładowców"/>
    <m/>
    <s v="Podyplomowe"/>
    <n v="2"/>
    <x v="0"/>
    <s v="SGH"/>
    <n v="2019"/>
    <s v="nie"/>
    <s v="finanse i rachunkowość "/>
    <s v="zgadzam się"/>
    <s v="zgadzam się"/>
    <s v="zdecydowanie się zgadzam"/>
    <s v="ani się zgadzam, ani nie zgadzam"/>
    <s v="zgadzam się"/>
    <s v="praca przed zakończeniem studiów "/>
    <s v="powyżej 2000 zł, ale nie więcej niż 3000 zł"/>
    <s v="powyżej 5000 zł, ale nie więcej niż 6000 zł"/>
    <s v="dyplomdobrze wygląda w CV, wysokie kompetencje językowe "/>
    <s v="kompetencja wykładowców, kadra z dużym doświadczeniem praktycznym "/>
    <s v="niewielka ilość zajęć praktycznych/ćwiczeń"/>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studenci, którzy decydują się na uczelnię przyjść, kadra, kontakty uczelni z biznesem "/>
    <s v="możliwości uczelni do stworzenia pomostu pomiędzy studiami a pracą, dostosowanie treści do potrzenych na rynku kompetencji"/>
    <s v="niski poziom zajęć, brak możlwiości rozwoju umiejętności praktycznych, niewłasciwej jakości kadra "/>
    <x v="0"/>
    <n v="1991"/>
    <s v="miasto gminne"/>
    <s v="Czersk"/>
    <s v="licencjat - studia pedagogiczne "/>
    <s v="brak"/>
    <m/>
  </r>
  <r>
    <n v="139"/>
    <n v="84"/>
    <n v="47"/>
    <s v="89.64.97.160"/>
    <s v="Link"/>
    <m/>
    <m/>
    <m/>
    <m/>
    <s v="Zakończono"/>
    <s v="2020-12-15 07:05:46"/>
    <s v="2020-12-15 07:15:04"/>
    <n v="558"/>
    <n v="0"/>
    <s v="Tak (kontynuacja ankiety)"/>
    <x v="1"/>
    <s v="Politechnika Gdańska"/>
    <s v="tak"/>
    <s v="Mechanika i budowa maszyn"/>
    <s v="raczej się zgadzam"/>
    <s v="raczej się nie zgadzam"/>
    <s v="zgadzam się"/>
    <s v="praca w momencie zakończenia studiów"/>
    <s v="powyżej 3000 zł, ale nie więcej niż 4000 zł"/>
    <s v="powyżej 5000 zł, ale nie więcej niż 6000 zł"/>
    <s v="Poprawy myślenia logicznego i poprawy zarządzania czasem"/>
    <s v="Podejście większości prowadzących, koledzy"/>
    <s v="Bałagan organizacyjny na uczelni"/>
    <s v="niestacjonarne (zaoczne) studia 2 stopnia (magisterskie)"/>
    <m/>
    <n v="2"/>
    <x v="0"/>
    <s v="Politechnika Gdańska"/>
    <n v="2015"/>
    <s v="tak"/>
    <s v="Mechatronika"/>
    <s v="raczej się zgadzam"/>
    <s v="raczej się nie zgadzam"/>
    <s v="raczej się zgadzam"/>
    <s v="raczej się zgadzam"/>
    <s v="raczej się zgadzam"/>
    <s v="praca przed ukończeniem studiów"/>
    <s v="powyżej 2000 zł, ale nie więcej niż 3000 zł"/>
    <s v="powyżej 3000 zł, ale nie więcej niż 4000 zł"/>
    <s v="żadnych"/>
    <s v="Podejście prowadzących i koledzy z roku."/>
    <s v="Bałagan organizacyjny szczególnie na początku roku akademickiego."/>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Współpraca z przemysłem i możliwość zatrudnienia - większa na lepszych uczelniach."/>
    <s v="Duży zasób biblioteki, łatwy kontakt, przejście w tryb edziekanatu bardzu ułatwił sprawy."/>
    <s v="Za dużo niepotrzebnych przedmiotów, za mało praktyki."/>
    <x v="0"/>
    <n v="1992"/>
    <s v="duże miasto powiatowe"/>
    <m/>
    <s v="Liceum"/>
    <s v="Żadne"/>
    <m/>
  </r>
  <r>
    <n v="30"/>
    <n v="21"/>
    <n v="46"/>
    <s v="192.166.202.46"/>
    <s v="Link"/>
    <m/>
    <m/>
    <m/>
    <m/>
    <s v="Zakończono"/>
    <s v="2020-05-16 15:39:07"/>
    <s v="2020-05-16 17:32:39"/>
    <n v="6812"/>
    <n v="0"/>
    <s v="Tak (kontynuacja ankiety)"/>
    <x v="0"/>
    <m/>
    <m/>
    <m/>
    <m/>
    <m/>
    <m/>
    <m/>
    <m/>
    <m/>
    <m/>
    <m/>
    <m/>
    <m/>
    <m/>
    <m/>
    <x v="0"/>
    <s v="Uniwersytet Jagielloński"/>
    <n v="2019"/>
    <s v="nie"/>
    <s v="filologia polska"/>
    <s v="zgadzam się"/>
    <s v="zgadzam się"/>
    <s v="zdecydowanie się zgadzam"/>
    <s v="zdecydowanie się zgadzam"/>
    <s v="nie dotyczy"/>
    <s v="praca przed ukończeniem studiów"/>
    <s v="powyżej 4000 zł, ale nie więcej niż 5000 zł"/>
    <s v="nie dotyczy"/>
    <s v="zupełna zmiana myślenia o świecie, poszerzenie horyzontów, nabranie szeregu umiejętności charakteryzujących filologa: formułowania myśli, pogłębionego czytania, sprawnego tworzenia i redagowania tekstów."/>
    <s v="elastyczny program studiów, dobrze wybrany kierunek, ciekawe zajęcia i wykłady, możliwości rozwoju na uczelni poza zajęciami"/>
    <s v="olbrzymi materiał - przede wszystkim lekturowy, czasami gorszy prowadzący (np. prowadzący wykłady zamiast ćwiczeń)"/>
    <s v="stacjonarne (dzienne) studia 2 stopnia (magisterskie)"/>
    <m/>
    <x v="1"/>
    <m/>
    <m/>
    <m/>
    <m/>
    <m/>
    <m/>
    <m/>
    <m/>
    <m/>
    <m/>
    <m/>
    <m/>
    <m/>
    <m/>
    <m/>
    <m/>
    <m/>
    <m/>
    <m/>
    <m/>
    <m/>
    <m/>
    <m/>
    <m/>
    <m/>
    <m/>
    <m/>
    <m/>
    <m/>
    <m/>
    <m/>
    <m/>
    <m/>
    <m/>
    <m/>
    <m/>
    <m/>
    <m/>
    <m/>
    <m/>
    <m/>
    <m/>
    <m/>
    <m/>
    <m/>
    <x v="1"/>
    <s v="Uniwersytet Jagielloński"/>
    <s v="Biuro Prasowe"/>
    <s v="zdecydowanie się zgadzam"/>
    <s v="zdecydowanie się zgadzam"/>
    <s v="zdecydowanie się zgadzam"/>
    <s v="zgadzam się"/>
    <s v="zgadzam się"/>
    <s v="zgadzam się"/>
    <s v="Możliwość uczenia się poprzez pracę w doświadczonych zespołach, możliwość współpracy międzynarodowej i z dużymi partnerami"/>
    <x v="0"/>
    <m/>
    <m/>
    <m/>
    <m/>
    <m/>
    <m/>
    <m/>
    <m/>
    <m/>
    <x v="1"/>
    <m/>
    <m/>
    <m/>
    <m/>
    <m/>
    <m/>
    <m/>
    <m/>
    <m/>
    <m/>
    <m/>
    <m/>
    <m/>
    <m/>
    <m/>
    <m/>
    <m/>
    <m/>
    <m/>
    <m/>
    <m/>
    <m/>
    <m/>
    <m/>
    <m/>
    <m/>
    <m/>
    <m/>
    <x v="1"/>
    <s v="Nie"/>
    <s v="nie dotyczy"/>
    <m/>
    <m/>
    <m/>
    <m/>
    <m/>
    <m/>
    <m/>
    <m/>
    <m/>
    <m/>
    <m/>
    <m/>
    <m/>
    <m/>
    <m/>
    <m/>
    <m/>
    <m/>
    <m/>
    <m/>
    <m/>
    <m/>
    <m/>
    <x v="0"/>
    <s v="nie dotyczy"/>
    <m/>
    <s v="nie dotyczy"/>
    <m/>
    <m/>
    <m/>
    <m/>
    <m/>
    <m/>
    <m/>
    <m/>
    <m/>
    <m/>
    <m/>
    <m/>
    <m/>
    <m/>
    <m/>
    <m/>
    <m/>
    <m/>
    <m/>
    <m/>
    <m/>
    <m/>
    <m/>
    <m/>
    <m/>
    <m/>
    <m/>
    <m/>
    <m/>
    <m/>
    <s v="dobór kadry, za prestiżem często idą finanse na badania naukowe, a więc jakość i ilośc badań naukowych"/>
    <s v="poczucie i wielokrotne zawodowe dowody uzyskania dobrego wykształcenia oraz fakt otrzymania pracy dzięki działalności podjętej na studiach"/>
    <s v="mocne zhierarchizowanie uczelni utrudniające czasem działalność poza zajęciami i uzyskanie odpowiedniego wsparcia"/>
    <x v="1"/>
    <n v="1994"/>
    <s v="miasto gminne"/>
    <m/>
    <s v="dyplom studiów podyplomowych"/>
    <s v="kolejne studia podyplomowe"/>
    <m/>
  </r>
  <r>
    <n v="74"/>
    <n v="40"/>
    <n v="46"/>
    <s v="153.19.40.3"/>
    <s v="Link"/>
    <m/>
    <m/>
    <m/>
    <m/>
    <s v="Zakończono"/>
    <s v="2020-05-20 11:42:44"/>
    <s v="2020-05-20 11:48:25"/>
    <n v="341"/>
    <n v="0"/>
    <s v="Tak (kontynuacja ankiety)"/>
    <x v="0"/>
    <m/>
    <m/>
    <m/>
    <m/>
    <m/>
    <m/>
    <m/>
    <m/>
    <m/>
    <m/>
    <m/>
    <m/>
    <m/>
    <m/>
    <m/>
    <x v="0"/>
    <s v="Uniwersytet Gdański"/>
    <n v="2007"/>
    <s v="nie"/>
    <s v="Politologia"/>
    <s v="nie zgadzam się"/>
    <s v="zdecydowanie się nie zgadzam"/>
    <s v="raczej się nie zgadzam"/>
    <s v="raczej się zgadzam"/>
    <s v="zgadzam się"/>
    <s v="praca przed ukończeniem studiów"/>
    <s v="powyżej 2000 zł, ale nie więcej niż 3000 zł"/>
    <s v="powyżej 3000 zł, ale nie więcej niż 4000 zł"/>
    <s v="otwartość umysłu"/>
    <s v="inni ludzie, wykładowcy, kontakty"/>
    <s v="lokalizacja, wykładowcy, tematyka, organizacja studiów"/>
    <s v="stacjonarne (dzienne) studia 1 stopnia (licencjackie / inżynierskie)"/>
    <m/>
    <x v="1"/>
    <m/>
    <m/>
    <m/>
    <m/>
    <m/>
    <m/>
    <m/>
    <m/>
    <m/>
    <m/>
    <m/>
    <m/>
    <m/>
    <m/>
    <m/>
    <m/>
    <m/>
    <m/>
    <m/>
    <m/>
    <m/>
    <m/>
    <m/>
    <m/>
    <m/>
    <m/>
    <m/>
    <m/>
    <m/>
    <m/>
    <m/>
    <m/>
    <m/>
    <m/>
    <m/>
    <m/>
    <m/>
    <m/>
    <m/>
    <m/>
    <m/>
    <m/>
    <m/>
    <m/>
    <m/>
    <x v="1"/>
    <s v="Politechnika Gdańska"/>
    <s v="Centrala"/>
    <s v="zgadzam się"/>
    <s v="zgadzam się"/>
    <s v="zdecydowanie się zgadzam"/>
    <s v="zdecydowanie się zgadzam"/>
    <s v="zgadzam się"/>
    <s v="zgadzam się"/>
    <s v="prestiż, tradycja akademicka"/>
    <x v="0"/>
    <m/>
    <m/>
    <m/>
    <m/>
    <m/>
    <m/>
    <m/>
    <m/>
    <m/>
    <x v="1"/>
    <m/>
    <m/>
    <m/>
    <m/>
    <m/>
    <m/>
    <m/>
    <m/>
    <m/>
    <m/>
    <m/>
    <m/>
    <m/>
    <m/>
    <m/>
    <m/>
    <m/>
    <m/>
    <m/>
    <m/>
    <m/>
    <m/>
    <m/>
    <m/>
    <m/>
    <m/>
    <m/>
    <m/>
    <x v="1"/>
    <s v="Tak"/>
    <s v="nie dotyczy"/>
    <m/>
    <m/>
    <m/>
    <m/>
    <m/>
    <m/>
    <m/>
    <m/>
    <m/>
    <m/>
    <m/>
    <m/>
    <m/>
    <m/>
    <m/>
    <m/>
    <m/>
    <m/>
    <m/>
    <m/>
    <m/>
    <m/>
    <m/>
    <x v="0"/>
    <s v="nie dotyczy"/>
    <m/>
    <s v="nie dotyczy"/>
    <m/>
    <m/>
    <m/>
    <m/>
    <m/>
    <m/>
    <m/>
    <m/>
    <m/>
    <m/>
    <m/>
    <m/>
    <m/>
    <m/>
    <m/>
    <m/>
    <m/>
    <m/>
    <m/>
    <m/>
    <m/>
    <m/>
    <m/>
    <m/>
    <m/>
    <m/>
    <m/>
    <m/>
    <m/>
    <m/>
    <s v="kadra, infrastruktura"/>
    <s v="jakość kształcenia"/>
    <s v="lokalizacja, infrastruktura"/>
    <x v="0"/>
    <n v="1983"/>
    <s v="duże miasto powiatowe"/>
    <m/>
    <s v="Dr"/>
    <s v="-"/>
    <m/>
  </r>
  <r>
    <n v="88"/>
    <n v="53"/>
    <n v="46"/>
    <s v="81.190.56.54"/>
    <s v="Link"/>
    <s v="https://ankietaplus.pl/ankiety/analiza/wyniki-pojedyncze/13308"/>
    <m/>
    <m/>
    <m/>
    <s v="Zakończono"/>
    <s v="2020-06-08 03:21:44"/>
    <s v="2020-06-08 03:45:22"/>
    <n v="1418"/>
    <n v="0"/>
    <s v="Tak (kontynuacja ankiety)"/>
    <x v="0"/>
    <m/>
    <m/>
    <m/>
    <m/>
    <m/>
    <m/>
    <m/>
    <m/>
    <m/>
    <m/>
    <m/>
    <m/>
    <m/>
    <m/>
    <m/>
    <x v="0"/>
    <s v="Politechnika Gdańska"/>
    <n v="1975"/>
    <s v="tak"/>
    <s v="Materiałoznawstwo"/>
    <s v="zgadzam się"/>
    <s v="raczej się zgadzam"/>
    <s v="zgadzam się"/>
    <s v="raczej się zgadzam"/>
    <s v="raczej się zgadzam"/>
    <s v="0 (stypendium fundowane)"/>
    <s v="powyżej 3000 zł, ale nie więcej niż 4000 zł"/>
    <s v="powyżej 3000 zł, ale nie więcej niż 4000 zł"/>
    <m/>
    <s v="-"/>
    <s v="-"/>
    <s v="stacjonarne (dzienne) studia 2 stopnia (magisterskie)"/>
    <m/>
    <x v="0"/>
    <n v="1"/>
    <s v="Politechnika Gdańska"/>
    <n v="2011"/>
    <s v="tak"/>
    <s v="Biotechnologia"/>
    <s v="raczej się zgadzam"/>
    <s v="zgadzam się"/>
    <s v="nie zgadzam się"/>
    <s v="nie dotyczy"/>
    <s v="nie dotyczy"/>
    <s v="nie pracuje / inne"/>
    <s v="wyższa ocena, większa wiedza"/>
    <s v="stacjonarne (dzienne) studia 2 stopnia (magisterskie)"/>
    <s v="jednolite"/>
    <m/>
    <s v="Nie (przejście do kolejnej części badania)"/>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
    <s v="-"/>
    <s v="-"/>
    <x v="1"/>
    <n v="1950"/>
    <s v="miasto wojewódzkie"/>
    <m/>
    <m/>
    <m/>
    <m/>
  </r>
  <r>
    <n v="93"/>
    <n v="56"/>
    <n v="46"/>
    <s v="176.221.122.237"/>
    <s v="Link"/>
    <m/>
    <m/>
    <m/>
    <m/>
    <s v="Zakończono"/>
    <s v="2020-07-23 09:43:23"/>
    <s v="2020-07-23 09:50:54"/>
    <n v="451"/>
    <n v="0"/>
    <s v="Tak (kontynuacja ankiety)"/>
    <x v="0"/>
    <m/>
    <m/>
    <m/>
    <m/>
    <m/>
    <m/>
    <m/>
    <m/>
    <m/>
    <m/>
    <m/>
    <m/>
    <m/>
    <m/>
    <m/>
    <x v="0"/>
    <s v="Uniwersytet Gdański"/>
    <n v="2004"/>
    <s v="nie"/>
    <s v="Informatyka z Ekonometrią"/>
    <s v="zgadzam się"/>
    <s v="zgadzam się"/>
    <s v="zgadzam się"/>
    <s v="zgadzam się"/>
    <s v="zdecydowanie się zgadzam"/>
    <s v="praca przed ukończeniem studiów"/>
    <s v="powyżej 2000 zł, ale nie więcej niż 3000 zł"/>
    <s v="powyżej 8000 zł, ale nie więcej niż 9000 zł"/>
    <s v="ogolna wiedza z obszaru IT"/>
    <s v="wyklady zwiazane z konkretnimi umiejetnosciami - programowanim, bazami danych, sieciami itp."/>
    <s v="masa niepotrzebnych przedmiotów tzw &quot;ogolnych&quot;"/>
    <s v="stacjonarne (dzienne) studia 2 stopnia (magisterskie)"/>
    <m/>
    <x v="1"/>
    <m/>
    <m/>
    <m/>
    <m/>
    <m/>
    <m/>
    <m/>
    <m/>
    <m/>
    <m/>
    <m/>
    <m/>
    <m/>
    <m/>
    <m/>
    <m/>
    <m/>
    <m/>
    <m/>
    <m/>
    <m/>
    <m/>
    <m/>
    <m/>
    <m/>
    <m/>
    <m/>
    <m/>
    <m/>
    <m/>
    <m/>
    <m/>
    <m/>
    <m/>
    <m/>
    <m/>
    <m/>
    <m/>
    <m/>
    <m/>
    <m/>
    <m/>
    <m/>
    <m/>
    <m/>
    <x v="0"/>
    <m/>
    <m/>
    <m/>
    <m/>
    <m/>
    <m/>
    <m/>
    <m/>
    <m/>
    <x v="0"/>
    <m/>
    <m/>
    <m/>
    <m/>
    <m/>
    <m/>
    <m/>
    <m/>
    <m/>
    <x v="1"/>
    <m/>
    <m/>
    <m/>
    <m/>
    <m/>
    <m/>
    <m/>
    <m/>
    <m/>
    <m/>
    <m/>
    <m/>
    <m/>
    <m/>
    <m/>
    <m/>
    <m/>
    <m/>
    <m/>
    <m/>
    <m/>
    <m/>
    <m/>
    <m/>
    <m/>
    <m/>
    <m/>
    <m/>
    <x v="0"/>
    <s v="Tak"/>
    <n v="1"/>
    <s v="PG"/>
    <s v="zdecydowanie się zgadzam"/>
    <s v="zdecydowanie się zgadzam"/>
    <s v="zdecydowanie się zgadzam"/>
    <s v="Tak"/>
    <s v="programowanie, sieci, administrowanie systemami"/>
    <s v="testerzy, programisci"/>
    <s v="Nie (przejście do kolejnej części badania)"/>
    <m/>
    <m/>
    <m/>
    <m/>
    <m/>
    <m/>
    <m/>
    <m/>
    <m/>
    <m/>
    <m/>
    <m/>
    <m/>
    <m/>
    <m/>
    <x v="0"/>
    <s v="nie dotyczy"/>
    <m/>
    <s v="nie dotyczy"/>
    <m/>
    <m/>
    <m/>
    <m/>
    <m/>
    <m/>
    <m/>
    <m/>
    <m/>
    <m/>
    <m/>
    <m/>
    <m/>
    <m/>
    <m/>
    <m/>
    <m/>
    <m/>
    <m/>
    <m/>
    <m/>
    <m/>
    <m/>
    <m/>
    <m/>
    <m/>
    <m/>
    <m/>
    <m/>
    <m/>
    <s v="program nauczania oparty o uczenie praktycznych umiejetnosci np programowanie"/>
    <s v=" uczenie praktycznych umiejetnosci np programowanie"/>
    <s v="zbyt duza ilosc wykladów ogolnych, teoretycznych"/>
    <x v="0"/>
    <n v="1984"/>
    <s v="miasto wojewódzkie"/>
    <s v="Gdynia"/>
    <s v="wyższe IT"/>
    <s v="wyższe Ekonimia"/>
    <m/>
  </r>
  <r>
    <n v="87"/>
    <n v="52"/>
    <n v="45"/>
    <s v="81.190.56.54"/>
    <s v="Link"/>
    <s v="https://ankietaplus.pl/ankiety/analiza/wyniki-pojedyncze/13308"/>
    <m/>
    <m/>
    <m/>
    <s v="Zakończono"/>
    <s v="2020-06-08 02:53:31"/>
    <s v="2020-06-08 03:20:06"/>
    <n v="1595"/>
    <n v="0"/>
    <s v="Tak (kontynuacja ankiety)"/>
    <x v="0"/>
    <m/>
    <m/>
    <m/>
    <m/>
    <m/>
    <m/>
    <m/>
    <m/>
    <m/>
    <m/>
    <m/>
    <m/>
    <m/>
    <m/>
    <m/>
    <x v="0"/>
    <s v="Politechnika Gdańska"/>
    <n v="1975"/>
    <s v="tak"/>
    <s v="budownictwo"/>
    <s v="zgadzam się"/>
    <s v="raczej się zgadzam"/>
    <s v="raczej się nie zgadzam"/>
    <s v="zdecydowanie się zgadzam"/>
    <s v="zdecydowanie się zgadzam"/>
    <s v="praca przed zakończeniem studiów"/>
    <s v="powyżej 10.000 zł"/>
    <s v="powyżej 10.000 zł"/>
    <s v="swoboda pracy ze względu na lepsze (szersze) wykształcenie"/>
    <s v="-"/>
    <s v="-"/>
    <s v="niestacjonarne (zaoczne) studia 1 stopnia (licencjackie / inżynierskie)"/>
    <m/>
    <x v="0"/>
    <n v="1"/>
    <s v="Wyższa Szkoła Rolnicza w Olsztynie"/>
    <n v="2002"/>
    <s v="tak"/>
    <s v="Geodezja"/>
    <s v="zgadzam się"/>
    <s v="zgadzam się"/>
    <s v="zgadzam się"/>
    <s v="nie zgadzam się"/>
    <s v="raczej się nie zgadzam"/>
    <n v="3"/>
    <m/>
    <s v="stacjonarne (dzienne) studia 2 stopnia (magisterskie)"/>
    <m/>
    <m/>
    <s v="Nie (przejście do kolejnej części badania)"/>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
    <s v="-"/>
    <s v="-"/>
    <x v="0"/>
    <n v="1950"/>
    <s v="miasto wojewódzkie"/>
    <m/>
    <m/>
    <m/>
    <m/>
  </r>
  <r>
    <n v="4"/>
    <n v="4"/>
    <n v="44"/>
    <s v="37.47.200.135"/>
    <s v="Link"/>
    <m/>
    <m/>
    <m/>
    <m/>
    <s v="Zakończono"/>
    <s v="2020-05-04 09:31:36"/>
    <s v="2020-05-04 10:24:17"/>
    <n v="3161"/>
    <n v="0"/>
    <s v="Tak (kontynuacja ankiety)"/>
    <x v="0"/>
    <m/>
    <m/>
    <m/>
    <m/>
    <m/>
    <m/>
    <m/>
    <m/>
    <m/>
    <m/>
    <m/>
    <m/>
    <m/>
    <m/>
    <m/>
    <x v="0"/>
    <s v="Akademia Muzyczna w Gdańsku"/>
    <n v="1986"/>
    <s v="nie"/>
    <s v="wokalistyka"/>
    <s v="zgadzam się"/>
    <s v="zgadzam się"/>
    <s v="raczej się zgadzam"/>
    <s v="raczej się zgadzam"/>
    <s v="raczej się zgadzam"/>
    <s v="praca na zlecenie od 2. roku studiów"/>
    <s v="powyżej 7000 zł, ale nie więcej niż 8000 zł"/>
    <s v="powyżej 7000 zł, ale nie więcej niż 8000 zł"/>
    <s v="potrzeba i możliwości ciągłego rozwoju w swojej dziedzinie oraz w innych; satysfakcja z wykonywanej pracy"/>
    <s v="szacunek do pedagogów, możliwość rozwijania swojej pasji, możliwość realizowania się w zawodzie przy jednoczesnym zarabianiu co poprawiało własną kondycję finansową "/>
    <s v="ograniczone możliwości w dostępie sal ćwiczeniowych, brak możliwości konfrontowania swojej wiedzy i umiejętności  w ośrodkach zagranicznych"/>
    <s v="stacjonarne (dzienne) studia 2 stopnia (magisterskie)"/>
    <s v="sześcioletnie jednolite studia magisterskie"/>
    <x v="1"/>
    <m/>
    <m/>
    <m/>
    <m/>
    <m/>
    <m/>
    <m/>
    <m/>
    <m/>
    <m/>
    <m/>
    <m/>
    <m/>
    <m/>
    <m/>
    <m/>
    <m/>
    <m/>
    <m/>
    <m/>
    <m/>
    <m/>
    <m/>
    <m/>
    <m/>
    <m/>
    <m/>
    <m/>
    <m/>
    <m/>
    <m/>
    <m/>
    <m/>
    <m/>
    <m/>
    <m/>
    <m/>
    <m/>
    <m/>
    <m/>
    <m/>
    <m/>
    <m/>
    <m/>
    <m/>
    <x v="0"/>
    <m/>
    <m/>
    <m/>
    <m/>
    <m/>
    <m/>
    <m/>
    <m/>
    <m/>
    <x v="1"/>
    <s v="Akademia Muzyczna im. Stanisława Moniuszki"/>
    <s v="Wokalno-Aktorskim"/>
    <s v="zgadzam się"/>
    <s v="zdecydowanie się zgadzam"/>
    <s v="zdecydowanie się zgadzam"/>
    <s v="zgadzam się"/>
    <s v="ani się zgadzam, ani nie zgadzam"/>
    <s v="ani się zgadzam, ani nie zgadzam"/>
    <s v="Wysoka kreatywność i pomysłowość w poszukiwaniu nowych przestrzeni zawodowych"/>
    <x v="1"/>
    <m/>
    <m/>
    <m/>
    <m/>
    <m/>
    <m/>
    <m/>
    <m/>
    <m/>
    <m/>
    <m/>
    <m/>
    <m/>
    <m/>
    <m/>
    <m/>
    <m/>
    <m/>
    <m/>
    <m/>
    <m/>
    <m/>
    <m/>
    <m/>
    <m/>
    <m/>
    <m/>
    <m/>
    <x v="1"/>
    <s v="Tak"/>
    <s v="nie dotyczy"/>
    <m/>
    <m/>
    <m/>
    <m/>
    <m/>
    <m/>
    <m/>
    <m/>
    <m/>
    <m/>
    <m/>
    <m/>
    <m/>
    <m/>
    <m/>
    <m/>
    <m/>
    <m/>
    <m/>
    <m/>
    <m/>
    <m/>
    <m/>
    <x v="0"/>
    <s v="nie dotyczy"/>
    <m/>
    <m/>
    <m/>
    <m/>
    <m/>
    <m/>
    <m/>
    <m/>
    <m/>
    <m/>
    <m/>
    <m/>
    <m/>
    <m/>
    <m/>
    <m/>
    <m/>
    <m/>
    <m/>
    <m/>
    <m/>
    <m/>
    <m/>
    <m/>
    <m/>
    <m/>
    <m/>
    <m/>
    <m/>
    <m/>
    <m/>
    <m/>
    <s v="Lepiej merytorycznie i dydaktycznie przygotowana kadra, lepsza baza techniczna"/>
    <s v="Zaangażowanie pełne pasji w pracę zarówno pedagogów jak i studentów  "/>
    <s v="Przerost pracy administracyjnej i wszelkiego rodzaju rozliczania punktowania itp; braki bazy technicznej (dobrych instrumentów)"/>
    <x v="1"/>
    <n v="1961"/>
    <s v="miasto gminne"/>
    <m/>
    <m/>
    <m/>
    <m/>
  </r>
  <r>
    <n v="38"/>
    <n v="26"/>
    <n v="44"/>
    <s v="31.182.177.36"/>
    <s v="Link"/>
    <s v="https://www.facebook.com/"/>
    <m/>
    <m/>
    <m/>
    <s v="Zakończono"/>
    <s v="2020-05-16 17:09:17"/>
    <s v="2020-05-16 17:16:21"/>
    <n v="424"/>
    <n v="0"/>
    <s v="Tak (kontynuacja ankiety)"/>
    <x v="0"/>
    <m/>
    <m/>
    <m/>
    <m/>
    <m/>
    <m/>
    <m/>
    <m/>
    <m/>
    <m/>
    <m/>
    <m/>
    <m/>
    <m/>
    <m/>
    <x v="0"/>
    <s v="Uniwersytet Jagielloński"/>
    <n v="2018"/>
    <s v="nie"/>
    <s v="Nauczanie języka polskiego jako obcego"/>
    <s v="zgadzam się"/>
    <s v="zdecydowanie się zgadzam"/>
    <s v="zdecydowanie się zgadzam"/>
    <s v="zgadzam się"/>
    <s v="nie dotyczy"/>
    <s v="Od razu po ukończeniu studiów."/>
    <s v="powyżej 2000 zł, ale nie więcej niż 3000 zł"/>
    <s v="nie dotyczy"/>
    <s v="Kontynuacja na studiach doktoranckich"/>
    <s v="Zgodność z zainteresowaniami."/>
    <s v="brak"/>
    <s v="stacjonarne (dzienne) studia 2 stopnia (magisterskie)"/>
    <m/>
    <x v="1"/>
    <m/>
    <m/>
    <m/>
    <m/>
    <m/>
    <m/>
    <m/>
    <m/>
    <m/>
    <m/>
    <m/>
    <m/>
    <m/>
    <m/>
    <m/>
    <m/>
    <m/>
    <m/>
    <m/>
    <m/>
    <m/>
    <m/>
    <m/>
    <m/>
    <m/>
    <m/>
    <m/>
    <m/>
    <m/>
    <m/>
    <m/>
    <m/>
    <m/>
    <m/>
    <m/>
    <m/>
    <m/>
    <m/>
    <m/>
    <m/>
    <m/>
    <m/>
    <m/>
    <m/>
    <m/>
    <x v="0"/>
    <m/>
    <m/>
    <m/>
    <m/>
    <m/>
    <m/>
    <m/>
    <m/>
    <m/>
    <x v="1"/>
    <s v="Uniwersytet Jagielloński"/>
    <s v="Wydział Polonistyki"/>
    <s v="zdecydowanie się zgadzam"/>
    <s v="zgadzam się"/>
    <s v="raczej się zgadzam"/>
    <s v="zgadzam się"/>
    <s v="zgadzam się"/>
    <s v="ani się zgadzam, ani nie zgadzam"/>
    <m/>
    <x v="1"/>
    <m/>
    <m/>
    <m/>
    <m/>
    <m/>
    <m/>
    <m/>
    <m/>
    <m/>
    <m/>
    <m/>
    <m/>
    <m/>
    <m/>
    <m/>
    <m/>
    <m/>
    <m/>
    <m/>
    <m/>
    <m/>
    <m/>
    <m/>
    <m/>
    <m/>
    <m/>
    <m/>
    <m/>
    <x v="1"/>
    <s v="Nie"/>
    <s v="nie dotyczy"/>
    <m/>
    <m/>
    <m/>
    <m/>
    <m/>
    <m/>
    <m/>
    <m/>
    <m/>
    <m/>
    <m/>
    <m/>
    <m/>
    <m/>
    <m/>
    <m/>
    <m/>
    <m/>
    <m/>
    <m/>
    <m/>
    <m/>
    <m/>
    <x v="0"/>
    <s v="nie dotyczy"/>
    <m/>
    <s v="nie dotyczy"/>
    <m/>
    <m/>
    <m/>
    <m/>
    <m/>
    <m/>
    <m/>
    <m/>
    <m/>
    <m/>
    <m/>
    <m/>
    <m/>
    <m/>
    <m/>
    <m/>
    <m/>
    <m/>
    <m/>
    <m/>
    <m/>
    <m/>
    <m/>
    <m/>
    <m/>
    <m/>
    <m/>
    <m/>
    <m/>
    <m/>
    <s v="Finansowanie, kadra naukowa, prestiż (lepsi studenci)"/>
    <s v="Nauczane treści, możliwość nawiązania znajomości"/>
    <s v="Brak"/>
    <x v="0"/>
    <n v="1994"/>
    <s v="miasto wojewódzkie"/>
    <m/>
    <m/>
    <s v="studia doktoranckie"/>
    <m/>
  </r>
  <r>
    <n v="102"/>
    <n v="63"/>
    <n v="44"/>
    <s v="5.173.136.227"/>
    <s v="Link"/>
    <s v="https://poczta.wp.pl/k/"/>
    <m/>
    <m/>
    <m/>
    <s v="Zakończono"/>
    <s v="2020-08-22 17:39:42"/>
    <s v="2020-08-22 22:39:55"/>
    <n v="18013"/>
    <n v="0"/>
    <s v="Tak (kontynuacja ankiety)"/>
    <x v="0"/>
    <m/>
    <m/>
    <m/>
    <m/>
    <m/>
    <m/>
    <m/>
    <m/>
    <m/>
    <m/>
    <m/>
    <m/>
    <m/>
    <m/>
    <m/>
    <x v="0"/>
    <s v="Uniwersytet Adama Mickiewicza w Poznaniu"/>
    <n v="1996"/>
    <s v="nie"/>
    <s v="fizyka"/>
    <s v="zgadzam się"/>
    <s v="zgadzam się"/>
    <s v="raczej się zgadzam"/>
    <s v="zdecydowanie się nie zgadzam"/>
    <s v="nie zgadzam się"/>
    <n v="1"/>
    <s v="powyżej 1000 zł, ale nie więcej niż 2000 zł"/>
    <s v="powyżej 3000 zł, ale nie więcej niż 4000 zł"/>
    <s v="bezsensowna produkcja absolwentów"/>
    <s v="wykładowcy"/>
    <s v="-"/>
    <s v="stacjonarne (dzienne) studia 2 stopnia (magisterskie)"/>
    <s v="5 letnie"/>
    <x v="1"/>
    <m/>
    <m/>
    <m/>
    <m/>
    <m/>
    <m/>
    <m/>
    <m/>
    <m/>
    <m/>
    <m/>
    <m/>
    <m/>
    <m/>
    <m/>
    <m/>
    <m/>
    <m/>
    <m/>
    <m/>
    <m/>
    <m/>
    <m/>
    <m/>
    <m/>
    <m/>
    <m/>
    <m/>
    <m/>
    <m/>
    <m/>
    <m/>
    <m/>
    <m/>
    <m/>
    <m/>
    <m/>
    <m/>
    <m/>
    <m/>
    <m/>
    <m/>
    <m/>
    <m/>
    <m/>
    <x v="0"/>
    <m/>
    <m/>
    <m/>
    <m/>
    <m/>
    <m/>
    <m/>
    <m/>
    <m/>
    <x v="0"/>
    <m/>
    <m/>
    <m/>
    <m/>
    <m/>
    <m/>
    <m/>
    <m/>
    <m/>
    <x v="1"/>
    <m/>
    <m/>
    <m/>
    <m/>
    <m/>
    <m/>
    <m/>
    <m/>
    <m/>
    <m/>
    <m/>
    <m/>
    <m/>
    <m/>
    <m/>
    <m/>
    <m/>
    <m/>
    <m/>
    <m/>
    <m/>
    <m/>
    <m/>
    <m/>
    <m/>
    <m/>
    <m/>
    <m/>
    <x v="0"/>
    <s v="Tak"/>
    <s v="nie dotyczy"/>
    <s v="uam"/>
    <s v="nie zgadzam się"/>
    <s v="nie zgadzam się"/>
    <s v="ani się zgadzam, ani nie zgadzam"/>
    <s v="Tak"/>
    <s v="osobowosc"/>
    <s v="wykonują"/>
    <s v="Nie (przejście do kolejnej części badania)"/>
    <m/>
    <m/>
    <m/>
    <m/>
    <m/>
    <m/>
    <m/>
    <m/>
    <m/>
    <m/>
    <m/>
    <m/>
    <m/>
    <m/>
    <m/>
    <x v="0"/>
    <s v="nie dotyczy"/>
    <m/>
    <s v="nie dotyczy"/>
    <m/>
    <m/>
    <m/>
    <m/>
    <m/>
    <m/>
    <m/>
    <m/>
    <m/>
    <m/>
    <m/>
    <m/>
    <m/>
    <m/>
    <m/>
    <m/>
    <m/>
    <m/>
    <m/>
    <m/>
    <m/>
    <m/>
    <m/>
    <m/>
    <m/>
    <m/>
    <m/>
    <m/>
    <m/>
    <m/>
    <s v="ilosc studentow"/>
    <s v="osobowosc"/>
    <s v="ilosc studentow"/>
    <x v="0"/>
    <n v="1966"/>
    <s v="miasto wojewódzkie"/>
    <m/>
    <m/>
    <m/>
    <m/>
  </r>
  <r>
    <n v="233"/>
    <n v="125"/>
    <n v="44"/>
    <s v="46.151.137.185"/>
    <s v="Link"/>
    <s v="http://m.facebook.com/"/>
    <m/>
    <m/>
    <m/>
    <s v="Zakończono"/>
    <s v="2020-12-23 20:20:18"/>
    <s v="2020-12-23 20:30:45"/>
    <n v="627"/>
    <n v="0"/>
    <s v="Tak (kontynuacja ankiety)"/>
    <x v="0"/>
    <m/>
    <m/>
    <m/>
    <m/>
    <m/>
    <m/>
    <m/>
    <m/>
    <m/>
    <m/>
    <m/>
    <m/>
    <m/>
    <m/>
    <m/>
    <x v="0"/>
    <s v="Politechnika Gdańska "/>
    <n v="2011"/>
    <s v="tak"/>
    <s v="Zarządzanie i marketing "/>
    <s v="zdecydowanie się zgadzam"/>
    <s v="zdecydowanie się zgadzam"/>
    <s v="zdecydowanie się zgadzam"/>
    <s v="ani się zgadzam, ani nie zgadzam"/>
    <s v="zgadzam się"/>
    <s v="6 mcy"/>
    <s v="powyżej 1000 zł, ale nie więcej niż 2000 zł"/>
    <s v="powyżej 3000 zł, ale nie więcej niż 4000 zł"/>
    <s v="Rozwiązywanie problemów, wykorzystanie technicznej wiedzy - praca w firmie produkcyjnej, bardzo dobra znajomość Office, zarządzanie zespołem i zadaniami, odporność na stres"/>
    <s v="Praktyczne wykorzystanie, trudne zadania, praca w zespole i indywidualnie"/>
    <s v="Okienka, czasami słabe wyklady- wina prowadzacych"/>
    <s v="stacjonarne (dzienne) studia 2 stopnia (magisterskie)"/>
    <s v="Mgr-inż- dzienne"/>
    <x v="1"/>
    <m/>
    <m/>
    <m/>
    <m/>
    <m/>
    <m/>
    <m/>
    <m/>
    <m/>
    <m/>
    <m/>
    <m/>
    <m/>
    <m/>
    <m/>
    <m/>
    <m/>
    <m/>
    <m/>
    <m/>
    <m/>
    <m/>
    <m/>
    <m/>
    <m/>
    <m/>
    <m/>
    <m/>
    <m/>
    <m/>
    <m/>
    <m/>
    <m/>
    <m/>
    <m/>
    <m/>
    <m/>
    <m/>
    <m/>
    <m/>
    <m/>
    <m/>
    <m/>
    <m/>
    <m/>
    <x v="0"/>
    <m/>
    <m/>
    <m/>
    <m/>
    <m/>
    <m/>
    <m/>
    <m/>
    <m/>
    <x v="0"/>
    <m/>
    <m/>
    <m/>
    <m/>
    <m/>
    <m/>
    <m/>
    <m/>
    <m/>
    <x v="1"/>
    <m/>
    <m/>
    <m/>
    <m/>
    <m/>
    <m/>
    <m/>
    <m/>
    <m/>
    <m/>
    <m/>
    <m/>
    <m/>
    <m/>
    <m/>
    <m/>
    <m/>
    <m/>
    <m/>
    <m/>
    <m/>
    <m/>
    <m/>
    <m/>
    <m/>
    <m/>
    <m/>
    <m/>
    <x v="0"/>
    <s v="Nie"/>
    <s v="nie dotyczy"/>
    <s v="Nd"/>
    <s v="nie dotyczy"/>
    <s v="nie dotyczy"/>
    <s v="nie dotyczy"/>
    <s v="Nie"/>
    <s v="Nd"/>
    <s v="Nd"/>
    <s v="Nie (przejście do kolejnej części badania)"/>
    <m/>
    <m/>
    <m/>
    <m/>
    <m/>
    <m/>
    <m/>
    <m/>
    <m/>
    <m/>
    <m/>
    <m/>
    <m/>
    <m/>
    <m/>
    <x v="0"/>
    <m/>
    <m/>
    <m/>
    <m/>
    <m/>
    <m/>
    <m/>
    <m/>
    <m/>
    <m/>
    <m/>
    <m/>
    <m/>
    <m/>
    <m/>
    <m/>
    <m/>
    <m/>
    <m/>
    <m/>
    <m/>
    <m/>
    <m/>
    <m/>
    <m/>
    <m/>
    <m/>
    <m/>
    <m/>
    <m/>
    <m/>
    <m/>
    <m/>
    <s v="Nd"/>
    <s v="Nd"/>
    <s v="Nd"/>
    <x v="1"/>
    <n v="1987"/>
    <s v="miasto gminne"/>
    <m/>
    <s v="Nd"/>
    <s v="Nd"/>
    <m/>
  </r>
  <r>
    <n v="86"/>
    <n v="51"/>
    <n v="43"/>
    <s v="81.190.56.54"/>
    <s v="Link"/>
    <s v="https://ankietaplus.pl/ankiety/analiza/wyniki-pojedyncze/13308"/>
    <m/>
    <m/>
    <m/>
    <s v="Zakończono"/>
    <s v="2020-06-08 02:14:57"/>
    <s v="2020-06-08 02:50:35"/>
    <n v="2138"/>
    <n v="0"/>
    <s v="Tak (kontynuacja ankiety)"/>
    <x v="0"/>
    <m/>
    <m/>
    <m/>
    <m/>
    <m/>
    <m/>
    <m/>
    <m/>
    <m/>
    <m/>
    <m/>
    <m/>
    <m/>
    <m/>
    <m/>
    <x v="0"/>
    <s v="Politechnika Gdańska"/>
    <n v="2005"/>
    <s v="tak"/>
    <s v="architektura"/>
    <s v="raczej się zgadzam"/>
    <s v="raczej się zgadzam"/>
    <s v="raczej się zgadzam"/>
    <s v="nie zgadzam się"/>
    <s v="raczej się nie zgadzam"/>
    <s v="praca przed zakończeniem studiów"/>
    <s v="powyżej 1000 zł, ale nie więcej niż 2000 zł"/>
    <s v="powyżej 2000 zł, ale nie więcej niż 3000 zł"/>
    <s v="kontakty zawodowe; możliwość wyjazdu za granicę"/>
    <s v="-"/>
    <s v="-"/>
    <s v="stacjonarne (dzienne) studia 2 stopnia (magisterskie)"/>
    <s v="jednolite"/>
    <x v="1"/>
    <m/>
    <m/>
    <m/>
    <m/>
    <m/>
    <m/>
    <m/>
    <m/>
    <m/>
    <m/>
    <m/>
    <m/>
    <m/>
    <m/>
    <m/>
    <m/>
    <m/>
    <m/>
    <m/>
    <m/>
    <m/>
    <m/>
    <m/>
    <m/>
    <m/>
    <m/>
    <m/>
    <m/>
    <m/>
    <m/>
    <m/>
    <m/>
    <m/>
    <m/>
    <m/>
    <m/>
    <m/>
    <m/>
    <m/>
    <m/>
    <m/>
    <m/>
    <m/>
    <m/>
    <m/>
    <x v="0"/>
    <m/>
    <m/>
    <m/>
    <m/>
    <m/>
    <m/>
    <m/>
    <m/>
    <m/>
    <x v="0"/>
    <m/>
    <m/>
    <m/>
    <m/>
    <m/>
    <m/>
    <m/>
    <m/>
    <m/>
    <x v="1"/>
    <m/>
    <m/>
    <m/>
    <m/>
    <m/>
    <m/>
    <m/>
    <m/>
    <m/>
    <m/>
    <m/>
    <m/>
    <m/>
    <m/>
    <m/>
    <m/>
    <m/>
    <m/>
    <m/>
    <m/>
    <m/>
    <m/>
    <m/>
    <m/>
    <m/>
    <m/>
    <m/>
    <m/>
    <x v="0"/>
    <s v="Tak"/>
    <n v="1"/>
    <s v="PG"/>
    <s v="raczej się zgadzam"/>
    <s v="raczej się zgadzam"/>
    <s v="ani się zgadzam, ani nie zgadzam"/>
    <s v="Tak"/>
    <s v="systematyczność, pracowitość, doświadczenie, kreatywność"/>
    <s v="architekci"/>
    <s v="Nie (przejście do kolejnej części badania)"/>
    <m/>
    <m/>
    <m/>
    <m/>
    <m/>
    <m/>
    <m/>
    <m/>
    <m/>
    <m/>
    <m/>
    <m/>
    <m/>
    <m/>
    <m/>
    <x v="0"/>
    <s v="nie dotyczy"/>
    <m/>
    <m/>
    <m/>
    <m/>
    <m/>
    <m/>
    <m/>
    <m/>
    <m/>
    <m/>
    <m/>
    <m/>
    <m/>
    <m/>
    <m/>
    <m/>
    <m/>
    <m/>
    <m/>
    <m/>
    <m/>
    <m/>
    <m/>
    <m/>
    <m/>
    <m/>
    <m/>
    <m/>
    <m/>
    <m/>
    <m/>
    <m/>
    <s v="kadra profesorska z praktykami (z doświadczeniem); przygotowanie techniczne"/>
    <s v="-"/>
    <s v="-"/>
    <x v="1"/>
    <n v="1981"/>
    <s v="miasto wojewódzkie"/>
    <m/>
    <m/>
    <m/>
    <m/>
  </r>
  <r>
    <n v="128"/>
    <n v="77"/>
    <n v="43"/>
    <s v="31.0.81.71"/>
    <s v="Link"/>
    <m/>
    <m/>
    <m/>
    <m/>
    <s v="Zakończono"/>
    <s v="2020-11-03 12:54:11"/>
    <s v="2020-11-03 13:05:09"/>
    <n v="658"/>
    <n v="0"/>
    <s v="Tak (kontynuacja ankiety)"/>
    <x v="0"/>
    <m/>
    <m/>
    <m/>
    <m/>
    <m/>
    <m/>
    <m/>
    <m/>
    <m/>
    <m/>
    <m/>
    <m/>
    <m/>
    <m/>
    <m/>
    <x v="1"/>
    <m/>
    <m/>
    <m/>
    <m/>
    <m/>
    <m/>
    <m/>
    <m/>
    <m/>
    <m/>
    <m/>
    <m/>
    <m/>
    <m/>
    <m/>
    <m/>
    <m/>
    <x v="1"/>
    <m/>
    <m/>
    <m/>
    <m/>
    <m/>
    <m/>
    <m/>
    <m/>
    <m/>
    <m/>
    <m/>
    <m/>
    <m/>
    <m/>
    <m/>
    <m/>
    <m/>
    <m/>
    <m/>
    <m/>
    <m/>
    <m/>
    <m/>
    <m/>
    <m/>
    <m/>
    <m/>
    <m/>
    <m/>
    <m/>
    <m/>
    <m/>
    <m/>
    <m/>
    <m/>
    <m/>
    <m/>
    <m/>
    <m/>
    <m/>
    <m/>
    <m/>
    <m/>
    <m/>
    <m/>
    <x v="0"/>
    <m/>
    <m/>
    <m/>
    <m/>
    <m/>
    <m/>
    <m/>
    <m/>
    <m/>
    <x v="1"/>
    <s v="Politechnika Gdańska"/>
    <s v="Wydział Zarządzania i Ekonomii"/>
    <s v="raczej się zgadzam"/>
    <s v="raczej się zgadzam"/>
    <s v="zgadzam się"/>
    <s v="zgadzam się"/>
    <s v="zgadzam się"/>
    <s v="zdecydowanie się zgadzam"/>
    <s v="Kontakty, rozwój umiejętności interpersonalnych"/>
    <x v="1"/>
    <m/>
    <m/>
    <m/>
    <m/>
    <m/>
    <m/>
    <m/>
    <m/>
    <m/>
    <m/>
    <m/>
    <m/>
    <m/>
    <m/>
    <m/>
    <m/>
    <m/>
    <m/>
    <m/>
    <m/>
    <m/>
    <m/>
    <m/>
    <m/>
    <m/>
    <m/>
    <m/>
    <m/>
    <x v="0"/>
    <s v="Tak"/>
    <n v="2"/>
    <s v="Politechnika Gdańska"/>
    <s v="zdecydowanie się zgadzam"/>
    <s v="zdecydowanie się zgadzam"/>
    <s v="zdecydowanie się zgadzam"/>
    <s v="Tak"/>
    <s v="Analityczne myślenie, zmysł inżynierski"/>
    <s v="biurowa"/>
    <s v="Tak (przejście do analogicznej części oceny dotyczącej drugiej uczelni)"/>
    <s v="Uniwersytet Gdański"/>
    <s v="raczej się nie zgadzam"/>
    <s v="nie zgadzam się"/>
    <s v="zdecydowanie się nie zgadzam"/>
    <s v="Tak"/>
    <s v="Samodzielność"/>
    <s v="Praca biurowa"/>
    <s v="Nie (przejście do kolejnej części badania)"/>
    <m/>
    <m/>
    <m/>
    <m/>
    <m/>
    <m/>
    <m/>
    <x v="0"/>
    <m/>
    <m/>
    <m/>
    <m/>
    <m/>
    <m/>
    <m/>
    <m/>
    <m/>
    <m/>
    <m/>
    <m/>
    <m/>
    <m/>
    <m/>
    <m/>
    <m/>
    <m/>
    <m/>
    <m/>
    <m/>
    <m/>
    <m/>
    <m/>
    <m/>
    <m/>
    <m/>
    <m/>
    <m/>
    <m/>
    <m/>
    <m/>
    <m/>
    <s v="Kierunki studiów, nauka inżynierskosci, wsparcie rozwoju studentów"/>
    <s v="Dobry kontakt, wsparcie merytoryczne"/>
    <s v="Rozległa struktura organizacyjna, która utrudnia kontakt z odpowiednią osobą"/>
    <x v="0"/>
    <n v="1987"/>
    <s v="miasto wojewódzkie"/>
    <m/>
    <s v="Politechnika Gdańska"/>
    <m/>
    <m/>
  </r>
  <r>
    <n v="137"/>
    <n v="83"/>
    <n v="43"/>
    <s v="158.233.246.27"/>
    <s v="Link"/>
    <m/>
    <m/>
    <m/>
    <m/>
    <s v="Zakończono"/>
    <s v="2020-12-09 16:26:10"/>
    <s v="2020-12-23 16:11:37"/>
    <n v="1208727"/>
    <n v="0"/>
    <s v="Tak (kontynuacja ankiety)"/>
    <x v="0"/>
    <m/>
    <m/>
    <m/>
    <m/>
    <m/>
    <m/>
    <m/>
    <m/>
    <m/>
    <m/>
    <m/>
    <m/>
    <m/>
    <m/>
    <m/>
    <x v="0"/>
    <s v="SWPS"/>
    <n v="2012"/>
    <s v="nie"/>
    <s v="Psychologia"/>
    <s v="raczej się zgadzam"/>
    <s v="ani się zgadzam, ani nie zgadzam"/>
    <s v="raczej się zgadzam"/>
    <s v="ani się zgadzam, ani nie zgadzam"/>
    <s v="raczej się nie zgadzam"/>
    <s v="praca przed ukończeniem studiów"/>
    <s v="nie dotyczy"/>
    <s v="nie dotyczy"/>
    <s v="szersza perspektywa na świat,  ukształtowanie postaw i fundamentalnych umiejętności"/>
    <s v="tematy zajęć, wykładowcy, organizacja zajęć"/>
    <s v="wykładowcy, duża ilość zajęć i wiedzy do przyswojenia w krótkim czasie"/>
    <s v="niestacjonarne (zaoczne) studia 1 stopnia (licencjackie / inżynierskie)"/>
    <m/>
    <x v="1"/>
    <m/>
    <m/>
    <m/>
    <m/>
    <m/>
    <m/>
    <m/>
    <m/>
    <m/>
    <m/>
    <m/>
    <m/>
    <m/>
    <m/>
    <m/>
    <m/>
    <m/>
    <m/>
    <m/>
    <m/>
    <m/>
    <m/>
    <m/>
    <m/>
    <m/>
    <m/>
    <m/>
    <m/>
    <m/>
    <m/>
    <m/>
    <m/>
    <m/>
    <m/>
    <m/>
    <m/>
    <m/>
    <m/>
    <m/>
    <m/>
    <m/>
    <m/>
    <m/>
    <m/>
    <m/>
    <x v="0"/>
    <m/>
    <m/>
    <m/>
    <m/>
    <m/>
    <m/>
    <m/>
    <m/>
    <m/>
    <x v="0"/>
    <m/>
    <m/>
    <m/>
    <m/>
    <m/>
    <m/>
    <m/>
    <m/>
    <m/>
    <x v="1"/>
    <m/>
    <m/>
    <m/>
    <m/>
    <m/>
    <m/>
    <m/>
    <m/>
    <m/>
    <m/>
    <m/>
    <m/>
    <m/>
    <m/>
    <m/>
    <m/>
    <m/>
    <m/>
    <m/>
    <m/>
    <m/>
    <m/>
    <m/>
    <m/>
    <m/>
    <m/>
    <m/>
    <m/>
    <x v="0"/>
    <s v="Tak"/>
    <s v="nie dotyczy"/>
    <s v="Politechnika Gdańska"/>
    <s v="raczej się zgadzam"/>
    <s v="ani się zgadzam, ani nie zgadzam"/>
    <s v="raczej się nie zgadzam"/>
    <s v="Tak"/>
    <s v="trundo powiedzieć, liczą się umiejetności miekkie, konkretna znajomość technologii, doświadczenie "/>
    <s v="zależnie od doświadczenia, najcześciej specjalistyczne stanowiska techniczne"/>
    <s v="Nie (przejście do kolejnej części badania)"/>
    <m/>
    <m/>
    <m/>
    <m/>
    <m/>
    <m/>
    <m/>
    <m/>
    <m/>
    <m/>
    <m/>
    <m/>
    <m/>
    <m/>
    <m/>
    <x v="0"/>
    <m/>
    <m/>
    <m/>
    <m/>
    <m/>
    <m/>
    <m/>
    <m/>
    <m/>
    <m/>
    <m/>
    <m/>
    <m/>
    <m/>
    <m/>
    <m/>
    <m/>
    <m/>
    <m/>
    <m/>
    <m/>
    <m/>
    <m/>
    <m/>
    <m/>
    <m/>
    <m/>
    <m/>
    <m/>
    <m/>
    <m/>
    <m/>
    <m/>
    <s v="jakość kształcenia, przygotowanie do zawodu, konkretne kompetencje techniczne, wiedza, przygotowanie do wejścia na rynek pracy"/>
    <s v="przekazywanie adekwatnej wiedzy, dobry poziom kształcenia, znajomość oczekiwań pracodawców"/>
    <s v="przestarzałe programy nauczania, brak przystosowania do realiów rynkowych, slaby poziom merytoryczny absolwentów"/>
    <x v="0"/>
    <n v="1987"/>
    <s v="nieduże miasto powiatowe"/>
    <m/>
    <s v="ukończone szkolenia/kursy ,  studia podyplomowe"/>
    <s v="szkolenia, certyfikaty, kursy, samodzielna nauka"/>
    <m/>
  </r>
  <r>
    <n v="145"/>
    <n v="86"/>
    <n v="43"/>
    <s v="158.233.246.29"/>
    <s v="Link"/>
    <m/>
    <m/>
    <m/>
    <m/>
    <s v="Zakończono"/>
    <s v="2020-12-15 10:36:27"/>
    <s v="2020-12-15 10:45:03"/>
    <n v="516"/>
    <n v="0"/>
    <s v="Tak (kontynuacja ankiety)"/>
    <x v="0"/>
    <m/>
    <m/>
    <m/>
    <m/>
    <m/>
    <m/>
    <m/>
    <m/>
    <m/>
    <m/>
    <m/>
    <m/>
    <m/>
    <m/>
    <m/>
    <x v="0"/>
    <s v="Politechnika Gdańska"/>
    <n v="2007"/>
    <s v="tak"/>
    <s v="Telekomunikacja"/>
    <s v="raczej się zgadzam"/>
    <s v="raczej się zgadzam"/>
    <s v="zgadzam się"/>
    <s v="zdecydowanie się zgadzam"/>
    <s v="zdecydowanie się zgadzam"/>
    <s v=" praca przed ukończeniem studiów"/>
    <s v="powyżej 1000 zł, ale nie więcej niż 2000 zł"/>
    <s v="powyżej 5000 zł, ale nie więcej niż 6000 zł"/>
    <s v="siatka kontaktów związana z uczelnią jest cenna"/>
    <s v="tematy związane z moimi zainteresowaniami"/>
    <s v="niski poziom organizacji studiów, kiepski przepływ informacji, brak nowoczesnych rozwiązań (np. wykorzystanie internetu w procesie studiowania)"/>
    <s v="stacjonarne (dzienne) studia 2 stopnia (magisterskie)"/>
    <s v="stacjonarne, jednolite 5 letnie (mgr inż)"/>
    <x v="1"/>
    <m/>
    <m/>
    <m/>
    <m/>
    <m/>
    <m/>
    <m/>
    <m/>
    <m/>
    <m/>
    <m/>
    <m/>
    <m/>
    <m/>
    <m/>
    <m/>
    <m/>
    <m/>
    <m/>
    <m/>
    <m/>
    <m/>
    <m/>
    <m/>
    <m/>
    <m/>
    <m/>
    <m/>
    <m/>
    <m/>
    <m/>
    <m/>
    <m/>
    <m/>
    <m/>
    <m/>
    <m/>
    <m/>
    <m/>
    <m/>
    <m/>
    <m/>
    <m/>
    <m/>
    <m/>
    <x v="0"/>
    <m/>
    <m/>
    <m/>
    <m/>
    <m/>
    <m/>
    <m/>
    <m/>
    <m/>
    <x v="0"/>
    <m/>
    <m/>
    <m/>
    <m/>
    <m/>
    <m/>
    <m/>
    <m/>
    <m/>
    <x v="1"/>
    <m/>
    <m/>
    <m/>
    <m/>
    <m/>
    <m/>
    <m/>
    <m/>
    <m/>
    <m/>
    <m/>
    <m/>
    <m/>
    <m/>
    <m/>
    <m/>
    <m/>
    <m/>
    <m/>
    <m/>
    <m/>
    <m/>
    <m/>
    <m/>
    <m/>
    <m/>
    <m/>
    <m/>
    <x v="0"/>
    <s v="Tak"/>
    <s v="nie dotyczy"/>
    <s v="Politechnika Gdańska"/>
    <s v="nie zgadzam się"/>
    <s v="nie zgadzam się"/>
    <s v="ani się zgadzam, ani nie zgadzam"/>
    <s v="Tak"/>
    <s v="nie związane z uczelnią"/>
    <s v="inżynier infrastruktury IT, inżynier oprogramowania"/>
    <s v="Nie (przejście do kolejnej części badania)"/>
    <m/>
    <m/>
    <m/>
    <m/>
    <m/>
    <m/>
    <m/>
    <m/>
    <m/>
    <m/>
    <m/>
    <m/>
    <m/>
    <m/>
    <m/>
    <x v="0"/>
    <m/>
    <m/>
    <m/>
    <m/>
    <m/>
    <m/>
    <m/>
    <m/>
    <m/>
    <m/>
    <m/>
    <m/>
    <m/>
    <m/>
    <m/>
    <m/>
    <m/>
    <m/>
    <m/>
    <m/>
    <m/>
    <m/>
    <m/>
    <m/>
    <m/>
    <m/>
    <m/>
    <m/>
    <m/>
    <m/>
    <m/>
    <m/>
    <m/>
    <s v="renoma na rynku, nie związana z faktycznymi umiejętnościami absolwentó"/>
    <s v="otwarte i elastyczne podejście do studenta, aktualny program dydaktyczny"/>
    <s v="nieaktualny program edukacyjny"/>
    <x v="0"/>
    <n v="1982"/>
    <s v="miasto wojewódzkie"/>
    <m/>
    <s v="certyfikaty branżowe"/>
    <m/>
    <m/>
  </r>
  <r>
    <n v="127"/>
    <n v="76"/>
    <n v="42"/>
    <s v="188.147.101.204"/>
    <s v="Link"/>
    <m/>
    <m/>
    <m/>
    <m/>
    <s v="Zakończono"/>
    <s v="2020-11-02 12:33:43"/>
    <s v="2020-11-02 13:01:39"/>
    <n v="1676"/>
    <n v="0"/>
    <s v="Tak (kontynuacja ankiety)"/>
    <x v="0"/>
    <m/>
    <m/>
    <m/>
    <m/>
    <m/>
    <m/>
    <m/>
    <m/>
    <m/>
    <m/>
    <m/>
    <m/>
    <m/>
    <m/>
    <m/>
    <x v="0"/>
    <s v="Uniwersytet Gdański"/>
    <n v="1998"/>
    <s v="nie"/>
    <s v="Zarządzanie, Finanse i Bankowość"/>
    <s v="raczej się zgadzam"/>
    <s v="ani się zgadzam, ani nie zgadzam"/>
    <s v="ani się zgadzam, ani nie zgadzam"/>
    <s v="nie zgadzam się"/>
    <s v="ani się zgadzam, ani nie zgadzam"/>
    <n v="0"/>
    <s v="powyżej 1000 zł, ale nie więcej niż 2000 zł"/>
    <s v="powyżej 2000 zł, ale nie więcej niż 3000 zł"/>
    <s v="nic"/>
    <s v="nic"/>
    <s v="mała kompetencja nauczycieli"/>
    <s v="stacjonarne (dzienne) studia 2 stopnia (magisterskie)"/>
    <m/>
    <x v="1"/>
    <m/>
    <m/>
    <m/>
    <m/>
    <m/>
    <m/>
    <m/>
    <m/>
    <m/>
    <m/>
    <m/>
    <m/>
    <m/>
    <m/>
    <m/>
    <m/>
    <m/>
    <m/>
    <m/>
    <m/>
    <m/>
    <m/>
    <m/>
    <m/>
    <m/>
    <m/>
    <m/>
    <m/>
    <m/>
    <m/>
    <m/>
    <m/>
    <m/>
    <m/>
    <m/>
    <m/>
    <m/>
    <m/>
    <m/>
    <m/>
    <m/>
    <m/>
    <m/>
    <m/>
    <m/>
    <x v="0"/>
    <m/>
    <m/>
    <m/>
    <m/>
    <m/>
    <m/>
    <m/>
    <m/>
    <m/>
    <x v="0"/>
    <m/>
    <m/>
    <m/>
    <m/>
    <m/>
    <m/>
    <m/>
    <m/>
    <m/>
    <x v="1"/>
    <m/>
    <m/>
    <m/>
    <m/>
    <m/>
    <m/>
    <m/>
    <m/>
    <m/>
    <m/>
    <m/>
    <m/>
    <m/>
    <m/>
    <m/>
    <m/>
    <m/>
    <m/>
    <m/>
    <m/>
    <m/>
    <m/>
    <m/>
    <m/>
    <m/>
    <m/>
    <m/>
    <m/>
    <x v="0"/>
    <s v="Nie"/>
    <s v="nie dotyczy"/>
    <s v="nie dotyczy"/>
    <s v="ani się zgadzam, ani nie zgadzam"/>
    <s v="ani się zgadzam, ani nie zgadzam"/>
    <s v="ani się zgadzam, ani nie zgadzam"/>
    <s v="Tak"/>
    <s v="nie dotyczy"/>
    <s v="nie dotyczy"/>
    <s v="Nie (przejście do kolejnej części badania)"/>
    <m/>
    <m/>
    <m/>
    <m/>
    <m/>
    <m/>
    <m/>
    <m/>
    <m/>
    <m/>
    <m/>
    <m/>
    <m/>
    <m/>
    <m/>
    <x v="0"/>
    <m/>
    <m/>
    <m/>
    <m/>
    <m/>
    <m/>
    <m/>
    <m/>
    <m/>
    <m/>
    <m/>
    <m/>
    <m/>
    <m/>
    <m/>
    <m/>
    <m/>
    <m/>
    <m/>
    <m/>
    <m/>
    <m/>
    <m/>
    <m/>
    <m/>
    <m/>
    <m/>
    <m/>
    <m/>
    <m/>
    <m/>
    <m/>
    <m/>
    <s v="poziom kadry nauczycielskiej"/>
    <s v="możliwość uczenia sie od &quot;mistrzów&quot; w danej dziedzinie"/>
    <s v="poziom kadry nauczycielskiej"/>
    <x v="0"/>
    <n v="1974"/>
    <s v="miasto wojewódzkie"/>
    <s v="Gdańsk"/>
    <m/>
    <m/>
    <m/>
  </r>
  <r>
    <n v="179"/>
    <n v="101"/>
    <n v="42"/>
    <s v="212.237.134.195"/>
    <s v="Link"/>
    <m/>
    <m/>
    <m/>
    <m/>
    <s v="Zakończono"/>
    <s v="2020-12-18 13:27:06"/>
    <s v="2020-12-18 14:11:51"/>
    <n v="2685"/>
    <n v="0"/>
    <s v="Tak (kontynuacja ankiety)"/>
    <x v="0"/>
    <m/>
    <m/>
    <m/>
    <m/>
    <m/>
    <m/>
    <m/>
    <m/>
    <m/>
    <m/>
    <m/>
    <m/>
    <m/>
    <m/>
    <m/>
    <x v="0"/>
    <s v="University of Suffolk "/>
    <n v="1996"/>
    <s v="nie"/>
    <s v="BA Business Admin"/>
    <s v="raczej się zgadzam"/>
    <s v="ani się zgadzam, ani nie zgadzam"/>
    <s v="raczej się zgadzam"/>
    <s v="raczej się zgadzam"/>
    <s v="ani się zgadzam, ani nie zgadzam"/>
    <s v="2 months "/>
    <s v="powyżej 10.000 zł"/>
    <s v="powyżej 10.000 zł"/>
    <s v="Good base knowledge. "/>
    <s v="Good social atmosphere "/>
    <s v="Too much socialising "/>
    <s v="stacjonarne (dzienne) studia 1 stopnia (licencjackie / inżynierskie)"/>
    <m/>
    <x v="1"/>
    <m/>
    <m/>
    <m/>
    <m/>
    <m/>
    <m/>
    <m/>
    <m/>
    <m/>
    <m/>
    <m/>
    <m/>
    <m/>
    <m/>
    <m/>
    <m/>
    <m/>
    <m/>
    <m/>
    <m/>
    <m/>
    <m/>
    <m/>
    <m/>
    <m/>
    <m/>
    <m/>
    <m/>
    <m/>
    <m/>
    <m/>
    <m/>
    <m/>
    <m/>
    <m/>
    <m/>
    <m/>
    <m/>
    <m/>
    <m/>
    <m/>
    <m/>
    <m/>
    <m/>
    <m/>
    <x v="0"/>
    <m/>
    <m/>
    <m/>
    <m/>
    <m/>
    <m/>
    <m/>
    <m/>
    <m/>
    <x v="0"/>
    <m/>
    <m/>
    <m/>
    <m/>
    <m/>
    <m/>
    <m/>
    <m/>
    <m/>
    <x v="1"/>
    <m/>
    <m/>
    <m/>
    <m/>
    <m/>
    <m/>
    <m/>
    <m/>
    <m/>
    <m/>
    <m/>
    <m/>
    <m/>
    <m/>
    <m/>
    <m/>
    <m/>
    <m/>
    <m/>
    <m/>
    <m/>
    <m/>
    <m/>
    <m/>
    <m/>
    <m/>
    <m/>
    <m/>
    <x v="0"/>
    <s v="Nie"/>
    <n v="1"/>
    <s v="Suffolk university "/>
    <s v="zgadzam się"/>
    <s v="raczej się zgadzam"/>
    <s v="raczej się zgadzam"/>
    <s v="Tak"/>
    <s v="Finance "/>
    <s v="Technology in finance"/>
    <s v="Nie (przejście do kolejnej części badania)"/>
    <m/>
    <m/>
    <m/>
    <m/>
    <m/>
    <m/>
    <m/>
    <m/>
    <m/>
    <m/>
    <m/>
    <m/>
    <m/>
    <m/>
    <m/>
    <x v="0"/>
    <m/>
    <m/>
    <m/>
    <m/>
    <m/>
    <m/>
    <m/>
    <m/>
    <m/>
    <m/>
    <m/>
    <m/>
    <m/>
    <m/>
    <m/>
    <m/>
    <m/>
    <m/>
    <m/>
    <m/>
    <m/>
    <m/>
    <m/>
    <m/>
    <m/>
    <m/>
    <m/>
    <m/>
    <m/>
    <m/>
    <m/>
    <m/>
    <m/>
    <s v="Student culture. Teaching staff"/>
    <s v="Teaching staff"/>
    <s v="Bad scheduling "/>
    <x v="0"/>
    <n v="1974"/>
    <s v="duże miasto powiatowe"/>
    <m/>
    <s v="ITIL masters"/>
    <m/>
    <m/>
  </r>
  <r>
    <n v="114"/>
    <n v="68"/>
    <n v="41"/>
    <s v="91.231.25.170"/>
    <s v="Link"/>
    <m/>
    <m/>
    <m/>
    <m/>
    <s v="Zakończono"/>
    <s v="2020-09-07 11:17:46"/>
    <s v="2020-09-07 11:32:08"/>
    <n v="862"/>
    <n v="0"/>
    <s v="Tak (kontynuacja ankiety)"/>
    <x v="0"/>
    <m/>
    <m/>
    <m/>
    <m/>
    <m/>
    <m/>
    <m/>
    <m/>
    <m/>
    <m/>
    <m/>
    <m/>
    <m/>
    <m/>
    <m/>
    <x v="0"/>
    <s v="Uniwersytet Gdański"/>
    <n v="2007"/>
    <s v="nie"/>
    <s v="Zarządzanie"/>
    <s v="ani się zgadzam, ani nie zgadzam"/>
    <s v="ani się zgadzam, ani nie zgadzam"/>
    <s v="zgadzam się"/>
    <s v="raczej się zgadzam"/>
    <s v="zgadzam się"/>
    <s v="praca przed ukończeniem studiów"/>
    <s v="powyżej 1000 zł, ale nie więcej niż 2000 zł"/>
    <s v="powyżej 2000 zł, ale nie więcej niż 3000 zł"/>
    <m/>
    <s v="studia zaoczne umożliwiające pracę zawodową"/>
    <s v="w tamtym okresie zbyt mały nacisk na pracę z komuperem"/>
    <s v="niestacjonarne (zaoczne) studia 2 stopnia (magisterskie)"/>
    <m/>
    <x v="1"/>
    <m/>
    <m/>
    <m/>
    <m/>
    <m/>
    <m/>
    <m/>
    <m/>
    <m/>
    <m/>
    <m/>
    <m/>
    <m/>
    <m/>
    <m/>
    <m/>
    <m/>
    <m/>
    <m/>
    <m/>
    <m/>
    <m/>
    <m/>
    <m/>
    <m/>
    <m/>
    <m/>
    <m/>
    <m/>
    <m/>
    <m/>
    <m/>
    <m/>
    <m/>
    <m/>
    <m/>
    <m/>
    <m/>
    <m/>
    <m/>
    <m/>
    <m/>
    <m/>
    <m/>
    <m/>
    <x v="0"/>
    <m/>
    <m/>
    <m/>
    <m/>
    <m/>
    <m/>
    <m/>
    <m/>
    <m/>
    <x v="0"/>
    <m/>
    <m/>
    <m/>
    <m/>
    <m/>
    <m/>
    <m/>
    <m/>
    <m/>
    <x v="1"/>
    <m/>
    <m/>
    <m/>
    <m/>
    <m/>
    <m/>
    <m/>
    <m/>
    <m/>
    <m/>
    <m/>
    <m/>
    <m/>
    <m/>
    <m/>
    <m/>
    <m/>
    <m/>
    <m/>
    <m/>
    <m/>
    <m/>
    <m/>
    <m/>
    <m/>
    <m/>
    <m/>
    <m/>
    <x v="1"/>
    <s v="Tak"/>
    <s v="nie dotyczy"/>
    <s v="Uniwerystet Gdański"/>
    <s v="ani się zgadzam, ani nie zgadzam"/>
    <s v="ani się zgadzam, ani nie zgadzam"/>
    <s v="ani się zgadzam, ani nie zgadzam"/>
    <s v="Tak"/>
    <m/>
    <s v="jjj"/>
    <s v="Nie (przejście do kolejnej części badania)"/>
    <m/>
    <m/>
    <m/>
    <m/>
    <m/>
    <m/>
    <m/>
    <m/>
    <m/>
    <m/>
    <m/>
    <m/>
    <m/>
    <m/>
    <m/>
    <x v="0"/>
    <s v="nie dotyczy"/>
    <m/>
    <s v="nie dotyczy"/>
    <m/>
    <m/>
    <m/>
    <m/>
    <m/>
    <m/>
    <m/>
    <m/>
    <m/>
    <m/>
    <m/>
    <m/>
    <m/>
    <m/>
    <m/>
    <m/>
    <m/>
    <m/>
    <m/>
    <m/>
    <m/>
    <m/>
    <m/>
    <m/>
    <m/>
    <m/>
    <m/>
    <m/>
    <m/>
    <m/>
    <s v="Przedewszystkim nacisk na umiejętności i wiedzę praktyczną"/>
    <s v="Nauka oparta na praktyce zawodowej, praca nad projektami. Taka wiedza jest przydatna w późniejszej.pracy"/>
    <s v="Niekompetentna kadra"/>
    <x v="1"/>
    <n v="1982"/>
    <s v="miasto wojewódzkie"/>
    <m/>
    <m/>
    <m/>
    <m/>
  </r>
  <r>
    <n v="133"/>
    <n v="81"/>
    <n v="41"/>
    <s v="153.19.33.88"/>
    <s v="Link"/>
    <m/>
    <m/>
    <m/>
    <m/>
    <s v="Zakończono"/>
    <s v="2020-11-27 21:07:14"/>
    <s v="2020-11-27 21:13:21"/>
    <n v="367"/>
    <n v="0"/>
    <s v="Tak (kontynuacja ankiety)"/>
    <x v="0"/>
    <m/>
    <m/>
    <m/>
    <m/>
    <m/>
    <m/>
    <m/>
    <m/>
    <m/>
    <m/>
    <m/>
    <m/>
    <m/>
    <m/>
    <m/>
    <x v="0"/>
    <s v="Uniwersytet Gdański"/>
    <n v="2006"/>
    <s v="nie"/>
    <s v="Psychologia"/>
    <s v="raczej się zgadzam"/>
    <s v="raczej się zgadzam"/>
    <s v="zdecydowanie się zgadzam"/>
    <s v="nie zgadzam się"/>
    <s v="ani się zgadzam, ani nie zgadzam"/>
    <n v="3"/>
    <s v="powyżej 1000 zł, ale nie więcej niż 2000 zł"/>
    <s v="powyżej 2000 zł, ale nie więcej niż 3000 zł"/>
    <s v="Nie mógłbym robić tego, co robię jeśli nie ukończyłbym studiów"/>
    <s v="Interesowałem się tematem studiów, ciekawiły mnie zajęcia"/>
    <s v="Niektóre zajęcia były słabo prowadzone, małe odniesienie do praktyki"/>
    <s v="stacjonarne (dzienne) studia 2 stopnia (magisterskie)"/>
    <s v="Studia jednolite, bez podziału na stopnie"/>
    <x v="1"/>
    <m/>
    <m/>
    <m/>
    <m/>
    <m/>
    <m/>
    <m/>
    <m/>
    <m/>
    <m/>
    <m/>
    <m/>
    <m/>
    <m/>
    <m/>
    <m/>
    <m/>
    <m/>
    <m/>
    <m/>
    <m/>
    <m/>
    <m/>
    <m/>
    <m/>
    <m/>
    <m/>
    <m/>
    <m/>
    <m/>
    <m/>
    <m/>
    <m/>
    <m/>
    <m/>
    <m/>
    <m/>
    <m/>
    <m/>
    <m/>
    <m/>
    <m/>
    <m/>
    <m/>
    <m/>
    <x v="0"/>
    <m/>
    <m/>
    <m/>
    <m/>
    <m/>
    <m/>
    <m/>
    <m/>
    <m/>
    <x v="1"/>
    <s v="Politechnika Gdańska"/>
    <s v="Wydział Zarządzania i Ekonomii"/>
    <s v="zdecydowanie się zgadzam"/>
    <s v="zgadzam się"/>
    <s v="zgadzam się"/>
    <s v="zdecydowanie się zgadzam"/>
    <s v="raczej się zgadzam"/>
    <s v="raczej się zgadzam"/>
    <s v="Szerokie spojrzenie na rzeczywistość, rozumienie jej, dyplom pomagający w życiu zawodowym"/>
    <x v="1"/>
    <m/>
    <m/>
    <m/>
    <m/>
    <m/>
    <m/>
    <m/>
    <m/>
    <m/>
    <m/>
    <m/>
    <m/>
    <m/>
    <m/>
    <m/>
    <m/>
    <m/>
    <m/>
    <m/>
    <m/>
    <m/>
    <m/>
    <m/>
    <m/>
    <m/>
    <m/>
    <m/>
    <m/>
    <x v="1"/>
    <m/>
    <m/>
    <m/>
    <m/>
    <m/>
    <m/>
    <m/>
    <m/>
    <m/>
    <m/>
    <m/>
    <m/>
    <m/>
    <m/>
    <m/>
    <m/>
    <m/>
    <m/>
    <m/>
    <m/>
    <m/>
    <m/>
    <m/>
    <m/>
    <m/>
    <x v="0"/>
    <m/>
    <m/>
    <m/>
    <m/>
    <m/>
    <m/>
    <m/>
    <m/>
    <m/>
    <m/>
    <m/>
    <m/>
    <m/>
    <m/>
    <m/>
    <m/>
    <m/>
    <m/>
    <m/>
    <m/>
    <m/>
    <m/>
    <m/>
    <m/>
    <m/>
    <m/>
    <m/>
    <m/>
    <m/>
    <m/>
    <m/>
    <m/>
    <m/>
    <s v="Badania, środki finansowe, wymagania wobec studentów i wykładowców"/>
    <s v="Wiedza"/>
    <s v="Bałagan organizacyjny"/>
    <x v="0"/>
    <n v="1982"/>
    <s v="miasto wojewódzkie"/>
    <m/>
    <m/>
    <m/>
    <m/>
  </r>
  <r>
    <n v="223"/>
    <n v="122"/>
    <n v="41"/>
    <s v="37.47.234.245"/>
    <s v="Link"/>
    <m/>
    <m/>
    <m/>
    <m/>
    <s v="Zakończono"/>
    <s v="2020-12-21 14:03:37"/>
    <s v="2020-12-21 14:14:50"/>
    <n v="673"/>
    <n v="0"/>
    <s v="Tak (kontynuacja ankiety)"/>
    <x v="0"/>
    <m/>
    <m/>
    <m/>
    <m/>
    <m/>
    <m/>
    <m/>
    <m/>
    <m/>
    <m/>
    <m/>
    <m/>
    <m/>
    <m/>
    <m/>
    <x v="0"/>
    <s v="Uniwersytet Gdański"/>
    <n v="2005"/>
    <s v="nie"/>
    <s v="informatyka"/>
    <s v="raczej się zgadzam"/>
    <s v="zdecydowanie się zgadzam"/>
    <s v="zdecydowanie się zgadzam"/>
    <s v="raczej się nie zgadzam"/>
    <s v="raczej się zgadzam"/>
    <s v="praca przed ukończeniem studiów"/>
    <s v="powyżej 2000 zł, ale nie więcej niż 3000 zł"/>
    <s v="powyżej 3000 zł, ale nie więcej niż 4000 zł"/>
    <s v="zawód jest jednocześnie moim hobby"/>
    <s v="ciekawe przedmioty, fajna atmosfera, czas na samodokształcanie"/>
    <s v="niektóre egzaminy matematyczne były trudne, tj. wymagały dużego nakładu pracy, a nie były ściśle związane z kierunkiem"/>
    <m/>
    <s v="jednolite studia magisterskie"/>
    <x v="1"/>
    <m/>
    <m/>
    <m/>
    <m/>
    <m/>
    <m/>
    <m/>
    <m/>
    <m/>
    <m/>
    <m/>
    <m/>
    <m/>
    <m/>
    <m/>
    <m/>
    <m/>
    <m/>
    <m/>
    <m/>
    <m/>
    <m/>
    <m/>
    <m/>
    <m/>
    <m/>
    <m/>
    <m/>
    <m/>
    <m/>
    <m/>
    <m/>
    <m/>
    <m/>
    <m/>
    <m/>
    <m/>
    <m/>
    <m/>
    <m/>
    <m/>
    <m/>
    <m/>
    <m/>
    <m/>
    <x v="0"/>
    <m/>
    <m/>
    <m/>
    <m/>
    <m/>
    <m/>
    <m/>
    <m/>
    <m/>
    <x v="1"/>
    <s v="Politechnika Gdańska"/>
    <s v="Wydział Elektroniki Telekomunikacji i Informatyki"/>
    <s v="zgadzam się"/>
    <s v="zgadzam się"/>
    <s v="ani się zgadzam, ani nie zgadzam"/>
    <s v="zgadzam się"/>
    <s v="zdecydowanie się zgadzam"/>
    <s v="zdecydowanie się zgadzam"/>
    <s v="studenci są bardzo dobrze przygotowani do zawodu i dobrze sobie radzą na ryku pracy"/>
    <x v="1"/>
    <m/>
    <m/>
    <m/>
    <m/>
    <m/>
    <m/>
    <m/>
    <m/>
    <m/>
    <m/>
    <m/>
    <m/>
    <m/>
    <m/>
    <m/>
    <m/>
    <m/>
    <m/>
    <m/>
    <m/>
    <m/>
    <m/>
    <m/>
    <m/>
    <m/>
    <m/>
    <m/>
    <m/>
    <x v="1"/>
    <m/>
    <m/>
    <m/>
    <m/>
    <m/>
    <m/>
    <m/>
    <m/>
    <m/>
    <m/>
    <m/>
    <m/>
    <m/>
    <m/>
    <m/>
    <m/>
    <m/>
    <m/>
    <m/>
    <m/>
    <m/>
    <m/>
    <m/>
    <m/>
    <m/>
    <x v="0"/>
    <m/>
    <m/>
    <m/>
    <m/>
    <m/>
    <m/>
    <m/>
    <m/>
    <m/>
    <m/>
    <m/>
    <m/>
    <m/>
    <m/>
    <m/>
    <m/>
    <m/>
    <m/>
    <m/>
    <m/>
    <m/>
    <m/>
    <m/>
    <m/>
    <m/>
    <m/>
    <m/>
    <m/>
    <m/>
    <m/>
    <m/>
    <m/>
    <m/>
    <s v="współpraca z biznesem, rozwój kadry "/>
    <s v="gdy widzę,  że to, czego się uczyłam ma zastosowanie w praktyce"/>
    <s v="gdy nie widzę,  że to, czego się uczyłam ma zastosowanie w praktyce"/>
    <x v="1"/>
    <n v="1981"/>
    <s v="miasto wojewódzkie"/>
    <m/>
    <s v="stopień naukowy doktora"/>
    <m/>
    <m/>
  </r>
  <r>
    <n v="60"/>
    <n v="35"/>
    <n v="40"/>
    <s v="185.233.26.5"/>
    <s v="Link"/>
    <s v="http://m.facebook.com/"/>
    <m/>
    <m/>
    <m/>
    <s v="Zakończono"/>
    <s v="2020-05-16 20:50:56"/>
    <s v="2020-05-16 21:03:46"/>
    <n v="770"/>
    <n v="0"/>
    <s v="Tak (kontynuacja ankiety)"/>
    <x v="0"/>
    <m/>
    <m/>
    <m/>
    <m/>
    <m/>
    <m/>
    <m/>
    <m/>
    <m/>
    <m/>
    <m/>
    <m/>
    <m/>
    <m/>
    <m/>
    <x v="0"/>
    <s v="Uniwersytet Jagielloński"/>
    <s v="2013 (magisterium); 2019 (doktorat)"/>
    <s v="nie"/>
    <s v="Polonistyka; doktorat w zakresie językoznawstwa"/>
    <s v="zdecydowanie się zgadzam"/>
    <s v="zdecydowanie się zgadzam"/>
    <s v="zdecydowanie się zgadzam"/>
    <s v="zgadzam się"/>
    <s v="nie dotyczy"/>
    <s v="Po uzyskaniu stopnia doktora od razu zostałam zatrudniona."/>
    <s v="powyżej 2000 zł, ale nie więcej niż 3000 zł"/>
    <s v="nie dotyczy"/>
    <m/>
    <s v="Stypendia, kompetentna kadra naukowa."/>
    <s v="Duże wymagania na studiach I i II stopnia."/>
    <s v="stacjonarne (dzienne) studia 2 stopnia (magisterskie)"/>
    <s v="Studia III stopnia"/>
    <x v="1"/>
    <m/>
    <m/>
    <m/>
    <m/>
    <m/>
    <m/>
    <m/>
    <m/>
    <m/>
    <m/>
    <m/>
    <m/>
    <m/>
    <m/>
    <m/>
    <m/>
    <m/>
    <m/>
    <m/>
    <m/>
    <m/>
    <m/>
    <m/>
    <m/>
    <m/>
    <m/>
    <m/>
    <m/>
    <m/>
    <m/>
    <m/>
    <m/>
    <m/>
    <m/>
    <m/>
    <m/>
    <m/>
    <m/>
    <m/>
    <m/>
    <m/>
    <m/>
    <m/>
    <m/>
    <m/>
    <x v="0"/>
    <m/>
    <m/>
    <m/>
    <m/>
    <m/>
    <m/>
    <m/>
    <m/>
    <m/>
    <x v="1"/>
    <s v="Uniwersytet Jagielloński"/>
    <s v="Wydział Polonistyki"/>
    <s v="zdecydowanie się zgadzam"/>
    <s v="zdecydowanie się zgadzam"/>
    <s v="zdecydowanie się zgadzam"/>
    <s v="zdecydowanie się zgadzam"/>
    <s v="zdecydowanie się zgadzam"/>
    <s v="zgadzam się"/>
    <m/>
    <x v="1"/>
    <m/>
    <m/>
    <m/>
    <m/>
    <m/>
    <m/>
    <m/>
    <m/>
    <m/>
    <m/>
    <m/>
    <m/>
    <m/>
    <m/>
    <m/>
    <m/>
    <m/>
    <m/>
    <m/>
    <m/>
    <m/>
    <m/>
    <m/>
    <m/>
    <m/>
    <m/>
    <m/>
    <m/>
    <x v="1"/>
    <m/>
    <m/>
    <m/>
    <m/>
    <m/>
    <m/>
    <m/>
    <m/>
    <m/>
    <m/>
    <m/>
    <m/>
    <m/>
    <m/>
    <m/>
    <m/>
    <m/>
    <m/>
    <m/>
    <m/>
    <m/>
    <m/>
    <m/>
    <m/>
    <m/>
    <x v="0"/>
    <s v="nie dotyczy"/>
    <m/>
    <m/>
    <m/>
    <m/>
    <m/>
    <m/>
    <m/>
    <m/>
    <m/>
    <m/>
    <m/>
    <m/>
    <m/>
    <m/>
    <m/>
    <m/>
    <m/>
    <m/>
    <m/>
    <m/>
    <m/>
    <m/>
    <m/>
    <m/>
    <m/>
    <m/>
    <m/>
    <m/>
    <m/>
    <m/>
    <m/>
    <m/>
    <s v="Jakość prowadzonych badań, wykwalifikowana kadra naukowa."/>
    <s v="Jw."/>
    <s v="Rozbudowana biurokracja. Rozumiem jednak, że jest ona konieczna w tak dużej jednostce; Ciągle zmiany zasad ewaluacji pracowników naukowych – jednak na nie nie ma wpływu uniwersytet, ale MNiSW."/>
    <x v="1"/>
    <n v="1989"/>
    <s v="miasto wojewódzkie"/>
    <m/>
    <m/>
    <m/>
    <m/>
  </r>
  <r>
    <n v="7"/>
    <n v="7"/>
    <n v="37"/>
    <s v="81.190.102.150"/>
    <s v="Link"/>
    <s v="https://poczta.wp.pl/k/"/>
    <m/>
    <m/>
    <m/>
    <s v="Zakończono"/>
    <s v="2020-05-04 13:51:42"/>
    <s v="2020-05-04 13:58:44"/>
    <n v="422"/>
    <n v="0"/>
    <s v="Tak (kontynuacja ankiety)"/>
    <x v="0"/>
    <m/>
    <m/>
    <m/>
    <m/>
    <m/>
    <m/>
    <m/>
    <m/>
    <m/>
    <m/>
    <m/>
    <m/>
    <m/>
    <m/>
    <m/>
    <x v="0"/>
    <s v="Politechnika Gdańska"/>
    <n v="2013"/>
    <s v="tak"/>
    <s v="Matematyka Stosowana"/>
    <s v="zdecydowanie się zgadzam"/>
    <s v="zgadzam się"/>
    <s v="zdecydowanie się zgadzam"/>
    <s v="zdecydowanie się zgadzam"/>
    <s v="zdecydowanie się zgadzam"/>
    <n v="4"/>
    <s v="powyżej 3000 zł, ale nie więcej niż 4000 zł"/>
    <s v="powyżej 3000 zł, ale nie więcej niż 4000 zł"/>
    <s v="Analityczne podejście, szybkie przyswajanie nowych zagadnień."/>
    <s v="Kadra, współstudiujący, ciekawe zagadnienia"/>
    <s v="Stres"/>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
    <s v="."/>
    <s v="."/>
    <x v="0"/>
    <n v="1988"/>
    <s v="miasto gminne"/>
    <m/>
    <s v="Nie dotyczy"/>
    <s v="Nie dotyczy"/>
    <m/>
  </r>
  <r>
    <n v="37"/>
    <n v="25"/>
    <n v="37"/>
    <s v="83.26.246.110"/>
    <s v="Link"/>
    <s v="https://www.facebook.com/"/>
    <m/>
    <m/>
    <m/>
    <s v="Zakończono"/>
    <s v="2020-05-16 17:08:00"/>
    <s v="2020-05-16 17:14:34"/>
    <n v="394"/>
    <n v="0"/>
    <s v="Tak (kontynuacja ankiety)"/>
    <x v="0"/>
    <m/>
    <m/>
    <m/>
    <m/>
    <m/>
    <m/>
    <m/>
    <m/>
    <m/>
    <m/>
    <m/>
    <m/>
    <m/>
    <m/>
    <m/>
    <x v="0"/>
    <s v="Uniwersytet Jagielloński"/>
    <n v="2019"/>
    <s v="nie"/>
    <s v="polonistyka - krytyka literacka"/>
    <s v="raczej się zgadzam"/>
    <s v="raczej się zgadzam"/>
    <s v="raczej się zgadzam"/>
    <s v="zgadzam się"/>
    <s v="nie dotyczy"/>
    <n v="0"/>
    <s v="powyżej 3000 zł, ale nie więcej niż 4000 zł"/>
    <s v="nie dotyczy"/>
    <s v="kontakty, znajomości, możliwość kontynuowania edukacji na doktoracie"/>
    <s v="kompetencja pracowników uniwersytetu"/>
    <s v="niekompetencja studentów na kierunku"/>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kadra naukowa, zróżnicowanie oferty edukacyjnej"/>
    <s v="poczucie rozwoju "/>
    <s v="skomplikowana administracja"/>
    <x v="1"/>
    <n v="1994"/>
    <s v="miasto gminne"/>
    <m/>
    <s v="licencjat z polonistyki i absolutorium z komunikacji wizerunkowej na Uniwersytecie Wrocławskim"/>
    <s v="studia w Szkole Doktorskiej Nauk Humanistycznych Uniwersytetu Jagiellońskiego"/>
    <m/>
  </r>
  <r>
    <n v="63"/>
    <n v="37"/>
    <n v="37"/>
    <s v="188.147.40.154"/>
    <s v="Link"/>
    <s v="http://m.facebook.com/"/>
    <m/>
    <m/>
    <m/>
    <s v="Zakończono"/>
    <s v="2020-05-16 23:43:34"/>
    <s v="2020-05-16 23:56:24"/>
    <n v="770"/>
    <n v="0"/>
    <s v="Tak (kontynuacja ankiety)"/>
    <x v="0"/>
    <m/>
    <m/>
    <m/>
    <m/>
    <m/>
    <m/>
    <m/>
    <m/>
    <m/>
    <m/>
    <m/>
    <m/>
    <m/>
    <m/>
    <m/>
    <x v="0"/>
    <s v="Uniwersytet Jagielloński "/>
    <n v="2017"/>
    <s v="nie"/>
    <s v="Polonistyka"/>
    <s v="zdecydowanie się zgadzam"/>
    <s v="zdecydowanie się zgadzam"/>
    <s v="zgadzam się"/>
    <s v="nie zgadzam się"/>
    <s v="zdecydowanie się zgadzam"/>
    <s v="Umowę o pracy nauczyciela podpisałam w maju lub czerwcu, pracę podjęłam we wrześniu, wtedy zyskałam tytuł magistra. "/>
    <s v="powyżej 1000 zł, ale nie więcej niż 2000 zł"/>
    <s v="powyżej 3000 zł, ale nie więcej niż 4000 zł"/>
    <s v="Elastyczność, kreatywność, samodzielność. "/>
    <s v="Wysoki poziom zajęć, kompetentni i w większości przyjaźni prowadzący. "/>
    <s v="Zbyt duża presja, ogromny stres podczas egzaminów, konieczność łączenia nauki z pracą dotyczą. "/>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Zbyt niski próg przyjmowania studentów, zbyt mały &quot;odsiew&quot; podczas sesji tych osób, które jedynie prześlizgują się między egzaminami. "/>
    <s v="Ciekawe zajęcia, bardzo kompetentni wykładowcy, renoma uczelni, bardzo duża ilość materiału do opanowania, praktyki studenckie."/>
    <s v="Niektórzy studenci powinni być wydaleni z kierunku ze względu na brak odpowiednio wysokiej wiedzy i umiejętności. "/>
    <x v="1"/>
    <n v="1994"/>
    <s v="nieduże miasto powiatowe"/>
    <m/>
    <s v="Brak"/>
    <s v="brak"/>
    <m/>
  </r>
  <r>
    <n v="97"/>
    <n v="60"/>
    <n v="37"/>
    <s v="83.23.251.31"/>
    <s v="Link"/>
    <s v="https://ankietaplus.pl/ankiety/analiza/statystyki/13308"/>
    <m/>
    <m/>
    <m/>
    <s v="Zakończono"/>
    <s v="2020-07-26 19:17:17"/>
    <s v="2020-07-26 19:50:00"/>
    <n v="1963"/>
    <n v="0"/>
    <s v="Tak (kontynuacja ankiety)"/>
    <x v="0"/>
    <m/>
    <m/>
    <m/>
    <m/>
    <m/>
    <m/>
    <m/>
    <m/>
    <m/>
    <m/>
    <m/>
    <m/>
    <m/>
    <m/>
    <m/>
    <x v="0"/>
    <s v="Uniwersytet Szczeciński"/>
    <n v="1996"/>
    <s v="nie"/>
    <s v="Polonistyka"/>
    <s v="raczej się nie zgadzam"/>
    <s v="ani się zgadzam, ani nie zgadzam"/>
    <s v="zdecydowanie się zgadzam"/>
    <s v="zdecydowanie się nie zgadzam"/>
    <s v="zdecydowanie się nie zgadzam"/>
    <s v="przed ukończeniu studiów"/>
    <s v="powyżej 1000 zł, ale nie więcej niż 2000 zł"/>
    <s v="powyżej 1000 zł, ale nie więcej niż 2000 zł"/>
    <s v="możliwość dalszego rozwoju, znajomości z wartościowymi ludźmi"/>
    <s v="dobra atmosfera wśród grupy studentów"/>
    <s v="brak praktyki"/>
    <s v="niestacjonarne (zaoczne) studia 2 stopnia (magisterskie)"/>
    <m/>
    <x v="1"/>
    <m/>
    <m/>
    <m/>
    <m/>
    <m/>
    <m/>
    <m/>
    <m/>
    <m/>
    <m/>
    <m/>
    <m/>
    <m/>
    <m/>
    <m/>
    <m/>
    <m/>
    <m/>
    <m/>
    <m/>
    <m/>
    <m/>
    <m/>
    <m/>
    <m/>
    <m/>
    <m/>
    <m/>
    <m/>
    <m/>
    <m/>
    <m/>
    <m/>
    <m/>
    <m/>
    <m/>
    <m/>
    <m/>
    <m/>
    <m/>
    <m/>
    <m/>
    <m/>
    <m/>
    <m/>
    <x v="0"/>
    <m/>
    <m/>
    <m/>
    <m/>
    <m/>
    <m/>
    <m/>
    <m/>
    <m/>
    <x v="0"/>
    <m/>
    <m/>
    <m/>
    <m/>
    <m/>
    <m/>
    <m/>
    <m/>
    <m/>
    <x v="1"/>
    <m/>
    <m/>
    <m/>
    <m/>
    <m/>
    <m/>
    <m/>
    <m/>
    <m/>
    <m/>
    <m/>
    <m/>
    <m/>
    <m/>
    <m/>
    <m/>
    <m/>
    <m/>
    <m/>
    <m/>
    <m/>
    <m/>
    <m/>
    <m/>
    <m/>
    <m/>
    <m/>
    <m/>
    <x v="1"/>
    <s v="Tak"/>
    <s v="nie dotyczy"/>
    <m/>
    <m/>
    <m/>
    <m/>
    <m/>
    <m/>
    <m/>
    <m/>
    <m/>
    <m/>
    <m/>
    <m/>
    <m/>
    <m/>
    <m/>
    <m/>
    <m/>
    <m/>
    <m/>
    <m/>
    <m/>
    <m/>
    <m/>
    <x v="0"/>
    <s v="nie dotyczy"/>
    <m/>
    <s v="nie dotyczy"/>
    <m/>
    <m/>
    <m/>
    <m/>
    <m/>
    <m/>
    <m/>
    <m/>
    <m/>
    <m/>
    <m/>
    <m/>
    <m/>
    <m/>
    <m/>
    <m/>
    <m/>
    <m/>
    <m/>
    <m/>
    <m/>
    <m/>
    <m/>
    <m/>
    <m/>
    <m/>
    <m/>
    <m/>
    <m/>
    <m/>
    <s v="źle przygotowana kadra"/>
    <s v="ciekawe wykłady"/>
    <s v="lekceważenie studentów; odwoływanie zajęć bez powodu"/>
    <x v="1"/>
    <n v="1962"/>
    <s v="miasto gminne"/>
    <m/>
    <s v="historia - podyplomowe; bibliotekarstwo, ekonomia - policealne studium"/>
    <s v="brak"/>
    <m/>
  </r>
  <r>
    <n v="100"/>
    <n v="62"/>
    <n v="37"/>
    <s v="31.60.142.203"/>
    <s v="Link"/>
    <s v="https://ankietaplus.pl/s/jakoscuczelni1e"/>
    <m/>
    <m/>
    <m/>
    <s v="Zakończono"/>
    <s v="2020-08-12 22:01:09"/>
    <s v="2020-08-12 22:18:15"/>
    <n v="1026"/>
    <n v="0"/>
    <s v="Tak (kontynuacja ankiety)"/>
    <x v="0"/>
    <m/>
    <m/>
    <m/>
    <m/>
    <m/>
    <m/>
    <m/>
    <m/>
    <m/>
    <m/>
    <m/>
    <m/>
    <m/>
    <m/>
    <m/>
    <x v="0"/>
    <s v="AWF Kraków"/>
    <n v="2010"/>
    <s v="nie"/>
    <s v="Fizjoterapia"/>
    <s v="zdecydowanie się zgadzam"/>
    <s v="zdecydowanie się zgadzam"/>
    <s v="zgadzam się"/>
    <s v="nie zgadzam się"/>
    <s v="raczej się nie zgadzam"/>
    <s v="praca przed zakończeniem studiów"/>
    <s v="do 1000 zł"/>
    <s v="powyżej 1000 zł, ale nie więcej niż 2000 zł"/>
    <s v="Wstęp do dalszego rozwoju, poprzez kursy doskonalące; poznanie świetnych ludzi "/>
    <s v="dobra atmosfera"/>
    <s v="brak organizacji (brak informacji o odwoływanych zajęciach); złe warunki lokalowe; "/>
    <s v="niestacjonarne (zaocz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kwalifikacje kadry nauczającej; ilość godzin praktyk; możliwość odbywania staży; dobra atmosfera"/>
    <s v="ciekawe wykłady"/>
    <s v="brak odpowiedniego przygotowania do zawodu"/>
    <x v="0"/>
    <n v="1986"/>
    <s v="wieś"/>
    <m/>
    <s v="Brak"/>
    <s v="brak"/>
    <m/>
  </r>
  <r>
    <n v="111"/>
    <n v="66"/>
    <n v="37"/>
    <s v="31.0.40.119"/>
    <s v="Link"/>
    <m/>
    <m/>
    <m/>
    <m/>
    <s v="Zakończono"/>
    <s v="2020-08-26 21:36:47"/>
    <s v="2020-08-26 22:09:45"/>
    <n v="1978"/>
    <n v="0"/>
    <s v="Tak (kontynuacja ankiety)"/>
    <x v="0"/>
    <m/>
    <m/>
    <m/>
    <m/>
    <m/>
    <m/>
    <m/>
    <m/>
    <m/>
    <m/>
    <m/>
    <m/>
    <m/>
    <m/>
    <m/>
    <x v="0"/>
    <s v="SWPS"/>
    <n v="2009"/>
    <s v="nie"/>
    <s v="Psychologia"/>
    <s v="zgadzam się"/>
    <s v="raczej się zgadzam"/>
    <s v="zdecydowanie się zgadzam"/>
    <s v="raczej się zgadzam"/>
    <s v="zgadzam się"/>
    <s v="W miesiącu ukończenia studiów"/>
    <s v="powyżej 2000 zł, ale nie więcej niż 3000 zł"/>
    <s v="powyżej 3000 zł, ale nie więcej niż 4000 zł"/>
    <s v="Szeroka wiedza, możliwość pomocy"/>
    <s v="Ciekawe wykłady i zajęcia z praktykami"/>
    <s v="Brak stałych grup na zajeciach"/>
    <s v="niestacjonarne (zaoczne) studia 2 stopnia (magisterskie)"/>
    <s v="Psychologia"/>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Organizacja studiów, ciekawe zajęcia, nastawienie prostudenckie"/>
    <s v="Możliwość ciekawej pracy "/>
    <s v="Zajęcia w wielu różnych grupach przez co brak silnych znajomosci z okresu studiów "/>
    <x v="0"/>
    <n v="1978"/>
    <s v="miasto wojewódzkie"/>
    <m/>
    <s v="Szkolenia i kursy paychoterapeutyczne"/>
    <m/>
    <m/>
  </r>
  <r>
    <n v="22"/>
    <n v="19"/>
    <n v="36"/>
    <s v="94.42.33.80"/>
    <s v="Link"/>
    <s v="https://l.facebook.com/"/>
    <m/>
    <m/>
    <m/>
    <s v="Zakończono"/>
    <s v="2020-05-15 18:54:24"/>
    <s v="2020-05-15 19:12:19"/>
    <n v="1075"/>
    <n v="0"/>
    <s v="Tak (kontynuacja ankiety)"/>
    <x v="0"/>
    <m/>
    <m/>
    <m/>
    <m/>
    <m/>
    <m/>
    <m/>
    <m/>
    <m/>
    <m/>
    <m/>
    <m/>
    <m/>
    <m/>
    <m/>
    <x v="0"/>
    <s v="Uniwersytet Kardynała Stefana Wyszyńskiego w Warszawie"/>
    <n v="2010"/>
    <s v="nie"/>
    <s v="TEOLOGIA"/>
    <s v="ani się zgadzam, ani nie zgadzam"/>
    <s v="zgadzam się"/>
    <s v="raczej się zgadzam"/>
    <s v="zgadzam się"/>
    <s v="zgadzam się"/>
    <s v="1 MIESIĄC"/>
    <s v="powyżej 1000 zł, ale nie więcej niż 2000 zł"/>
    <s v="powyżej 2000 zł, ale nie więcej niż 3000 zł"/>
    <s v="łatwiejsze dostosowanie słownictwa do odpowiedniej grupy wiekowej"/>
    <s v="Forma zaliczeń, rodzaj studiów,"/>
    <s v="brak przerw miedzy wykładami "/>
    <s v="niestacjonarne (zaocz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podejście wykładowcy, przepływ informacji"/>
    <s v="podejście wykładowcy i jego zaangażowanie"/>
    <s v="przepływ informacji, zmianowość "/>
    <x v="1"/>
    <n v="1985"/>
    <s v="duże miasto powiatowe"/>
    <m/>
    <s v="technik masażysta, nauczyciel "/>
    <m/>
    <m/>
  </r>
  <r>
    <n v="32"/>
    <n v="22"/>
    <n v="36"/>
    <s v="5.173.72.244"/>
    <s v="Link"/>
    <s v="http://m.facebook.com/"/>
    <m/>
    <m/>
    <m/>
    <s v="Zakończono"/>
    <s v="2020-05-16 16:50:05"/>
    <s v="2020-05-16 16:58:15"/>
    <n v="490"/>
    <n v="0"/>
    <s v="Tak (kontynuacja ankiety)"/>
    <x v="1"/>
    <s v="Uniwersytet Jagielloński"/>
    <s v="nie"/>
    <s v="Filologia polska"/>
    <s v="zdecydowanie się zgadzam"/>
    <s v="zdecydowanie się zgadzam"/>
    <s v="zdecydowanie się zgadzam"/>
    <s v="4 lata - chciałabym dostać pracę na uczelni po studiach doktoranckich."/>
    <s v="powyżej 2000 zł, ale nie więcej niż 3000 zł"/>
    <s v="powyżej 2000 zł, ale nie więcej niż 3000 zł"/>
    <s v="Poszerzenia wiedzy z zakresu literaturoznawstwa i kompetencji badawczych, np. umiejętność pisania artykułów, a także kompetencji organizacyjnych, np. w zakresie organizacji konferencji naukowych, wydarzeń kulturalnych."/>
    <s v="wykładowcy, oferta przedmiotów, miejsce - zabytkowe budynki w centrum Krakowa, atmosfera na Wydziale, wydarzenia organizowane przez koła naukowe"/>
    <s v="Brak. Jestem całkowicie zadowolona z moich studiów."/>
    <s v="stacjonarne (dzienne) studia 2 stopnia (magisterskie)"/>
    <s v="Licencjackie również ukończyłam na tej samej uczelni i kierunku."/>
    <n v="10"/>
    <x v="1"/>
    <m/>
    <m/>
    <m/>
    <m/>
    <m/>
    <m/>
    <m/>
    <m/>
    <m/>
    <m/>
    <m/>
    <m/>
    <m/>
    <m/>
    <m/>
    <m/>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Kadra naukowa, oferta przedmiotów, przyjmowani studenciKadra naukowa"/>
    <s v="Wykładowcy, możliwość stworzenia własnego programu studiów"/>
    <s v="Brak"/>
    <x v="1"/>
    <n v="1996"/>
    <s v="miasto wojewódzkie"/>
    <m/>
    <s v="Ukończone studia licencjackie, również na filologii polskiej"/>
    <s v="Przerwałam studia na filologii francuskiej"/>
    <m/>
  </r>
  <r>
    <n v="34"/>
    <n v="24"/>
    <n v="36"/>
    <s v="37.47.81.77"/>
    <s v="Link"/>
    <s v="http://m.facebook.com/"/>
    <m/>
    <m/>
    <m/>
    <s v="Zakończono"/>
    <s v="2020-05-16 16:50:46"/>
    <s v="2020-05-16 17:02:35"/>
    <n v="709"/>
    <n v="0"/>
    <s v="Tak (kontynuacja ankiety)"/>
    <x v="0"/>
    <m/>
    <m/>
    <m/>
    <m/>
    <m/>
    <m/>
    <m/>
    <m/>
    <m/>
    <m/>
    <m/>
    <m/>
    <m/>
    <m/>
    <m/>
    <x v="0"/>
    <s v="Uniwersytet Jagielloński"/>
    <n v="2018"/>
    <s v="nie"/>
    <s v="Polonistyka spec. nauczycielska"/>
    <s v="raczej się zgadzam"/>
    <s v="raczej się zgadzam"/>
    <s v="ani się zgadzam, ani nie zgadzam"/>
    <s v="zdecydowanie się nie zgadzam"/>
    <s v="ani się zgadzam, ani nie zgadzam"/>
    <n v="2"/>
    <s v="powyżej 1000 zł, ale nie więcej niż 2000 zł"/>
    <s v="powyżej 3000 zł, ale nie więcej niż 4000 zł"/>
    <s v="Wiedzą, która można wykorzystać w pracy, wykształcone umiejętności"/>
    <s v="Przyjazna atmosfera, zagadnienia przekazywane w sposób klarowny i adekwatny do wymagań."/>
    <s v="Ogrom materiału w bardzo krótkim czasie praktycznie niemożliwy do samodzielnego przerobienia całości (liczba lektur)"/>
    <s v="stacjonarne (dzienne) studia 2 stopnia (magisterskie)"/>
    <m/>
    <x v="1"/>
    <m/>
    <m/>
    <m/>
    <m/>
    <m/>
    <m/>
    <m/>
    <m/>
    <m/>
    <m/>
    <m/>
    <m/>
    <m/>
    <m/>
    <m/>
    <m/>
    <m/>
    <m/>
    <m/>
    <m/>
    <m/>
    <m/>
    <m/>
    <m/>
    <m/>
    <m/>
    <m/>
    <m/>
    <m/>
    <m/>
    <m/>
    <m/>
    <m/>
    <m/>
    <m/>
    <m/>
    <m/>
    <m/>
    <m/>
    <m/>
    <m/>
    <m/>
    <m/>
    <m/>
    <m/>
    <x v="0"/>
    <m/>
    <m/>
    <m/>
    <m/>
    <m/>
    <m/>
    <m/>
    <m/>
    <m/>
    <x v="0"/>
    <m/>
    <m/>
    <m/>
    <m/>
    <m/>
    <m/>
    <m/>
    <m/>
    <m/>
    <x v="1"/>
    <m/>
    <m/>
    <m/>
    <m/>
    <m/>
    <m/>
    <m/>
    <m/>
    <m/>
    <m/>
    <m/>
    <m/>
    <m/>
    <m/>
    <m/>
    <m/>
    <m/>
    <m/>
    <m/>
    <m/>
    <m/>
    <m/>
    <m/>
    <m/>
    <m/>
    <m/>
    <m/>
    <m/>
    <x v="1"/>
    <s v="Nie"/>
    <m/>
    <m/>
    <m/>
    <m/>
    <m/>
    <m/>
    <m/>
    <m/>
    <m/>
    <m/>
    <m/>
    <m/>
    <m/>
    <m/>
    <m/>
    <m/>
    <m/>
    <m/>
    <m/>
    <m/>
    <m/>
    <m/>
    <m/>
    <m/>
    <x v="0"/>
    <s v="nie dotyczy"/>
    <m/>
    <s v="nie dotyczy"/>
    <m/>
    <m/>
    <m/>
    <m/>
    <m/>
    <m/>
    <m/>
    <m/>
    <m/>
    <m/>
    <m/>
    <m/>
    <m/>
    <m/>
    <m/>
    <m/>
    <m/>
    <m/>
    <m/>
    <m/>
    <m/>
    <m/>
    <m/>
    <m/>
    <m/>
    <m/>
    <m/>
    <m/>
    <m/>
    <m/>
    <s v="Wyrozumiała ale kompetentna kadra pracowników naukowych"/>
    <s v="Sposób przekazania wiedzy w sposób taki, że nawet po upływie czasu wiele rzeczy wciąż się pamięta."/>
    <s v="Biurokracja uczelniana, słaby obieg informacji, sztuczne zawyżanie poziomu egzaminami mającymi &quot;ulać&quot; studenta, a nie sprawdzać wiedzę czy umiejętności. "/>
    <x v="0"/>
    <n v="1994"/>
    <s v="wieś"/>
    <m/>
    <s v="Wyłącznie ukończony kurs przewodnicki (oprowadzanie grup po Zamku Królewskim na Wawelu)"/>
    <s v="Żadne "/>
    <m/>
  </r>
  <r>
    <n v="52"/>
    <n v="31"/>
    <n v="36"/>
    <s v="37.47.66.52"/>
    <s v="Link"/>
    <s v="http://m.facebook.com/"/>
    <m/>
    <m/>
    <m/>
    <s v="Zakończono"/>
    <s v="2020-05-16 18:32:05"/>
    <s v="2020-05-17 11:34:47"/>
    <n v="61362"/>
    <n v="0"/>
    <s v="Tak (kontynuacja ankiety)"/>
    <x v="0"/>
    <m/>
    <m/>
    <m/>
    <m/>
    <m/>
    <m/>
    <m/>
    <m/>
    <m/>
    <m/>
    <m/>
    <m/>
    <m/>
    <m/>
    <m/>
    <x v="0"/>
    <s v="Uniwersytet Jagielloński"/>
    <n v="2018"/>
    <s v="nie"/>
    <s v="Polonistyka"/>
    <s v="zgadzam się"/>
    <s v="raczej się zgadzam"/>
    <s v="raczej się nie zgadzam"/>
    <s v="zdecydowanie się nie zgadzam"/>
    <s v="nie dotyczy"/>
    <s v="Pracę otrzymałam dwa tygodnie przed obrona tytułu magistra"/>
    <s v="powyżej 1000 zł, ale nie więcej niż 2000 zł"/>
    <s v="nie dotyczy"/>
    <m/>
    <s v="Wybór zajęć, ciekawe zajęcia, kompetentni wykładowcy."/>
    <s v="Nadmiar materiału oraz wykładowcy, którzy nie wykonywali swoich obowiązków; biurokracja."/>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Poziom nauczania, wykładowcy."/>
    <s v="Zdobyta podczas niektórych zajęć wiedza, z której korzystam do dziś."/>
    <s v="Brak pomocy promotora podczas pisania pracy magisterskiej i obrony; zajęcia, które okazały się niepotrzebne."/>
    <x v="1"/>
    <n v="1994"/>
    <s v="wieś"/>
    <m/>
    <s v="Ukończyłam studia podyplomowe z logopedii"/>
    <s v="Studia podyplomowe z oligofrenopedagogiki"/>
    <m/>
  </r>
  <r>
    <n v="96"/>
    <n v="59"/>
    <n v="36"/>
    <s v="83.23.251.31"/>
    <s v="Link"/>
    <s v="https://ankietaplus.pl/ankiety/analiza/statystyki/13308"/>
    <m/>
    <m/>
    <m/>
    <s v="Zakończono"/>
    <s v="2020-07-26 17:50:58"/>
    <s v="2020-07-26 19:16:58"/>
    <n v="5160"/>
    <n v="0"/>
    <s v="Tak (kontynuacja ankiety)"/>
    <x v="0"/>
    <m/>
    <m/>
    <m/>
    <m/>
    <m/>
    <m/>
    <m/>
    <m/>
    <m/>
    <m/>
    <m/>
    <m/>
    <m/>
    <m/>
    <m/>
    <x v="0"/>
    <s v="Politechnika Gdańska"/>
    <n v="2000"/>
    <s v="nie"/>
    <s v="Zarządzanie"/>
    <s v="ani się zgadzam, ani nie zgadzam"/>
    <s v="ani się zgadzam, ani nie zgadzam"/>
    <s v="raczej się zgadzam"/>
    <s v="raczej się zgadzam"/>
    <s v="zgadzam się"/>
    <n v="0"/>
    <s v="powyżej 3000 zł, ale nie więcej niż 4000 zł"/>
    <s v="powyżej 4000 zł, ale nie więcej niż 5000 zł"/>
    <s v="możliwość dalszego rozwoju, znajomości z wartościowymi ludźmi"/>
    <s v="dobra atmosfera wśród grupy studentów"/>
    <s v="brak organizacji (brak informacji o odwoływanych zajęciach); złe warunki lokalowe; "/>
    <s v="niestacjonarne (zaoczne) studia 2 stopnia (magisterskie)"/>
    <s v="uzupełniające studia magisterskie (2 letnie)"/>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s v="nie dotyczy"/>
    <m/>
    <m/>
    <m/>
    <m/>
    <m/>
    <m/>
    <m/>
    <m/>
    <m/>
    <m/>
    <m/>
    <m/>
    <m/>
    <m/>
    <m/>
    <m/>
    <m/>
    <m/>
    <m/>
    <m/>
    <m/>
    <m/>
    <m/>
    <m/>
    <m/>
    <m/>
    <m/>
    <m/>
    <m/>
    <m/>
    <s v="kwalifikacje kadry nauczającej; ilość godzin praktyk; możliwość odbywania staży; dobra atmosfera"/>
    <s v="oferta edukacyjne, zajęcia praktyczne; możliwość zdobycia dodatkowych kwalifikacji podczas studiów (np. przygotowanie pedagogiczne); wyjazdy na obozy (np. narciarskie); możliwość udziału w projektach badawczych; "/>
    <s v="niedostosowanie oferty do rynku pracy, nauczanie przestarzałych metod a brak informacji o nowościach w dziedzinie"/>
    <x v="0"/>
    <n v="1968"/>
    <s v="duże miasto powiatowe"/>
    <s v="Elbląg"/>
    <s v="historia - magisterskie"/>
    <m/>
    <m/>
  </r>
  <r>
    <n v="12"/>
    <n v="11"/>
    <n v="35"/>
    <s v="79.163.198.36"/>
    <s v="Link"/>
    <m/>
    <m/>
    <m/>
    <m/>
    <s v="Zakończono"/>
    <s v="2020-05-06 19:59:13"/>
    <s v="2020-05-06 20:05:02"/>
    <n v="349"/>
    <n v="0"/>
    <s v="Tak (kontynuacja ankiety)"/>
    <x v="0"/>
    <m/>
    <m/>
    <m/>
    <m/>
    <m/>
    <m/>
    <m/>
    <m/>
    <m/>
    <m/>
    <m/>
    <m/>
    <m/>
    <m/>
    <m/>
    <x v="0"/>
    <s v="Politechnika Gdańska"/>
    <n v="2010"/>
    <s v="tak"/>
    <s v="Matematyka stosowana"/>
    <s v="nie zgadzam się"/>
    <s v="raczej się nie zgadzam"/>
    <s v="raczej się zgadzam"/>
    <s v="raczej się zgadzam"/>
    <s v="raczej się zgadzam"/>
    <n v="6"/>
    <s v="powyżej 1000 zł, ale nie więcej niż 2000 zł"/>
    <s v="powyżej 2000 zł, ale nie więcej niż 3000 zł"/>
    <s v="Umiejętność samodokształcania się"/>
    <s v="Znajomi"/>
    <s v="Poziom nauczania"/>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Poziom edukacji"/>
    <s v="Powinna kadra"/>
    <s v="Może wpłynąć kadra"/>
    <x v="0"/>
    <n v="1985"/>
    <s v="miasto wojewódzkie"/>
    <m/>
    <m/>
    <m/>
    <m/>
  </r>
  <r>
    <n v="13"/>
    <n v="12"/>
    <n v="35"/>
    <s v="109.207.157.128"/>
    <s v="Link"/>
    <m/>
    <m/>
    <m/>
    <m/>
    <s v="Zakończono"/>
    <s v="2020-05-09 12:30:41"/>
    <s v="2020-05-25 13:50:14"/>
    <n v="1387173"/>
    <n v="0"/>
    <s v="Tak (kontynuacja ankiety)"/>
    <x v="0"/>
    <m/>
    <m/>
    <m/>
    <m/>
    <m/>
    <m/>
    <m/>
    <m/>
    <m/>
    <m/>
    <m/>
    <m/>
    <m/>
    <m/>
    <m/>
    <x v="0"/>
    <s v="Politechnika Gdańska"/>
    <n v="2011"/>
    <s v="tak"/>
    <s v="zarządzanie"/>
    <s v="zdecydowanie się zgadzam"/>
    <s v="zdecydowanie się zgadzam"/>
    <s v="zgadzam się"/>
    <s v="raczej się zgadzam"/>
    <s v="zdecydowanie się zgadzam"/>
    <s v="Pracowałem już w czasie studiów"/>
    <s v="powyżej 2000 zł, ale nie więcej niż 3000 zł"/>
    <s v="powyżej 4000 zł, ale nie więcej niż 5000 zł"/>
    <s v="Efektem kształcenia jest szeroki zakres ogólnej wiedzy &quot;biznesowej&quot; i kompetencji zarówno technicznych jak i społecznych."/>
    <s v="szeroki zakres tematyczny studiów"/>
    <s v="zbyt wiele mało kreatywnych zajęć (np. dość &quot;szablonowe&quot; projekty)"/>
    <s v="stacjonarne (dzienne) studia 2 stopnia (magisterskie)"/>
    <s v="stacjonarne magistersko-inżynierskie"/>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W przypadku uczelni technicznych unikatowa wiedza + nastawienie na rynek i praktykę"/>
    <s v="dostosowanie treści studiów (szerokości i poziomu wiedzy) do własnych horyzontów zawodowych"/>
    <s v="zbyt dużo obowiązków w trakcie studiów"/>
    <x v="0"/>
    <n v="1987"/>
    <s v="nieduże miasto powiatowe"/>
    <m/>
    <s v="socjologia licencjat + III stopień"/>
    <s v="w trakcie pisania doktoratu"/>
    <m/>
  </r>
  <r>
    <n v="26"/>
    <n v="20"/>
    <n v="35"/>
    <s v="37.47.224.76"/>
    <s v="Link"/>
    <m/>
    <m/>
    <m/>
    <m/>
    <s v="Zakończono"/>
    <s v="2020-05-15 21:46:08"/>
    <s v="2020-05-15 22:03:27"/>
    <n v="1039"/>
    <n v="0"/>
    <s v="Tak (kontynuacja ankiety)"/>
    <x v="0"/>
    <m/>
    <m/>
    <m/>
    <m/>
    <m/>
    <m/>
    <m/>
    <m/>
    <m/>
    <m/>
    <m/>
    <m/>
    <m/>
    <m/>
    <m/>
    <x v="0"/>
    <s v="Gdański Uniwersytet Medyczny"/>
    <n v="2011"/>
    <s v="nie"/>
    <s v="Fizjoterapia"/>
    <s v="raczej się zgadzam"/>
    <s v="raczej się zgadzam"/>
    <s v="raczej się nie zgadzam"/>
    <s v="raczej się nie zgadzam"/>
    <s v="raczej się nie zgadzam"/>
    <n v="2"/>
    <s v="powyżej 1000 zł, ale nie więcej niż 2000 zł"/>
    <s v="powyżej 2000 zł, ale nie więcej niż 3000 zł"/>
    <s v="Przydatna i praktyczna wiedza na całe życie "/>
    <s v="Wiedza, ciekawe zajęcia, ludzie"/>
    <s v="Na magisterkę niekiedy te same prezentacje i wykłady co na licencjacie"/>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Wymagania, wykładowcy z wiedzą i charyzmą do ksztalcenia"/>
    <s v="Nabycie niezbędnych umiejętności do wykonywania zawodu, zajęcia praktyczne "/>
    <s v="Brak ciekawych zajęć"/>
    <x v="1"/>
    <n v="1987"/>
    <s v="miasto wojewódzkie"/>
    <m/>
    <m/>
    <m/>
    <m/>
  </r>
  <r>
    <n v="61"/>
    <n v="36"/>
    <n v="35"/>
    <s v="188.146.226.232"/>
    <s v="Link"/>
    <s v="http://m.facebook.com/"/>
    <m/>
    <m/>
    <m/>
    <s v="Zakończono"/>
    <s v="2020-05-16 21:47:06"/>
    <s v="2020-05-16 21:54:49"/>
    <n v="463"/>
    <n v="0"/>
    <s v="Tak (kontynuacja ankiety)"/>
    <x v="0"/>
    <m/>
    <m/>
    <m/>
    <m/>
    <m/>
    <m/>
    <m/>
    <m/>
    <m/>
    <m/>
    <m/>
    <m/>
    <m/>
    <m/>
    <m/>
    <x v="0"/>
    <s v="Uniwersytet Jagielloński"/>
    <n v="2019"/>
    <s v="nie"/>
    <s v="Polonistyka"/>
    <s v="raczej się zgadzam"/>
    <s v="raczej się zgadzam"/>
    <s v="zdecydowanie się nie zgadzam"/>
    <s v="zdecydowanie się nie zgadzam"/>
    <s v="zdecydowanie się nie zgadzam"/>
    <n v="4"/>
    <s v="do 1000 zł"/>
    <s v="powyżej 1000 zł, ale nie więcej niż 2000 zł"/>
    <s v="Zadne"/>
    <s v="Ciekawe informacje kulturowe"/>
    <s v="USOS!!!! CALA INSTYTUCJA"/>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Prestiż czyli postrzeganie uczelni przez innych"/>
    <s v="Nic"/>
    <s v="Podejście do studenta jako do osoby, która nic nie potrafi i jest nieudacznikiem"/>
    <x v="1"/>
    <n v="1994"/>
    <s v="wieś"/>
    <m/>
    <m/>
    <m/>
    <m/>
  </r>
  <r>
    <n v="67"/>
    <n v="38"/>
    <n v="35"/>
    <s v="193.34.52.198"/>
    <s v="Link"/>
    <s v="http://m.facebook.com/"/>
    <m/>
    <m/>
    <m/>
    <s v="Zakończono"/>
    <s v="2020-05-17 11:33:19"/>
    <s v="2020-05-17 12:05:09"/>
    <n v="1910"/>
    <n v="0"/>
    <s v="Tak (kontynuacja ankiety)"/>
    <x v="0"/>
    <m/>
    <m/>
    <m/>
    <m/>
    <m/>
    <m/>
    <m/>
    <m/>
    <m/>
    <m/>
    <m/>
    <m/>
    <m/>
    <m/>
    <m/>
    <x v="0"/>
    <s v="Uniwersytet Śląski"/>
    <n v="2020"/>
    <s v="nie"/>
    <s v="Geologia"/>
    <s v="raczej się zgadzam"/>
    <s v="raczej się zgadzam"/>
    <s v="nie zgadzam się"/>
    <s v="nie zgadzam się"/>
    <s v="nie dotyczy"/>
    <s v="Praca przed ukończeniem studiów ale nie w zawodzie"/>
    <s v="powyżej 1000 zł, ale nie więcej niż 2000 zł"/>
    <s v="nie dotyczy"/>
    <s v="Żadnych. Nie pracuję w zawodzie. "/>
    <s v="Dobra organizacja zajęć, sposób przekazywania wiedzy"/>
    <s v="Nudne schematy prowadzenia zajęć"/>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To czy pomagają znaleźć praktyki zawodowe. "/>
    <s v="Zrównoważone wymagania odnośnie nauki, odpowiedni ludzie do przekazywania wiedzy"/>
    <s v="Brak kontrolowania pracowników. "/>
    <x v="1"/>
    <n v="1994"/>
    <s v="miasto gminne"/>
    <m/>
    <m/>
    <m/>
    <m/>
  </r>
  <r>
    <n v="80"/>
    <n v="45"/>
    <n v="35"/>
    <s v="83.23.251.31"/>
    <s v="Link"/>
    <s v="https://ankietaplus.pl/ankiety/analiza/statystyki/13308"/>
    <m/>
    <m/>
    <m/>
    <s v="Zakończono"/>
    <s v="2020-05-30 13:57:12"/>
    <s v="2020-05-30 14:25:03"/>
    <n v="1671"/>
    <n v="0"/>
    <s v="Tak (kontynuacja ankiety)"/>
    <x v="0"/>
    <m/>
    <m/>
    <m/>
    <m/>
    <m/>
    <m/>
    <m/>
    <m/>
    <m/>
    <m/>
    <m/>
    <m/>
    <m/>
    <m/>
    <m/>
    <x v="0"/>
    <s v="Uniwersytet Łódzki"/>
    <n v="1956"/>
    <s v="nie"/>
    <s v="Polonistyka"/>
    <s v="raczej się zgadzam"/>
    <s v="raczej się zgadzam"/>
    <s v="zgadzam się"/>
    <s v="nie zgadzam się"/>
    <s v="nie zgadzam się"/>
    <s v="0 (nakaz pracy)"/>
    <s v="powyżej 1000 zł, ale nie więcej niż 2000 zł"/>
    <s v="powyżej 1000 zł, ale nie więcej niż 2000 zł"/>
    <m/>
    <s v="bardzo dobry profesor z literatury powszechnej (inspirujący, szanujący studentów);"/>
    <s v="słabe przygotowanie do zawodu"/>
    <s v="stacjonarne (dzienne) studia 1 stopnia (licencjackie / inżynierskie)"/>
    <s v="(niepełne studia magisterskie)"/>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ciekawe wykłady; efekty kształcenie są bardzo zależne od zaangażowania ucznia"/>
    <s v="ciekawe wykłady"/>
    <s v="brak odpowiedniego przygotowania do zawodu"/>
    <x v="1"/>
    <n v="1933"/>
    <s v="miasto gminne"/>
    <m/>
    <m/>
    <m/>
    <m/>
  </r>
  <r>
    <n v="89"/>
    <n v="54"/>
    <n v="35"/>
    <s v="37.47.200.70"/>
    <s v="Link"/>
    <m/>
    <m/>
    <m/>
    <m/>
    <s v="Zakończono"/>
    <s v="2020-06-16 16:30:27"/>
    <s v="2020-06-16 16:34:42"/>
    <n v="255"/>
    <n v="0"/>
    <s v="Tak (kontynuacja ankiety)"/>
    <x v="0"/>
    <m/>
    <m/>
    <m/>
    <m/>
    <m/>
    <m/>
    <m/>
    <m/>
    <m/>
    <m/>
    <m/>
    <m/>
    <m/>
    <m/>
    <m/>
    <x v="0"/>
    <s v="Politechnika Gdańska"/>
    <n v="2009"/>
    <s v="tak"/>
    <s v="MECHANICZNY"/>
    <s v="ani się zgadzam, ani nie zgadzam"/>
    <s v="ani się zgadzam, ani nie zgadzam"/>
    <s v="zgadzam się"/>
    <s v="raczej się nie zgadzam"/>
    <s v="raczej się zgadzam"/>
    <s v="W TRAKCIE STUDIÓW PRACOWAŁEM"/>
    <s v="powyżej 1000 zł, ale nie więcej niż 2000 zł"/>
    <s v="powyżej 5000 zł, ale nie więcej niż 6000 zł"/>
    <s v="ŻADNE"/>
    <s v="ŻADNE"/>
    <s v="ZA DUŻO ZBĘDNYCH PRZEDMIOTÓW"/>
    <s v="stacjonarne (dzienne) studia 1 stopnia (licencjackie / inżyni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POZIOM NAUCZANIA"/>
    <s v="RÓŻNORODNOŚĆ PRZEKAZYWANIA WIEDZY"/>
    <s v="MONOTONNOŚĆ"/>
    <x v="0"/>
    <n v="1983"/>
    <s v="miasto wojewódzkie"/>
    <m/>
    <m/>
    <m/>
    <m/>
  </r>
  <r>
    <n v="105"/>
    <n v="64"/>
    <n v="35"/>
    <s v="31.60.243.153"/>
    <s v="Link"/>
    <m/>
    <m/>
    <m/>
    <m/>
    <s v="Zakończono"/>
    <s v="2020-08-23 21:05:52"/>
    <s v="2020-08-23 21:27:25"/>
    <n v="1293"/>
    <n v="0"/>
    <s v="Tak (kontynuacja ankiety)"/>
    <x v="0"/>
    <m/>
    <m/>
    <m/>
    <m/>
    <m/>
    <m/>
    <m/>
    <m/>
    <m/>
    <m/>
    <m/>
    <m/>
    <m/>
    <m/>
    <m/>
    <x v="0"/>
    <s v="Uniwersytet Gdański"/>
    <n v="2003"/>
    <s v="nie"/>
    <s v="Finanse i bankowosc"/>
    <s v="raczej się nie zgadzam"/>
    <s v="raczej się nie zgadzam"/>
    <s v="raczej się nie zgadzam"/>
    <s v="nie zgadzam się"/>
    <s v="nie dotyczy"/>
    <s v="Praca w innej branży po około roku"/>
    <s v="powyżej 1000 zł, ale nie więcej niż 2000 zł"/>
    <s v="powyżej 1000 zł, ale nie więcej niż 2000 zł"/>
    <m/>
    <s v="Samodzielność,  brak aspektów naukowych "/>
    <s v="Nietrafiony wybór studiów "/>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Nie wiem"/>
    <s v="Stopień przygotowania absolwenta do pracy"/>
    <s v="Oderwanie teorii od praktyki, nieumiejętność wykształcenia przyszłego dobrego pracownika"/>
    <x v="1"/>
    <n v="1980"/>
    <s v="wieś"/>
    <m/>
    <s v="Kolegium kształcenia nauczycieli języków obcycb"/>
    <m/>
    <m/>
  </r>
  <r>
    <n v="110"/>
    <n v="65"/>
    <n v="35"/>
    <s v="37.47.226.16"/>
    <s v="Link"/>
    <s v="https://mail.yahoo.com/"/>
    <m/>
    <m/>
    <m/>
    <s v="Zakończono"/>
    <s v="2020-08-24 14:42:23"/>
    <s v="2020-08-24 15:01:50"/>
    <n v="1167"/>
    <n v="0"/>
    <s v="Tak (kontynuacja ankiety)"/>
    <x v="0"/>
    <m/>
    <m/>
    <m/>
    <m/>
    <m/>
    <m/>
    <m/>
    <m/>
    <m/>
    <m/>
    <m/>
    <m/>
    <m/>
    <m/>
    <m/>
    <x v="0"/>
    <s v="Politechnika Krakowska, Politechnika Gdańska "/>
    <s v="1 stopień 2007 (PK), 2 stopień (PG)"/>
    <s v="tak"/>
    <s v="Mechanika i budowa maszyn "/>
    <s v="raczej się nie zgadzam"/>
    <s v="ani się zgadzam, ani nie zgadzam"/>
    <s v="nie zgadzam się"/>
    <s v="zdecydowanie się nie zgadzam"/>
    <s v="zdecydowanie się nie zgadzam"/>
    <n v="5"/>
    <s v="powyżej 2000 zł, ale nie więcej niż 3000 zł"/>
    <s v="powyżej 2000 zł, ale nie więcej niż 3000 zł"/>
    <m/>
    <s v="Brak "/>
    <s v="pobieżny sposób przekazywania informacji, brak dostępu do narzędzi, nieistotne przedmioty nie mające żadnego wplywu na naukę chyba że pod kątem marnowania czasu"/>
    <s v="niestacjonarne (zaoczne) studia 1 stopnia (licencjackie / inżynierskie)"/>
    <s v="Niestacjonarne 1 i 2 stopnia"/>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Poziom wiedzy i sposób przekazywania przez prowadzących, otwartość pracowników placówek na innowacyjność i rozwój "/>
    <s v="J.w."/>
    <s v="Brak zaangażowania prowadzących, słaby poziom wiedzy pod kątem nowości technicznych oraz stosowanych aktualnych rozwiązań  i "/>
    <x v="0"/>
    <n v="1982"/>
    <s v="nieduże miasto powiatowe"/>
    <m/>
    <m/>
    <m/>
    <m/>
  </r>
  <r>
    <n v="131"/>
    <n v="80"/>
    <n v="35"/>
    <s v="88.156.64.30"/>
    <s v="Link"/>
    <m/>
    <m/>
    <m/>
    <m/>
    <s v="Zakończono"/>
    <s v="2020-11-20 08:49:34"/>
    <s v="2020-11-20 08:55:30"/>
    <n v="356"/>
    <n v="0"/>
    <s v="Tak (kontynuacja ankiety)"/>
    <x v="0"/>
    <m/>
    <m/>
    <m/>
    <m/>
    <m/>
    <m/>
    <m/>
    <m/>
    <m/>
    <m/>
    <m/>
    <m/>
    <m/>
    <m/>
    <m/>
    <x v="0"/>
    <s v="Uniwersytet Gdański"/>
    <n v="1997"/>
    <s v="nie"/>
    <s v="Prawo"/>
    <s v="raczej się nie zgadzam"/>
    <s v="raczej się nie zgadzam"/>
    <s v="raczej się zgadzam"/>
    <s v="raczej się zgadzam"/>
    <s v="raczej się zgadzam"/>
    <n v="1"/>
    <s v="powyżej 1000 zł, ale nie więcej niż 2000 zł"/>
    <s v="powyżej 1000 zł, ale nie więcej niż 2000 zł"/>
    <s v="kontakty personalne, korzystne postrzeganie kierunku przez pracowdawców"/>
    <s v="lokalizacja, program"/>
    <s v="nonszalancja wykładowców, brak interaktywności"/>
    <s v="stacjonarne (dzienne) studia 2 stopnia (magisterskie)"/>
    <s v="jednolite 5letnie studia magisterskie"/>
    <x v="1"/>
    <m/>
    <m/>
    <m/>
    <m/>
    <m/>
    <m/>
    <m/>
    <m/>
    <m/>
    <m/>
    <m/>
    <m/>
    <m/>
    <m/>
    <m/>
    <m/>
    <m/>
    <m/>
    <m/>
    <m/>
    <m/>
    <m/>
    <m/>
    <m/>
    <m/>
    <m/>
    <m/>
    <m/>
    <m/>
    <m/>
    <m/>
    <m/>
    <m/>
    <m/>
    <m/>
    <m/>
    <m/>
    <m/>
    <m/>
    <m/>
    <m/>
    <m/>
    <m/>
    <m/>
    <m/>
    <x v="0"/>
    <m/>
    <m/>
    <m/>
    <m/>
    <m/>
    <m/>
    <m/>
    <m/>
    <m/>
    <x v="0"/>
    <m/>
    <m/>
    <m/>
    <m/>
    <m/>
    <m/>
    <m/>
    <m/>
    <m/>
    <x v="1"/>
    <m/>
    <m/>
    <m/>
    <m/>
    <m/>
    <m/>
    <m/>
    <m/>
    <m/>
    <m/>
    <m/>
    <m/>
    <m/>
    <m/>
    <m/>
    <m/>
    <m/>
    <m/>
    <m/>
    <m/>
    <m/>
    <m/>
    <m/>
    <m/>
    <m/>
    <m/>
    <m/>
    <m/>
    <x v="1"/>
    <s v="Tak"/>
    <s v="nie dotyczy"/>
    <m/>
    <m/>
    <m/>
    <m/>
    <m/>
    <m/>
    <m/>
    <m/>
    <m/>
    <m/>
    <m/>
    <m/>
    <m/>
    <m/>
    <m/>
    <m/>
    <m/>
    <m/>
    <m/>
    <m/>
    <m/>
    <m/>
    <m/>
    <x v="0"/>
    <m/>
    <m/>
    <m/>
    <m/>
    <m/>
    <m/>
    <m/>
    <m/>
    <m/>
    <m/>
    <m/>
    <m/>
    <m/>
    <m/>
    <m/>
    <m/>
    <m/>
    <m/>
    <m/>
    <m/>
    <m/>
    <m/>
    <m/>
    <m/>
    <m/>
    <m/>
    <m/>
    <m/>
    <m/>
    <m/>
    <m/>
    <m/>
    <m/>
    <s v="renoma, praktyczny wymiar studiów, kadra"/>
    <s v="rozwój kariery po ukonczeniu, dostrzegalna zmiana kompetencji"/>
    <s v="nie wiem"/>
    <x v="0"/>
    <n v="1974"/>
    <s v="duże miasto powiatowe"/>
    <m/>
    <s v="podyplomowe - WSAiB"/>
    <m/>
    <m/>
  </r>
  <r>
    <n v="211"/>
    <n v="115"/>
    <n v="35"/>
    <s v="89.64.126.173"/>
    <s v="Link"/>
    <m/>
    <m/>
    <m/>
    <m/>
    <s v="Zakończono"/>
    <s v="2020-12-19 09:07:09"/>
    <s v="2020-12-19 09:25:41"/>
    <n v="1112"/>
    <n v="0"/>
    <s v="Tak (kontynuacja ankiety)"/>
    <x v="0"/>
    <m/>
    <m/>
    <m/>
    <m/>
    <m/>
    <m/>
    <m/>
    <m/>
    <m/>
    <m/>
    <m/>
    <m/>
    <m/>
    <m/>
    <m/>
    <x v="0"/>
    <s v="Politechnika Gdańska "/>
    <n v="2001"/>
    <s v="tak"/>
    <s v="Telekomunikacja"/>
    <s v="zgadzam się"/>
    <s v="zgadzam się"/>
    <s v="zgadzam się"/>
    <s v="raczej się zgadzam"/>
    <s v="raczej się zgadzam"/>
    <s v="Praca przed ukończeniem 2-go kierunku studiów. Ok 8 miesięcy po ukończeniu studiow podstawowowych."/>
    <s v="powyżej 1000 zł, ale nie więcej niż 2000 zł"/>
    <s v="powyżej 2000 zł, ale nie więcej niż 3000 zł"/>
    <s v="Poszerzenie horyzontów, zwłaszcza technicznych."/>
    <s v="Interesujące przedmioty, możliwość wymiany doświadczeń, wiedzy z innymi studentami. "/>
    <s v="Bardzo uciążliwe zaliczanie trudnych przedmiotów. Frustrujace, długotrwałe, zaniżające samoocenę. Zazwyczaj te przedmioty były złe wykładane lub bez niezbędnego przygotowania na wczesniejsCzych latach studiów lub poprzednich etapach edukacji.   "/>
    <s v="stacjonarne (dzienne) studia 2 stopnia (magisterskie)"/>
    <s v="Stacjonarne, dzienne studia magisterskie z tytułem inżyniera, 5 letn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Zbyt ogólne pytanie. Mógłbym pisać przez kilka stron."/>
    <s v="Efekty jej działalności: to kim jestem i co wiem, oraz znani mi absolwenci."/>
    <s v="Bardzo duży wysiłek i stres związany ze studiowaniem przez większość semestrów.."/>
    <x v="0"/>
    <n v="1976"/>
    <s v="miasto wojewódzkie"/>
    <m/>
    <s v="2-letnie uzupełniające, magisterskie studia Zarządzania na PG."/>
    <s v="Doradca rodzinny - nauczyciel metod Naturalnego Planowania Rodziny"/>
    <s v="Ankieta do drobnej korekty po zebraniu pilotażowej ilości odpowiedzi."/>
  </r>
  <r>
    <n v="1"/>
    <n v="1"/>
    <n v="34"/>
    <s v="37.47.232.142"/>
    <s v="Link"/>
    <m/>
    <m/>
    <m/>
    <m/>
    <s v="Zakończono"/>
    <s v="2020-04-20 14:55:16"/>
    <s v="2020-04-21 09:13:07"/>
    <n v="65871"/>
    <n v="0"/>
    <s v="Tak (kontynuacja ankiety)"/>
    <x v="0"/>
    <m/>
    <m/>
    <m/>
    <m/>
    <m/>
    <m/>
    <m/>
    <m/>
    <m/>
    <m/>
    <m/>
    <m/>
    <m/>
    <m/>
    <m/>
    <x v="0"/>
    <s v="Politechnika Gdańska "/>
    <m/>
    <s v="tak"/>
    <s v="Biotechnologia"/>
    <s v="raczej się nie zgadzam"/>
    <s v="raczej się nie zgadzam"/>
    <s v="zdecydowanie się nie zgadzam"/>
    <s v="zdecydowanie się nie zgadzam"/>
    <s v="zdecydowanie się nie zgadzam"/>
    <s v="1 miesiąc "/>
    <s v="powyżej 1000 zł, ale nie więcej niż 2000 zł"/>
    <s v="nie dotyczy"/>
    <s v="Znajomość ogólnej wiedzy chemicznej i biologicznej pozwalająca być świadomym konsumentem i lepiej dbać o zdrowie"/>
    <s v="współpraca z innymi studentami, wspólne szukanie rozwiązań "/>
    <s v="Stosunek wykładowców do studentów "/>
    <m/>
    <s v="Stacjonarne jednolite mgr inżynier"/>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Nie wiem nie mam porównania "/>
    <s v="Zaangażowanie i rzetelne podejście do nauczania przez kadrę "/>
    <s v="Przeszycia osobiste i losowość zdawalności egzaminów "/>
    <x v="1"/>
    <n v="1987"/>
    <s v="miasto wojewódzkie"/>
    <m/>
    <s v="Brak"/>
    <s v="brak"/>
    <s v="Trochę słabe jest przełamywanie przez te wszystkie ankiety... może dałoby się Robić jedna najpierw z pytaniem jako kto możesz wypełnić ta ankietę z wielokrotnym wyborem i potem tylko te zaznaczone przelecieć ... kocham Cie"/>
  </r>
  <r>
    <n v="16"/>
    <n v="15"/>
    <n v="34"/>
    <s v="5.173.194.58"/>
    <s v="Link"/>
    <m/>
    <m/>
    <m/>
    <m/>
    <s v="Zakończono"/>
    <s v="2020-05-13 16:46:26"/>
    <s v="2020-05-13 16:59:27"/>
    <n v="781"/>
    <n v="0"/>
    <s v="Tak (kontynuacja ankiety)"/>
    <x v="0"/>
    <m/>
    <m/>
    <m/>
    <m/>
    <m/>
    <m/>
    <m/>
    <m/>
    <m/>
    <m/>
    <m/>
    <m/>
    <m/>
    <m/>
    <m/>
    <x v="0"/>
    <s v="Politechnika Gdańska"/>
    <n v="2010"/>
    <s v="tak"/>
    <s v="Biotechnologia"/>
    <s v="zgadzam się"/>
    <s v="raczej się nie zgadzam"/>
    <s v="ani się zgadzam, ani nie zgadzam"/>
    <s v="raczej się zgadzam"/>
    <s v="raczej się zgadzam"/>
    <s v="rozpoczęcie studium doktoranckiego - od razu po studiach, pierwsze zatrudnienie - po 5 roku studium doktoranckiego"/>
    <s v="powyżej 2000 zł, ale nie więcej niż 3000 zł"/>
    <s v="powyżej 2000 zł, ale nie więcej niż 3000 zł"/>
    <s v="wzbudzenie ciekawości studiowanymi zagadnieniami, zdobycie umiejętności miękkich"/>
    <s v="wymagający, jednocześnie serdeczni prowadzący zajęcia, przyjaciele z kierunku"/>
    <s v="perspektywa trudności znalezienia ciekawej pracy"/>
    <s v="stacjonarne (dzienne) studia 2 stopnia (magisterskie)"/>
    <m/>
    <x v="1"/>
    <m/>
    <m/>
    <m/>
    <m/>
    <m/>
    <m/>
    <m/>
    <m/>
    <m/>
    <m/>
    <m/>
    <m/>
    <m/>
    <m/>
    <m/>
    <m/>
    <m/>
    <m/>
    <m/>
    <m/>
    <m/>
    <m/>
    <m/>
    <m/>
    <m/>
    <m/>
    <m/>
    <m/>
    <m/>
    <m/>
    <m/>
    <m/>
    <m/>
    <m/>
    <m/>
    <m/>
    <m/>
    <m/>
    <m/>
    <m/>
    <m/>
    <m/>
    <m/>
    <m/>
    <m/>
    <x v="0"/>
    <m/>
    <m/>
    <m/>
    <m/>
    <m/>
    <m/>
    <m/>
    <m/>
    <m/>
    <x v="0"/>
    <m/>
    <m/>
    <m/>
    <m/>
    <m/>
    <m/>
    <m/>
    <m/>
    <m/>
    <x v="1"/>
    <m/>
    <m/>
    <m/>
    <m/>
    <m/>
    <m/>
    <m/>
    <m/>
    <m/>
    <m/>
    <m/>
    <m/>
    <m/>
    <m/>
    <m/>
    <m/>
    <m/>
    <m/>
    <m/>
    <m/>
    <m/>
    <m/>
    <m/>
    <m/>
    <m/>
    <m/>
    <m/>
    <m/>
    <x v="1"/>
    <m/>
    <s v="nie dotyczy"/>
    <m/>
    <m/>
    <m/>
    <m/>
    <m/>
    <m/>
    <m/>
    <m/>
    <m/>
    <m/>
    <m/>
    <m/>
    <m/>
    <m/>
    <m/>
    <m/>
    <m/>
    <m/>
    <m/>
    <m/>
    <m/>
    <m/>
    <m/>
    <x v="0"/>
    <s v="nie dotyczy"/>
    <m/>
    <m/>
    <m/>
    <m/>
    <m/>
    <m/>
    <m/>
    <m/>
    <m/>
    <m/>
    <m/>
    <m/>
    <m/>
    <m/>
    <m/>
    <m/>
    <m/>
    <m/>
    <m/>
    <m/>
    <m/>
    <m/>
    <m/>
    <m/>
    <m/>
    <m/>
    <m/>
    <m/>
    <m/>
    <m/>
    <m/>
    <m/>
    <s v="prowadzący zajęć będący praktykami w swojej dziedzinie, proporcja zajęć teoretycznej i zajęć praktycznych na korzyść zajęć praktycznych, kontakt z przemysłem"/>
    <s v="dobry kontakt z prowadzącymi zajęcia"/>
    <s v="przeczucie obniżania wymagań, przeczucie robienia swego rodzaju biznesu na studentach - liczy się ilość osób, a nie jakoś usług"/>
    <x v="1"/>
    <n v="1986"/>
    <s v="miasto wojewódzkie"/>
    <m/>
    <s v="ukończone studium doktoranckie z tytułem doktora nauk chemicznych, studium pedagogiczne, studia podyplomowe z pedagogiki przedszkolnej i wczesnoszkolnej"/>
    <m/>
    <m/>
  </r>
  <r>
    <n v="45"/>
    <n v="28"/>
    <n v="34"/>
    <s v="109.207.109.47"/>
    <s v="Link"/>
    <s v="https://www.facebook.com/"/>
    <m/>
    <m/>
    <m/>
    <s v="Zakończono"/>
    <s v="2020-05-16 17:47:17"/>
    <s v="2020-05-16 18:01:13"/>
    <n v="836"/>
    <n v="0"/>
    <s v="Tak (kontynuacja ankiety)"/>
    <x v="0"/>
    <m/>
    <m/>
    <m/>
    <m/>
    <m/>
    <m/>
    <m/>
    <m/>
    <m/>
    <m/>
    <m/>
    <m/>
    <m/>
    <m/>
    <m/>
    <x v="0"/>
    <s v="Uniwersytet Ekonomiczny w Katowicach"/>
    <n v="2019"/>
    <s v="nie"/>
    <s v="Ekonomia"/>
    <s v="raczej się zgadzam"/>
    <s v="raczej się zgadzam"/>
    <s v="nie zgadzam się"/>
    <s v="ani się zgadzam, ani nie zgadzam"/>
    <s v="raczej się zgadzam"/>
    <s v="praca przed ukończeniem studiów"/>
    <s v="nie dotyczy"/>
    <s v="nie dotyczy"/>
    <s v="większa wiedza ekonomiczna"/>
    <s v="ciekawe zajęcia, oparte na życiowych przykładach"/>
    <s v="wykłady dyktowane z kartki lub przentacji"/>
    <s v="niestacjonarne (zaocz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kadra naukowa (doświadczeni wykładowcy)"/>
    <s v="dobra praca"/>
    <s v="brak bezpośrednich korzyści finansowych w związku z ukończeniem studiów"/>
    <x v="1"/>
    <n v="1994"/>
    <s v="wieś"/>
    <m/>
    <s v="Tytuł Licencjata na Uniwersytecie Śląskim"/>
    <s v="brak"/>
    <m/>
  </r>
  <r>
    <n v="78"/>
    <n v="44"/>
    <n v="34"/>
    <s v="188.146.57.40"/>
    <s v="Link"/>
    <s v="https://ankietaplus.pl/ankiety/analiza/wyniki-pojedyncze/13308"/>
    <m/>
    <m/>
    <m/>
    <s v="Zakończono"/>
    <s v="2020-05-24 15:46:34"/>
    <s v="2020-05-24 16:25:58"/>
    <n v="2364"/>
    <n v="0"/>
    <s v="Tak (kontynuacja ankiety)"/>
    <x v="0"/>
    <m/>
    <m/>
    <m/>
    <m/>
    <m/>
    <m/>
    <m/>
    <m/>
    <m/>
    <m/>
    <m/>
    <m/>
    <m/>
    <m/>
    <m/>
    <x v="0"/>
    <s v="Uniwersytet Warmińsko-Mazurski"/>
    <n v="2002"/>
    <s v="tak"/>
    <s v="Geodezja"/>
    <s v="zgadzam się"/>
    <s v="raczej się zgadzam"/>
    <s v="ani się zgadzam, ani nie zgadzam"/>
    <s v="zdecydowanie się nie zgadzam"/>
    <s v="nie zgadzam się"/>
    <n v="3"/>
    <s v="do 1000 zł"/>
    <s v="do 1000 zł"/>
    <s v="możliwość dalszego rozwoju, znajomości z wartościowymi ludźmi"/>
    <s v="piękne &quot;miasteczko studenckie&quot; z lasami i jeziorami, przyjazna atmosfera na uczelni"/>
    <s v="daleko od miasta rodzinnego i rodziny"/>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dofinansowanie uczelni, jakość i ilość sprzętów edukacyjnych, kwalifikacje kadry nauczającej; ilość godzin praktyk; możliwość odbywania stażu"/>
    <s v="zajęcia praktyczne; wykształcona kadra"/>
    <s v="niedostosowanie oferty do rynku pracy, nauczanie przestarzałych metod a brak informacji o nowościach w dziedzinie"/>
    <x v="1"/>
    <n v="1978"/>
    <s v="miasto wojewódzkie"/>
    <m/>
    <s v="brak"/>
    <s v="brak"/>
    <m/>
  </r>
  <r>
    <n v="85"/>
    <n v="50"/>
    <n v="34"/>
    <s v="81.190.56.54"/>
    <s v="Link"/>
    <s v="https://ankietaplus.pl/ankiety/analiza/wyniki-pojedyncze/13308"/>
    <m/>
    <m/>
    <m/>
    <s v="Zakończono"/>
    <s v="2020-06-08 01:21:10"/>
    <s v="2020-06-08 01:54:01"/>
    <n v="1971"/>
    <n v="0"/>
    <s v="Tak (kontynuacja ankiety)"/>
    <x v="0"/>
    <m/>
    <m/>
    <m/>
    <m/>
    <m/>
    <m/>
    <m/>
    <m/>
    <m/>
    <m/>
    <m/>
    <m/>
    <m/>
    <m/>
    <m/>
    <x v="0"/>
    <s v="Uniwersytet Gdański"/>
    <n v="2012"/>
    <s v="nie"/>
    <s v="historia"/>
    <s v="zgadzam się"/>
    <s v="raczej się zgadzam"/>
    <s v="raczej się nie zgadzam"/>
    <s v="nie zgadzam się"/>
    <s v="ani się zgadzam, ani nie zgadzam"/>
    <n v="2"/>
    <s v="powyżej 1000 zł, ale nie więcej niż 2000 zł"/>
    <s v="powyżej 3000 zł, ale nie więcej niż 4000 zł"/>
    <s v="poprawa"/>
    <s v="-"/>
    <s v="-"/>
    <s v="stacjonarne (dzienne) studia 2 stopnia (magisterskie)"/>
    <s v="jednolite"/>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
    <s v="-"/>
    <s v="-"/>
    <x v="0"/>
    <n v="1988"/>
    <s v="nieduże miasto powiatowe"/>
    <m/>
    <m/>
    <s v="doktorat - ekonomia"/>
    <m/>
  </r>
  <r>
    <n v="124"/>
    <n v="73"/>
    <n v="34"/>
    <s v="46.151.136.191"/>
    <s v="Link"/>
    <s v="android-app://com.google.android.gm/"/>
    <m/>
    <m/>
    <m/>
    <s v="Zakończono"/>
    <s v="2020-10-28 10:32:38"/>
    <s v="2020-10-28 10:51:57"/>
    <n v="1159"/>
    <n v="0"/>
    <s v="Tak (kontynuacja ankiety)"/>
    <x v="0"/>
    <m/>
    <m/>
    <m/>
    <m/>
    <m/>
    <m/>
    <m/>
    <m/>
    <m/>
    <m/>
    <m/>
    <m/>
    <m/>
    <m/>
    <m/>
    <x v="0"/>
    <s v="Politechnika Gdańska"/>
    <n v="2018"/>
    <s v="tak"/>
    <s v="Zarządzanie"/>
    <s v="zgadzam się"/>
    <s v="zgadzam się"/>
    <s v="raczej się zgadzam"/>
    <s v="raczej się nie zgadzam"/>
    <s v="ani się zgadzam, ani nie zgadzam"/>
    <s v="Praca przed ukończeniem studiów"/>
    <s v="powyżej 1000 zł, ale nie więcej niż 2000 zł"/>
    <s v="powyżej 2000 zł, ale nie więcej niż 3000 zł"/>
    <s v="Umiejętność pracy projektowej oraz grupowej, umiejętność prawidłowej analizy problemu oraz wykreowanie jego rozwiązania"/>
    <s v="Podejście pracowników uczelni, ich kompetencje. Możliwość rozwoju na wielu płaszczyznach. Uczelnia umożliwiała również osobom zainteresowanym uczestnictwa w różnego rodzaju kursach. Na uczelni działa wiele kół naukowych, w których oznacza nie tylko się rozwijać ale również nawiązywać nowe znajomości"/>
    <s v="Haos związany z planem zajęć, późne pojawianie się planu zajęć z wieloma błędami. Zajęcia w różnych budynkach. Brak przedmiotów, które pomagałyby nam w realizowaniu projektów na inne przedmioty. Brakowało m.in. przedmiotu MASZYNOZNAWSTWO"/>
    <s v="niestacjonarne (zaoczne) studia 2 stopnia (magisterskie)"/>
    <s v="Stacjonarne studia 1 stopnia inżynierskie na tej samej uczelni"/>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Dużą różnicę w prowadzeniu zajęć byliśmy w stanie zaobserwować jeżeli prowadzący był tylko teoretykiem od prowadzącego będącego praktykiem. Te drugie zajęcia były o wiele ciekawsze, więcej z nich wynosiliśmy i przekazywana wiedza bardziej do nas trafiała. Z tego wynika, że ogromny wpływ ma kadra ale również przedmioty wchodzące w siatkę studiów."/>
    <s v="Renoma uczelni, różnorodność zajęć"/>
    <s v="Niektóre, bardzo obszerne zagadnienia były poruszane na przedmiotach w małym stopniu, a raczej wspominano o nich, a te zagadnienia nadawałyby się na wet na samodzielny przedmiot."/>
    <x v="1"/>
    <n v="1991"/>
    <s v="wieś"/>
    <m/>
    <s v="Inżynierskie"/>
    <s v="brak"/>
    <m/>
  </r>
  <r>
    <n v="141"/>
    <n v="85"/>
    <n v="34"/>
    <s v="31.11.238.245"/>
    <s v="Link"/>
    <m/>
    <m/>
    <m/>
    <m/>
    <s v="Zakończono"/>
    <s v="2020-12-15 07:39:28"/>
    <s v="2020-12-15 07:52:15"/>
    <n v="767"/>
    <n v="0"/>
    <s v="Tak (kontynuacja ankiety)"/>
    <x v="0"/>
    <m/>
    <m/>
    <m/>
    <m/>
    <m/>
    <m/>
    <m/>
    <m/>
    <m/>
    <m/>
    <m/>
    <m/>
    <m/>
    <m/>
    <m/>
    <x v="0"/>
    <s v="Politechnika Gdańska"/>
    <n v="2018"/>
    <s v="tak"/>
    <s v="Technologie Podwodne"/>
    <s v="zgadzam się"/>
    <s v="zgadzam się"/>
    <s v="raczej się nie zgadzam"/>
    <s v="nie zgadzam się"/>
    <s v="raczej się nie zgadzam"/>
    <n v="1"/>
    <s v="powyżej 2000 zł, ale nie więcej niż 3000 zł"/>
    <s v="powyżej 4000 zł, ale nie więcej niż 5000 zł"/>
    <s v="wiedza"/>
    <s v="warunki mieszkaniowe , ścisły umysł"/>
    <s v="nie dostrzegam"/>
    <s v="stacjonarne (dzienne) studia 2 stopnia (magisterskie)"/>
    <m/>
    <x v="1"/>
    <m/>
    <m/>
    <m/>
    <m/>
    <m/>
    <m/>
    <m/>
    <m/>
    <m/>
    <m/>
    <m/>
    <m/>
    <m/>
    <m/>
    <m/>
    <m/>
    <m/>
    <m/>
    <m/>
    <m/>
    <m/>
    <m/>
    <m/>
    <m/>
    <m/>
    <m/>
    <m/>
    <m/>
    <m/>
    <m/>
    <m/>
    <m/>
    <m/>
    <m/>
    <m/>
    <m/>
    <m/>
    <m/>
    <m/>
    <m/>
    <m/>
    <m/>
    <m/>
    <m/>
    <m/>
    <x v="0"/>
    <m/>
    <m/>
    <m/>
    <m/>
    <m/>
    <m/>
    <m/>
    <m/>
    <m/>
    <x v="0"/>
    <m/>
    <m/>
    <m/>
    <m/>
    <m/>
    <m/>
    <m/>
    <m/>
    <m/>
    <x v="1"/>
    <m/>
    <m/>
    <m/>
    <m/>
    <m/>
    <m/>
    <m/>
    <m/>
    <m/>
    <m/>
    <m/>
    <m/>
    <m/>
    <m/>
    <m/>
    <m/>
    <m/>
    <m/>
    <m/>
    <m/>
    <m/>
    <m/>
    <m/>
    <m/>
    <m/>
    <m/>
    <m/>
    <m/>
    <x v="1"/>
    <s v="Nie"/>
    <m/>
    <m/>
    <m/>
    <m/>
    <m/>
    <m/>
    <m/>
    <m/>
    <m/>
    <m/>
    <m/>
    <m/>
    <m/>
    <m/>
    <m/>
    <m/>
    <m/>
    <m/>
    <m/>
    <m/>
    <m/>
    <m/>
    <m/>
    <m/>
    <x v="0"/>
    <m/>
    <m/>
    <m/>
    <m/>
    <m/>
    <m/>
    <m/>
    <m/>
    <m/>
    <m/>
    <m/>
    <m/>
    <m/>
    <m/>
    <m/>
    <m/>
    <m/>
    <m/>
    <m/>
    <m/>
    <m/>
    <m/>
    <m/>
    <m/>
    <m/>
    <m/>
    <m/>
    <m/>
    <m/>
    <m/>
    <m/>
    <m/>
    <m/>
    <s v="poziom kształcenia"/>
    <s v="poziom kształcenia"/>
    <s v="nie dotyczy"/>
    <x v="0"/>
    <n v="1991"/>
    <s v="miasto gminne"/>
    <m/>
    <s v="inżynier Maszyn , Siłowni i Urządzeń Okrętowych"/>
    <s v="-"/>
    <m/>
  </r>
  <r>
    <n v="164"/>
    <n v="94"/>
    <n v="34"/>
    <s v="188.124.189.51"/>
    <s v="Link"/>
    <m/>
    <m/>
    <m/>
    <m/>
    <s v="Zakończono"/>
    <s v="2020-12-18 09:42:59"/>
    <s v="2020-12-18 09:57:39"/>
    <n v="880"/>
    <n v="0"/>
    <s v="Tak (kontynuacja ankiety)"/>
    <x v="0"/>
    <m/>
    <m/>
    <m/>
    <m/>
    <m/>
    <m/>
    <m/>
    <m/>
    <m/>
    <m/>
    <m/>
    <m/>
    <m/>
    <m/>
    <m/>
    <x v="0"/>
    <s v="WSB"/>
    <n v="2019"/>
    <s v="nie"/>
    <s v="IT Project Management"/>
    <s v="raczej się nie zgadzam"/>
    <s v="raczej się nie zgadzam"/>
    <s v="zgadzam się"/>
    <s v="zdecydowanie się zgadzam"/>
    <s v="zdecydowanie się zgadzam"/>
    <s v="Kończąc studia I stopnia dziennie już zostałam zatrudniona w IT Procurement, reszte studiow kończyłam zaocznie."/>
    <s v="powyżej 2000 zł, ale nie więcej niż 3000 zł"/>
    <s v="powyżej 4000 zł, ale nie więcej niż 5000 zł"/>
    <s v="Studia były w języku angielskim, koledzy ze studiów byli w wiekszości z poza Polski, rozwój poziomu j.angielskiego komunikatywnego."/>
    <s v="Zaoczny tryb, podejście do studenta jak do klienta, łatwy i szybki kontakt z wykładowcami, świetna współpraca z promotorem pracy magisterskiej"/>
    <s v="Wiele zajęć było odwoływanych, kierunek był zagraniczny anglojęzyczny, a poziom języka u wykladowcow pozostawial wiele do życzenia często"/>
    <s v="niestacjonarne (zaoczne) studia 2 stopnia (magisterskie)"/>
    <m/>
    <x v="1"/>
    <m/>
    <m/>
    <m/>
    <m/>
    <m/>
    <m/>
    <m/>
    <m/>
    <m/>
    <m/>
    <m/>
    <m/>
    <m/>
    <m/>
    <m/>
    <m/>
    <m/>
    <m/>
    <m/>
    <m/>
    <m/>
    <m/>
    <m/>
    <m/>
    <m/>
    <m/>
    <m/>
    <m/>
    <m/>
    <m/>
    <m/>
    <m/>
    <m/>
    <m/>
    <m/>
    <m/>
    <m/>
    <m/>
    <m/>
    <m/>
    <m/>
    <m/>
    <m/>
    <m/>
    <m/>
    <x v="0"/>
    <m/>
    <m/>
    <m/>
    <m/>
    <m/>
    <m/>
    <m/>
    <m/>
    <m/>
    <x v="0"/>
    <m/>
    <m/>
    <m/>
    <m/>
    <m/>
    <m/>
    <m/>
    <m/>
    <m/>
    <x v="1"/>
    <m/>
    <m/>
    <m/>
    <m/>
    <m/>
    <m/>
    <m/>
    <m/>
    <m/>
    <m/>
    <m/>
    <m/>
    <m/>
    <m/>
    <m/>
    <m/>
    <m/>
    <m/>
    <m/>
    <m/>
    <m/>
    <m/>
    <m/>
    <m/>
    <m/>
    <m/>
    <m/>
    <m/>
    <x v="1"/>
    <s v="Tak"/>
    <m/>
    <m/>
    <m/>
    <m/>
    <m/>
    <m/>
    <m/>
    <m/>
    <m/>
    <m/>
    <m/>
    <m/>
    <m/>
    <m/>
    <m/>
    <m/>
    <m/>
    <m/>
    <m/>
    <m/>
    <m/>
    <m/>
    <m/>
    <m/>
    <x v="0"/>
    <m/>
    <m/>
    <m/>
    <m/>
    <m/>
    <m/>
    <m/>
    <m/>
    <m/>
    <m/>
    <m/>
    <m/>
    <m/>
    <m/>
    <m/>
    <m/>
    <m/>
    <m/>
    <m/>
    <m/>
    <m/>
    <m/>
    <m/>
    <m/>
    <m/>
    <m/>
    <m/>
    <m/>
    <m/>
    <m/>
    <m/>
    <m/>
    <m/>
    <s v="Poziom nauczania wykładowcow, wiele od nich zalezy, najnudniejszy temat mozna przedstawic w sposob ciekawy i odwrotnie. Po wielu latach wspomnienia ze studiow raczej związane są z wykładowcami, nie mówimy - ten przedmiot był ciężki, tylko raczej - ubtego wykładowcy było ciężko. Często jest niestety tak, że waga przedmiotu do sposobu egzaminowania jest nieadekwatna. Mniej ważne przedmioty prowadzone są przez wykladowcow ktorzy nie mają zadowolenia z poziomu przekazania swojej wiedzy, a z poziomu trudności i irracjonalności sposobu egzaminowania podczas sesji."/>
    <s v="Ilość praktyków wykladajacych na uczelni, nie teoretykow. Wiele ciekawiej jest sluchac kogos kto opowiada z perspektywy wlasnego doswiadczenia, udziela rad, opowiada o sytuacjach i o propozycjach ich realnego praktycznego rozwiązywania."/>
    <s v="Poziom braku zaangazowania wykladowcow."/>
    <x v="1"/>
    <n v="1990"/>
    <s v="duże miasto powiatowe"/>
    <m/>
    <s v="Licencjat, mgr absolutorium na UG"/>
    <s v="Studia psychologii biznesu na UG"/>
    <m/>
  </r>
  <r>
    <n v="189"/>
    <n v="108"/>
    <n v="34"/>
    <s v="158.233.246.26"/>
    <s v="Link"/>
    <m/>
    <m/>
    <m/>
    <m/>
    <s v="Zakończono"/>
    <s v="2020-12-18 15:41:41"/>
    <s v="2020-12-18 17:03:27"/>
    <n v="4906"/>
    <n v="0"/>
    <s v="Tak (kontynuacja ankiety)"/>
    <x v="0"/>
    <m/>
    <m/>
    <m/>
    <m/>
    <m/>
    <m/>
    <m/>
    <m/>
    <m/>
    <m/>
    <m/>
    <m/>
    <m/>
    <m/>
    <m/>
    <x v="0"/>
    <s v="Uniwersytet Gdański"/>
    <n v="2009"/>
    <s v="nie"/>
    <s v="Ekonomia"/>
    <s v="raczej się zgadzam"/>
    <s v="raczej się zgadzam"/>
    <s v="raczej się zgadzam"/>
    <s v="raczej się zgadzam"/>
    <s v="raczej się zgadzam"/>
    <s v="praca przed rozpoczeciem pracy"/>
    <s v="powyżej 2000 zł, ale nie więcej niż 3000 zł"/>
    <s v="powyżej 3000 zł, ale nie więcej niż 4000 zł"/>
    <m/>
    <s v="dostęp do wiedzy i otwartosc profesorów"/>
    <s v="tryb zaoczny"/>
    <m/>
    <s v="niestacjonarne(zaoczne) studia jednolite 5 letnie (magisterskie)"/>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m/>
    <m/>
    <m/>
    <m/>
    <m/>
    <m/>
    <m/>
    <m/>
    <m/>
    <m/>
    <m/>
    <m/>
    <m/>
    <m/>
    <m/>
    <m/>
    <m/>
    <m/>
    <m/>
    <m/>
    <m/>
    <m/>
    <m/>
    <m/>
    <m/>
    <m/>
    <m/>
    <m/>
    <m/>
    <m/>
    <m/>
    <m/>
    <m/>
    <s v="rożnorodność kierunków, kadra, "/>
    <s v="nie wiem"/>
    <s v="nie wiem"/>
    <x v="1"/>
    <n v="1983"/>
    <s v="miasto gminne"/>
    <m/>
    <s v="nd"/>
    <s v="Nd"/>
    <m/>
  </r>
  <r>
    <n v="220"/>
    <n v="121"/>
    <n v="34"/>
    <s v="158.233.246.29"/>
    <s v="Link"/>
    <m/>
    <m/>
    <m/>
    <m/>
    <s v="Zakończono"/>
    <s v="2020-12-21 10:11:48"/>
    <s v="2020-12-21 10:51:27"/>
    <n v="2379"/>
    <n v="0"/>
    <s v="Tak (kontynuacja ankiety)"/>
    <x v="0"/>
    <m/>
    <m/>
    <m/>
    <m/>
    <m/>
    <m/>
    <m/>
    <m/>
    <m/>
    <m/>
    <m/>
    <m/>
    <m/>
    <m/>
    <m/>
    <x v="0"/>
    <s v="Uniwersytet Gdański"/>
    <n v="2012"/>
    <s v="nie"/>
    <s v="Międzynarodowe Stosunku Gospodarcze"/>
    <s v="zgadzam się"/>
    <s v="raczej się zgadzam"/>
    <s v="zgadzam się"/>
    <s v="raczej się zgadzam"/>
    <s v="zgadzam się"/>
    <s v="praca przed ukończeniem studiów"/>
    <s v="nie dotyczy"/>
    <s v="nie dotyczy"/>
    <s v="zbudowanie sieci kontaktów"/>
    <s v="ćwiczeniowa forma zajęć, współpraca z innymi studentami"/>
    <s v="forma wykładów w ppt, duże skoncentrowanie na definicje, suche fakty a mało czasu poświęconego na zastosowanie umiejętności w praktyce"/>
    <s v="niestacjonarne (zaoczne) studia 2 stopnia (magisterskie)"/>
    <s v="również stacjonarne studia 2 stopnia: skandynawistyka"/>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kadra dydaktyczna i naukowa, program studiów oparty na ćwiczeniach i przedmiotach danej specjalności"/>
    <s v="poziom dydaktyczny prowadzonych zajęć, zasoby biblioteczne, możliwości stypendialne/programów wymiany itp., oferta ponadprogramowa (np. kółka studenckie)"/>
    <s v="przeładowanie programu przedmiotami &quot;ogólnymi&quot; prowadzonymi w formie wykładu, przestarzałe formy dydaktyczne (skoncentrowanie na testy zaliczeniowe, "/>
    <x v="1"/>
    <n v="1986"/>
    <s v="nieduże miasto powiatowe"/>
    <m/>
    <s v="studia 2 stopnia (magisterskie): skandynawistyka"/>
    <s v="studia podyplomowe: Analiza Biznesowa w IT"/>
    <m/>
  </r>
  <r>
    <n v="236"/>
    <n v="128"/>
    <n v="34"/>
    <s v="109.206.213.146"/>
    <s v="Link"/>
    <s v="https://www.linkedin.com/"/>
    <m/>
    <m/>
    <m/>
    <s v="Zakończono"/>
    <s v="2020-12-24 07:44:53"/>
    <s v="2020-12-24 08:01:59"/>
    <n v="1026"/>
    <n v="0"/>
    <s v="Tak (kontynuacja ankiety)"/>
    <x v="0"/>
    <m/>
    <m/>
    <m/>
    <m/>
    <m/>
    <m/>
    <m/>
    <m/>
    <m/>
    <m/>
    <m/>
    <m/>
    <m/>
    <m/>
    <m/>
    <x v="0"/>
    <s v="Politechnika Gdańska"/>
    <n v="2011"/>
    <s v="tak"/>
    <s v="Zarządzanie i Marketing / Zarządzanie Systemami Produkcyjnymi"/>
    <s v="zgadzam się"/>
    <s v="raczej się zgadzam"/>
    <s v="zgadzam się"/>
    <s v="ani się zgadzam, ani nie zgadzam"/>
    <s v="zdecydowanie się zgadzam"/>
    <s v="praca przed ukończeniem studiów "/>
    <s v="powyżej 1000 zł, ale nie więcej niż 2000 zł"/>
    <s v="powyżej 5000 zł, ale nie więcej niż 6000 zł"/>
    <s v="Lepszy zmysł techniczny "/>
    <s v="Wykładowcy "/>
    <s v="Wybrane Zajęcia czasem nie zmieniane od lat, kiedy inne starały się iść z duchem czasu"/>
    <m/>
    <s v="Stacjonarne magistersko-inżynierskie 5-letn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Program - czy jest dopasowany do tego, czego będzie potrzebować za kilka lat rynek (trendwatching), a nie "/>
    <s v="Prestiż uczelni"/>
    <s v="Wciąż za mało praktycznych rzeczy, które realnie wykorzystałam w zawodzie"/>
    <x v="1"/>
    <n v="1987"/>
    <s v="miasto gminne"/>
    <m/>
    <s v="SWPS Warszawa, SWPS Poznań"/>
    <s v="Nie dotyczy "/>
    <s v="Pytania można byłoby prościej opisać / przystępniej :) "/>
  </r>
  <r>
    <n v="3"/>
    <n v="3"/>
    <n v="33"/>
    <s v="89.73.146.237"/>
    <s v="Link"/>
    <m/>
    <m/>
    <m/>
    <m/>
    <s v="Zakończono"/>
    <s v="2020-05-03 22:53:23"/>
    <s v="2020-05-03 23:07:36"/>
    <n v="853"/>
    <n v="0"/>
    <s v="Tak (kontynuacja ankiety)"/>
    <x v="0"/>
    <m/>
    <m/>
    <m/>
    <m/>
    <m/>
    <m/>
    <m/>
    <m/>
    <m/>
    <m/>
    <m/>
    <m/>
    <m/>
    <m/>
    <m/>
    <x v="0"/>
    <s v="Politechnika Gdańska"/>
    <n v="2017"/>
    <s v="tak"/>
    <s v="Informatyka"/>
    <s v="zgadzam się"/>
    <s v="zgadzam się"/>
    <s v="raczej się zgadzam"/>
    <s v="zdecydowanie się zgadzam"/>
    <s v="zdecydowanie się zgadzam"/>
    <s v="Na trzecim roku inz"/>
    <s v="powyżej 10.000 zł"/>
    <s v="powyżej 10.000 zł"/>
    <s v="Możliwość spojrzenia na świat z szerszej perspektywy"/>
    <s v="Zajęcia praktyczne, projekty, elastyczność w realizacji tematów"/>
    <s v="Sama teoria i brak namacalności przydatności wiedzy"/>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Uczelnia zatrudniająca ludzi dynamicznych z branży"/>
    <s v="Aktualizowanie podstaw programowych"/>
    <s v="Brak zaangażowania promotora w pracę magisterską, która odkłada się  miesiącami"/>
    <x v="0"/>
    <n v="1991"/>
    <s v="miasto wojewódzkie"/>
    <m/>
    <s v="Muzyczne podstawowe"/>
    <m/>
    <m/>
  </r>
  <r>
    <n v="10"/>
    <n v="9"/>
    <n v="33"/>
    <s v="87.207.83.121"/>
    <s v="Link"/>
    <m/>
    <m/>
    <m/>
    <m/>
    <s v="Zakończono"/>
    <s v="2020-05-04 23:40:32"/>
    <s v="2020-05-05 00:51:31"/>
    <n v="4259"/>
    <n v="0"/>
    <s v="Tak (kontynuacja ankiety)"/>
    <x v="0"/>
    <m/>
    <m/>
    <m/>
    <m/>
    <m/>
    <m/>
    <m/>
    <m/>
    <m/>
    <m/>
    <m/>
    <m/>
    <m/>
    <m/>
    <m/>
    <x v="0"/>
    <s v="Politechnika Gdańska"/>
    <n v="2013"/>
    <s v="tak"/>
    <s v="matematyka"/>
    <s v="zgadzam się"/>
    <s v="zgadzam się"/>
    <s v="zdecydowanie się zgadzam"/>
    <s v="ani się zgadzam, ani nie zgadzam"/>
    <s v="raczej się zgadzam"/>
    <n v="1"/>
    <s v="powyżej 1000 zł, ale nie więcej niż 2000 zł"/>
    <s v="powyżej 3000 zł, ale nie więcej niż 4000 zł"/>
    <s v="mniej stresu w pracy, rozwiązywanie problemów nie sprawia większych trudności w większości przypadków"/>
    <s v="kierunek studiów zgodny z zainteresowaniami, dobra kadra wykładowców na uczelni"/>
    <s v="nuda, ostatnie semestry studiów już były trochę na siłę, praktyki studenckie tak żeby odklepać, mało związane z kierunkiem studiów"/>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s v="nie dotyczy"/>
    <m/>
    <m/>
    <m/>
    <m/>
    <m/>
    <m/>
    <m/>
    <m/>
    <m/>
    <m/>
    <m/>
    <m/>
    <m/>
    <m/>
    <m/>
    <m/>
    <m/>
    <m/>
    <m/>
    <m/>
    <m/>
    <m/>
    <m/>
    <m/>
    <m/>
    <m/>
    <m/>
    <m/>
    <m/>
    <m/>
    <s v="kadra wykładowców, ciekawe kierunki studiów"/>
    <s v="oferta ciekawych praktyk studenckich związanych z kierunkiem studiów"/>
    <s v="przedmioty, które nie wydają się mieć związku z kierunkiem studiów"/>
    <x v="0"/>
    <n v="1988"/>
    <s v="miasto wojewódzkie"/>
    <m/>
    <m/>
    <m/>
    <m/>
  </r>
  <r>
    <n v="17"/>
    <n v="16"/>
    <n v="33"/>
    <s v="5.173.220.204"/>
    <s v="Link"/>
    <s v="http://m.facebook.com/"/>
    <m/>
    <m/>
    <m/>
    <s v="Zakończono"/>
    <s v="2020-05-13 21:23:39"/>
    <s v="2020-05-13 21:49:13"/>
    <n v="1534"/>
    <n v="0"/>
    <s v="Tak (kontynuacja ankiety)"/>
    <x v="0"/>
    <m/>
    <m/>
    <m/>
    <m/>
    <m/>
    <m/>
    <m/>
    <m/>
    <m/>
    <m/>
    <m/>
    <m/>
    <m/>
    <m/>
    <m/>
    <x v="0"/>
    <s v="Uniwersytet Gdański"/>
    <n v="2011"/>
    <s v="nie"/>
    <s v="Chemia biologiczna "/>
    <s v="ani się zgadzam, ani nie zgadzam"/>
    <s v="nie zgadzam się"/>
    <s v="zdecydowanie się nie zgadzam"/>
    <s v="zdecydowanie się nie zgadzam"/>
    <s v="zdecydowanie się nie zgadzam"/>
    <n v="4"/>
    <s v="powyżej 1000 zł, ale nie więcej niż 2000 zł"/>
    <s v="powyżej 1000 zł, ale nie więcej niż 2000 zł"/>
    <s v="Umiejętność pracy w zespole "/>
    <s v="Duza ilość zajęć praktycznych, laboratoryjnych"/>
    <s v="Nie logiczny rozklad zajęć "/>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Współpraca z pracodawcami "/>
    <s v="Praktyki studenckie "/>
    <s v="Program edukacyjny nie dostosowany do potrzeb rynku pracy "/>
    <x v="1"/>
    <n v="1987"/>
    <s v="miasto wojewódzkie"/>
    <m/>
    <s v="Policealne, podyplomowe "/>
    <m/>
    <m/>
  </r>
  <r>
    <n v="77"/>
    <n v="43"/>
    <n v="33"/>
    <s v="37.47.198.130"/>
    <s v="Link"/>
    <s v="https://ankietaplus.pl/ankiety/analiza/statystyki/13308"/>
    <m/>
    <m/>
    <m/>
    <s v="Zakończono"/>
    <s v="2020-05-24 13:14:21"/>
    <s v="2020-05-24 13:19:54"/>
    <n v="333"/>
    <n v="0"/>
    <s v="Tak (kontynuacja ankiety)"/>
    <x v="0"/>
    <m/>
    <m/>
    <m/>
    <m/>
    <m/>
    <m/>
    <m/>
    <m/>
    <m/>
    <m/>
    <m/>
    <m/>
    <m/>
    <m/>
    <m/>
    <x v="0"/>
    <s v="Uniwersytet Gdański"/>
    <n v="2012"/>
    <s v="nie"/>
    <s v="Dziennikarstwo i komunikacja społeczna"/>
    <s v="ani się zgadzam, ani nie zgadzam"/>
    <s v="ani się zgadzam, ani nie zgadzam"/>
    <s v="zdecydowanie się nie zgadzam"/>
    <s v="zdecydowanie się nie zgadzam"/>
    <s v="raczej się nie zgadzam"/>
    <n v="3"/>
    <s v="powyżej 1000 zł, ale nie więcej niż 2000 zł"/>
    <s v="powyżej 2000 zł, ale nie więcej niż 3000 zł"/>
    <s v="brak"/>
    <s v="dobra atmosfera"/>
    <s v="brak organizacji (brak informacji o odwoływanych zajęciach); złe warunki lokalowe; "/>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kwalifikacje kadry nauczającej; ilość godzin praktyk; możliwość odbywania staży; dobra atmosfera"/>
    <s v="oferta edukacyjne, zajęcia praktyczne; możliwość zdobycia dodatkowych kwalifikacji podczas studiów (np. przygotowanie pedagogiczne); wyjazdy na obozy (np. narciarskie); możliwość udziału w projektach badawczych; "/>
    <s v="organizacja; realizacja nieprzydatnych przedmiotów; brak praktyk; niedostosowanie oferty do rynku pracy; "/>
    <x v="0"/>
    <n v="1987"/>
    <s v="miasto wojewódzkie"/>
    <m/>
    <s v="Administracja, Politologia, Marketing internetowy"/>
    <m/>
    <m/>
  </r>
  <r>
    <n v="153"/>
    <n v="88"/>
    <n v="33"/>
    <s v="158.233.246.26"/>
    <s v="Link"/>
    <m/>
    <m/>
    <m/>
    <m/>
    <s v="Zakończono"/>
    <s v="2020-12-15 23:07:53"/>
    <s v="2020-12-15 23:13:45"/>
    <n v="352"/>
    <n v="0"/>
    <s v="Tak (kontynuacja ankiety)"/>
    <x v="0"/>
    <m/>
    <m/>
    <m/>
    <m/>
    <m/>
    <m/>
    <m/>
    <m/>
    <m/>
    <m/>
    <m/>
    <m/>
    <m/>
    <m/>
    <m/>
    <x v="0"/>
    <s v="Uniwersytet Gdański"/>
    <n v="2000"/>
    <s v="nie"/>
    <s v="Prawo"/>
    <s v="raczej się zgadzam"/>
    <s v="raczej się zgadzam"/>
    <s v="zgadzam się"/>
    <s v="zdecydowanie się nie zgadzam"/>
    <s v="raczej się nie zgadzam"/>
    <n v="5"/>
    <s v="powyżej 2000 zł, ale nie więcej niż 3000 zł"/>
    <s v="powyżej 2000 zł, ale nie więcej niż 3000 zł"/>
    <s v="łatwość w poruszaniu się po zagadnieniach prawnych"/>
    <s v="ciekawe zajęcia, praktyki, atmosfera"/>
    <s v="kumoterstwo"/>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jakość wykładowców, współpraca z dużymi firmami w kwestii praktyk"/>
    <s v="prestiż i dobra kadra"/>
    <s v="kupowanie dyplomów "/>
    <x v="1"/>
    <n v="1982"/>
    <s v="nieduże miasto powiatowe"/>
    <m/>
    <s v="brak"/>
    <s v="brak"/>
    <m/>
  </r>
  <r>
    <n v="159"/>
    <n v="92"/>
    <n v="33"/>
    <s v="158.233.246.4"/>
    <s v="Link"/>
    <m/>
    <m/>
    <m/>
    <m/>
    <s v="Zakończono"/>
    <s v="2020-12-16 09:13:59"/>
    <s v="2020-12-16 09:30:46"/>
    <n v="1007"/>
    <n v="0"/>
    <s v="Tak (kontynuacja ankiety)"/>
    <x v="0"/>
    <m/>
    <m/>
    <m/>
    <m/>
    <m/>
    <m/>
    <m/>
    <m/>
    <m/>
    <m/>
    <m/>
    <m/>
    <m/>
    <m/>
    <m/>
    <x v="0"/>
    <s v="Politechnika Łódzka"/>
    <n v="2006"/>
    <s v="nie"/>
    <s v="Matematyka Stosowana"/>
    <s v="zdecydowanie się zgadzam"/>
    <s v="zdecydowanie się zgadzam"/>
    <s v="zdecydowanie się zgadzam"/>
    <s v="zgadzam się"/>
    <s v="zdecydowanie się zgadzam"/>
    <s v="4 miesiące"/>
    <s v="powyżej 1000 zł, ale nie więcej niż 2000 zł"/>
    <s v="powyżej 3000 zł, ale nie więcej niż 4000 zł"/>
    <s v="Wiedza, umiejętność logicznego myślenia, rozwój osobowości"/>
    <s v="Tematyka zajęć, dobry kontakt z wykładowcami, jasne i przejrzyste zasady"/>
    <s v="Nie było takich"/>
    <m/>
    <s v="Stacjonarne jednolite studia magistersk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Poziom nauczania, atmosfera na uczelni (mobilizowanie do zdobywania wiedzy i samokształcenia, tworzenie atmosfery naukowej)"/>
    <s v="Odpowiadałam już na to pytanie wcześniej"/>
    <s v="Brak"/>
    <x v="1"/>
    <n v="1983"/>
    <s v="miasto wojewódzkie"/>
    <m/>
    <s v="kurs trenerski"/>
    <s v="Nie dotyczy"/>
    <m/>
  </r>
  <r>
    <n v="165"/>
    <n v="95"/>
    <n v="33"/>
    <s v="158.233.246.26"/>
    <s v="Link"/>
    <m/>
    <m/>
    <m/>
    <m/>
    <s v="Zakończono"/>
    <s v="2020-12-18 11:23:28"/>
    <s v="2020-12-18 11:30:10"/>
    <n v="402"/>
    <n v="0"/>
    <s v="Tak (kontynuacja ankiety)"/>
    <x v="0"/>
    <m/>
    <m/>
    <m/>
    <m/>
    <m/>
    <m/>
    <m/>
    <m/>
    <m/>
    <m/>
    <m/>
    <m/>
    <m/>
    <m/>
    <m/>
    <x v="0"/>
    <s v="Uniwersytet Gdański"/>
    <n v="2008"/>
    <s v="nie"/>
    <s v="Chemia, Ochrona Środowiska"/>
    <s v="raczej się nie zgadzam"/>
    <s v="nie zgadzam się"/>
    <s v="zdecydowanie się nie zgadzam"/>
    <s v="zdecydowanie się nie zgadzam"/>
    <s v="raczej się nie zgadzam"/>
    <s v="praca przed ukończeniem studiów"/>
    <s v="powyżej 1000 zł, ale nie więcej niż 2000 zł"/>
    <s v="powyżej 1000 zł, ale nie więcej niż 2000 zł"/>
    <s v="zdolność analitycznego myślenia"/>
    <s v="ludzie"/>
    <s v="wykładowcy"/>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Kadra naukowa"/>
    <s v="Pozytywnie nastawieni wykładowcy."/>
    <s v="Negatywne nastawienie nauczycieli i ich osobiste emocje powodujące odgrywanie się na studentach, przeładowany program zbędną treścią."/>
    <x v="1"/>
    <n v="1984"/>
    <s v="miasto gminne"/>
    <m/>
    <s v="brak"/>
    <s v="brak"/>
    <m/>
  </r>
  <r>
    <n v="169"/>
    <n v="97"/>
    <n v="33"/>
    <s v="158.233.246.26"/>
    <s v="Link"/>
    <m/>
    <m/>
    <m/>
    <m/>
    <s v="Zakończono"/>
    <s v="2020-12-18 11:24:25"/>
    <s v="2020-12-18 11:32:40"/>
    <n v="495"/>
    <n v="0"/>
    <s v="Tak (kontynuacja ankiety)"/>
    <x v="0"/>
    <m/>
    <m/>
    <m/>
    <m/>
    <m/>
    <m/>
    <m/>
    <m/>
    <m/>
    <m/>
    <m/>
    <m/>
    <m/>
    <m/>
    <m/>
    <x v="0"/>
    <s v="Uniwersytet Ekonomiczny w Poznaniu"/>
    <m/>
    <s v="nie"/>
    <s v="Międzynarodowe Stosunki Gospodarcze i Polityczne"/>
    <s v="zdecydowanie się zgadzam"/>
    <s v="zdecydowanie się zgadzam"/>
    <s v="ani się zgadzam, ani nie zgadzam"/>
    <s v="raczej się zgadzam"/>
    <s v="raczej się zgadzam"/>
    <s v="w trakcie ostatniego roku studiów"/>
    <s v="nie dotyczy"/>
    <s v="nie dotyczy"/>
    <s v="interdyscyplinarne spojrzenie na realizowane projekty"/>
    <s v="tematyka, poziom merytoryczny, poziom kadry naukowej, osadzenie przekazywanej wiedzy w realiach biznesowych"/>
    <s v="NA"/>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jakość i zawartość merytoryczna programów, poziom kadry"/>
    <s v="jakość i zawartość merytoryczna programów, poziom kadry"/>
    <s v="NA"/>
    <x v="1"/>
    <s v="NA"/>
    <s v="duże miasto powiatowe"/>
    <m/>
    <s v="studia podyplomowe z rachunkowości"/>
    <s v="NA"/>
    <s v="NA"/>
  </r>
  <r>
    <n v="181"/>
    <n v="102"/>
    <n v="33"/>
    <s v="158.233.246.29"/>
    <s v="Link"/>
    <m/>
    <m/>
    <m/>
    <m/>
    <s v="Zakończono"/>
    <s v="2020-12-18 14:29:31"/>
    <s v="2020-12-18 14:36:37"/>
    <n v="426"/>
    <n v="0"/>
    <s v="Tak (kontynuacja ankiety)"/>
    <x v="1"/>
    <s v="WSB"/>
    <s v="tak"/>
    <s v="Informatyka"/>
    <s v="ani się zgadzam, ani nie zgadzam"/>
    <s v="raczej się zgadzam"/>
    <s v="raczej się nie zgadzam"/>
    <s v="praca przed ukonczeniem studiow"/>
    <s v="powyżej 10.000 zł"/>
    <s v="powyżej 10.000 zł"/>
    <s v="osiągniecie dyplomu"/>
    <s v="nauczanie zdalne"/>
    <s v="ograniczona dostepnosc narzedzi"/>
    <s v="niestacjonarne (zaoczne) studia 1 stopnia (licencjackie / inżynierskie)"/>
    <m/>
    <n v="7"/>
    <x v="1"/>
    <m/>
    <m/>
    <m/>
    <m/>
    <m/>
    <m/>
    <m/>
    <m/>
    <m/>
    <m/>
    <m/>
    <m/>
    <m/>
    <m/>
    <m/>
    <m/>
    <m/>
    <x v="1"/>
    <m/>
    <m/>
    <m/>
    <m/>
    <m/>
    <m/>
    <m/>
    <m/>
    <m/>
    <m/>
    <m/>
    <m/>
    <m/>
    <m/>
    <m/>
    <m/>
    <m/>
    <m/>
    <m/>
    <m/>
    <m/>
    <m/>
    <m/>
    <m/>
    <m/>
    <m/>
    <m/>
    <m/>
    <m/>
    <m/>
    <m/>
    <m/>
    <m/>
    <m/>
    <m/>
    <m/>
    <m/>
    <m/>
    <m/>
    <m/>
    <m/>
    <m/>
    <m/>
    <m/>
    <m/>
    <x v="0"/>
    <m/>
    <m/>
    <m/>
    <m/>
    <m/>
    <m/>
    <m/>
    <m/>
    <m/>
    <x v="0"/>
    <m/>
    <m/>
    <m/>
    <m/>
    <m/>
    <m/>
    <m/>
    <m/>
    <m/>
    <x v="1"/>
    <m/>
    <m/>
    <m/>
    <m/>
    <m/>
    <m/>
    <m/>
    <m/>
    <m/>
    <m/>
    <m/>
    <m/>
    <m/>
    <m/>
    <m/>
    <m/>
    <m/>
    <m/>
    <m/>
    <m/>
    <m/>
    <m/>
    <m/>
    <m/>
    <m/>
    <m/>
    <m/>
    <m/>
    <x v="1"/>
    <s v="Tak"/>
    <s v="nie dotyczy"/>
    <m/>
    <m/>
    <m/>
    <m/>
    <m/>
    <m/>
    <m/>
    <m/>
    <m/>
    <m/>
    <m/>
    <m/>
    <m/>
    <m/>
    <m/>
    <m/>
    <m/>
    <m/>
    <m/>
    <m/>
    <m/>
    <m/>
    <m/>
    <x v="0"/>
    <m/>
    <m/>
    <m/>
    <m/>
    <m/>
    <m/>
    <m/>
    <m/>
    <m/>
    <m/>
    <m/>
    <m/>
    <m/>
    <m/>
    <m/>
    <m/>
    <m/>
    <m/>
    <m/>
    <m/>
    <m/>
    <m/>
    <m/>
    <m/>
    <m/>
    <m/>
    <m/>
    <m/>
    <m/>
    <m/>
    <m/>
    <m/>
    <m/>
    <s v="dostepnosc narzedzi, elastycznosc nauczania"/>
    <s v="powyzsze"/>
    <s v="brak powyzszego, trudna komunikacja z uczelnia"/>
    <x v="1"/>
    <n v="1991"/>
    <s v="miasto wojewódzkie"/>
    <m/>
    <s v="inzynier"/>
    <s v="n/a"/>
    <m/>
  </r>
  <r>
    <n v="182"/>
    <n v="103"/>
    <n v="33"/>
    <s v="146.119.114.150"/>
    <s v="Link"/>
    <m/>
    <m/>
    <m/>
    <m/>
    <s v="Zakończono"/>
    <s v="2020-12-18 15:15:52"/>
    <s v="2020-12-18 15:19:05"/>
    <n v="193"/>
    <n v="0"/>
    <s v="Tak (kontynuacja ankiety)"/>
    <x v="0"/>
    <m/>
    <m/>
    <m/>
    <m/>
    <m/>
    <m/>
    <m/>
    <m/>
    <m/>
    <m/>
    <m/>
    <m/>
    <m/>
    <m/>
    <m/>
    <x v="0"/>
    <s v="Politechnika Gdańska"/>
    <n v="2013"/>
    <s v="tak"/>
    <s v="Autmatyka"/>
    <s v="nie zgadzam się"/>
    <s v="nie zgadzam się"/>
    <s v="raczej się zgadzam"/>
    <s v="nie zgadzam się"/>
    <s v="nie zgadzam się"/>
    <n v="1"/>
    <s v="powyżej 1000 zł, ale nie więcej niż 2000 zł"/>
    <s v="powyżej 2000 zł, ale nie więcej niż 3000 zł"/>
    <m/>
    <s v="."/>
    <s v="."/>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
    <s v="."/>
    <s v="."/>
    <x v="0"/>
    <n v="1989"/>
    <s v="miasto wojewódzkie"/>
    <m/>
    <s v="."/>
    <s v="."/>
    <s v="."/>
  </r>
  <r>
    <n v="184"/>
    <n v="105"/>
    <n v="33"/>
    <s v="37.47.212.241"/>
    <s v="Link"/>
    <m/>
    <m/>
    <m/>
    <m/>
    <s v="Zakończono"/>
    <s v="2020-12-18 15:25:33"/>
    <s v="2020-12-18 15:44:12"/>
    <n v="1119"/>
    <n v="0"/>
    <s v="Tak (kontynuacja ankiety)"/>
    <x v="0"/>
    <m/>
    <m/>
    <m/>
    <m/>
    <m/>
    <m/>
    <m/>
    <m/>
    <m/>
    <m/>
    <m/>
    <m/>
    <m/>
    <m/>
    <m/>
    <x v="0"/>
    <s v="Politechnika Gdańska"/>
    <n v="1997"/>
    <s v="tak"/>
    <s v="Automatyka i Robotyka"/>
    <s v="zgadzam się"/>
    <s v="zgadzam się"/>
    <s v="zgadzam się"/>
    <s v="zgadzam się"/>
    <s v="zgadzam się"/>
    <s v="Praca przed ukonczeniem studiow"/>
    <s v="nie dotyczy"/>
    <s v="nie dotyczy"/>
    <s v="Szeroka wiedza"/>
    <s v="Dobra wspolpraca studentow, otwarci wykladowcy"/>
    <s v="Ubogie zaplecze dydaktyczne"/>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Kadra z wiedza praktyczna"/>
    <s v="Otwartosc na wiedze z roznych dziedzin"/>
    <s v="Brak zaplecza dydaktycznego"/>
    <x v="0"/>
    <n v="1972"/>
    <s v="wieś"/>
    <m/>
    <s v="Technikum mechaniczne"/>
    <s v="brak"/>
    <m/>
  </r>
  <r>
    <n v="187"/>
    <n v="106"/>
    <n v="33"/>
    <s v="89.64.113.101"/>
    <s v="Link"/>
    <m/>
    <m/>
    <m/>
    <m/>
    <s v="Zakończono"/>
    <s v="2020-12-18 15:32:24"/>
    <s v="2020-12-18 15:44:05"/>
    <n v="701"/>
    <n v="0"/>
    <s v="Tak (kontynuacja ankiety)"/>
    <x v="0"/>
    <m/>
    <m/>
    <m/>
    <m/>
    <m/>
    <m/>
    <m/>
    <m/>
    <m/>
    <m/>
    <m/>
    <m/>
    <m/>
    <m/>
    <m/>
    <x v="0"/>
    <s v="Politechnika Gdańska"/>
    <s v="Nie pamietam"/>
    <s v="tak"/>
    <s v="Inżynieria Środowska"/>
    <s v="raczej się zgadzam"/>
    <s v="raczej się zgadzam"/>
    <s v="ani się zgadzam, ani nie zgadzam"/>
    <s v="raczej się zgadzam"/>
    <s v="ani się zgadzam, ani nie zgadzam"/>
    <s v="Praca przed ukończeniem studiów"/>
    <s v="powyżej 2000 zł, ale nie więcej niż 3000 zł"/>
    <s v="powyżej 2000 zł, ale nie więcej niż 3000 zł"/>
    <m/>
    <s v="Możliwość mieszkania a akademiku"/>
    <s v="Przedmioty na których co innego było na wykładzie a co innego na zaliczeniu"/>
    <s v="stacjonarne (dzienne) studia 2 stopnia (magisterskie)"/>
    <s v="Dzienne 1 i 2 stopnia łączn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Poziom kształcenia"/>
    <s v="Renoma"/>
    <s v="Jakoś prowadzenia niektórych wykładów"/>
    <x v="1"/>
    <n v="1985"/>
    <s v="miasto gminne"/>
    <m/>
    <s v="Nie posiadam"/>
    <s v="Nie zdobywam"/>
    <m/>
  </r>
  <r>
    <n v="193"/>
    <n v="110"/>
    <n v="33"/>
    <s v="158.233.246.28"/>
    <s v="Link"/>
    <m/>
    <m/>
    <m/>
    <m/>
    <s v="Zakończono"/>
    <s v="2020-12-18 15:51:44"/>
    <s v="2020-12-18 16:00:49"/>
    <n v="545"/>
    <n v="0"/>
    <s v="Tak (kontynuacja ankiety)"/>
    <x v="0"/>
    <m/>
    <m/>
    <m/>
    <m/>
    <m/>
    <m/>
    <m/>
    <m/>
    <m/>
    <m/>
    <m/>
    <m/>
    <m/>
    <m/>
    <m/>
    <x v="0"/>
    <s v="Uniwersytet Mikołaja Kopernika w Toruniu"/>
    <n v="2001"/>
    <s v="nie"/>
    <s v="Zarządzanie i marketing"/>
    <s v="zgadzam się"/>
    <s v="zgadzam się"/>
    <s v="zdecydowanie się zgadzam"/>
    <s v="zgadzam się"/>
    <s v="zdecydowanie się zgadzam"/>
    <s v="Praca 2 lata przed ukończeniem studiów"/>
    <s v="do 1000 zł"/>
    <s v="powyżej 3000 zł, ale nie więcej niż 4000 zł"/>
    <s v="Chęć nauki pozostała na zawsze."/>
    <s v="Wykładowcy, organizacja studencka, możliwość pracy i dziennego studiowania na 4-5 roku"/>
    <s v="brak"/>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Poziom wykładowców, różnorodność zajęć, praktyczne podejście do wykładanych przedmiotów"/>
    <s v="Nauka która ma przełożenie na praktykę"/>
    <s v="Odtwórcze nauczanie niepraktycznej wiedzy"/>
    <x v="1"/>
    <n v="1977"/>
    <s v="miasto wojewódzkie"/>
    <s v="Olsztyn"/>
    <s v="Studia podyplomowe na University of Illinois"/>
    <m/>
    <m/>
  </r>
  <r>
    <n v="205"/>
    <n v="114"/>
    <n v="33"/>
    <s v="178.235.177.180"/>
    <s v="Link"/>
    <m/>
    <m/>
    <m/>
    <m/>
    <s v="Zakończono"/>
    <s v="2020-12-18 19:02:15"/>
    <s v="2020-12-18 19:12:03"/>
    <n v="588"/>
    <n v="0"/>
    <s v="Tak (kontynuacja ankiety)"/>
    <x v="0"/>
    <m/>
    <m/>
    <m/>
    <m/>
    <m/>
    <m/>
    <m/>
    <m/>
    <m/>
    <m/>
    <m/>
    <m/>
    <m/>
    <m/>
    <m/>
    <x v="0"/>
    <s v="Uniwersytet Medyczny w Poznaniu"/>
    <n v="2012"/>
    <s v="nie"/>
    <s v="położnictwo"/>
    <s v="raczej się zgadzam"/>
    <s v="raczej się zgadzam"/>
    <s v="zdecydowanie się zgadzam"/>
    <s v="zdecydowanie się nie zgadzam"/>
    <s v="zdecydowanie się nie zgadzam"/>
    <s v="3 miesiące przed ukończeniem studiów"/>
    <s v="powyżej 1000 zł, ale nie więcej niż 2000 zł"/>
    <s v="powyżej 1000 zł, ale nie więcej niż 2000 zł"/>
    <s v="jedyna możliwośc pracy w tym zawodzie"/>
    <s v="wiedza i praktyki w osrodkach o wysokich stopniach referencji"/>
    <s v="brak możliwości indywidualnych  praktyk"/>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możliwość edukacji w najbardziej rozwiniętych ośrodkach"/>
    <s v="możliwość praktyk w kameralnych małych grupach lub indywidualnie"/>
    <s v="zajęcia prowadzone by zakuć-zdać-zapomnieć"/>
    <x v="1"/>
    <n v="1985"/>
    <s v="nieduże miasto powiatowe"/>
    <m/>
    <s v="specjalizacja "/>
    <s v="-"/>
    <m/>
  </r>
  <r>
    <n v="214"/>
    <n v="117"/>
    <n v="33"/>
    <s v="89.64.109.1"/>
    <s v="Link"/>
    <m/>
    <m/>
    <m/>
    <m/>
    <s v="Zakończono"/>
    <s v="2020-12-19 20:58:33"/>
    <s v="2020-12-19 21:04:09"/>
    <n v="336"/>
    <n v="0"/>
    <s v="Tak (kontynuacja ankiety)"/>
    <x v="0"/>
    <m/>
    <m/>
    <m/>
    <m/>
    <m/>
    <m/>
    <m/>
    <m/>
    <m/>
    <m/>
    <m/>
    <m/>
    <m/>
    <m/>
    <m/>
    <x v="0"/>
    <s v="Politechnika Gdańska"/>
    <n v="2002"/>
    <s v="tak"/>
    <s v="WZiE"/>
    <s v="zdecydowanie się nie zgadzam"/>
    <s v="zdecydowanie się nie zgadzam"/>
    <s v="zdecydowanie się nie zgadzam"/>
    <s v="zdecydowanie się nie zgadzam"/>
    <s v="zdecydowanie się nie zgadzam"/>
    <s v="1 m-c"/>
    <s v="powyżej 2000 zł, ale nie więcej niż 3000 zł"/>
    <s v="powyżej 4000 zł, ale nie więcej niż 5000 zł"/>
    <m/>
    <s v="dobra organizacja zajęć, dobra kadra, praktyczna wiedza"/>
    <s v="brak"/>
    <s v="stacjonarne (dzienne) studia 2 stopnia (magisterskie)"/>
    <s v="studia dzienne 5 letn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praktyczna wiedza, która jest uzywana w realnym świecie"/>
    <s v="o tym pisałem"/>
    <s v="o tym pisałem"/>
    <x v="0"/>
    <n v="1977"/>
    <s v="miasto wojewódzkie"/>
    <m/>
    <s v="brak"/>
    <s v="brak"/>
    <m/>
  </r>
  <r>
    <n v="227"/>
    <n v="123"/>
    <n v="33"/>
    <s v="89.64.114.63"/>
    <s v="Link"/>
    <m/>
    <m/>
    <m/>
    <m/>
    <s v="Zakończono"/>
    <s v="2020-12-22 16:37:12"/>
    <s v="2020-12-22 16:50:22"/>
    <n v="790"/>
    <n v="0"/>
    <s v="Tak (kontynuacja ankiety)"/>
    <x v="0"/>
    <m/>
    <m/>
    <m/>
    <m/>
    <m/>
    <m/>
    <m/>
    <m/>
    <m/>
    <m/>
    <m/>
    <m/>
    <m/>
    <m/>
    <m/>
    <x v="0"/>
    <s v="Uniwersytet Gdański"/>
    <n v="2018"/>
    <s v="nie"/>
    <s v="Filologia polska"/>
    <s v="raczej się zgadzam"/>
    <s v="raczej się zgadzam"/>
    <s v="zgadzam się"/>
    <s v="zdecydowanie się zgadzam"/>
    <s v="nie dotyczy"/>
    <s v="8 miesięcy "/>
    <s v="powyżej 2000 zł, ale nie więcej niż 3000 zł"/>
    <s v="nie dotyczy"/>
    <s v="Łatwość nawiązywania kontaktów, łatwość w formułowaniu wypowiedzi pisemnych i ustnych "/>
    <s v="Tematyka wykładów, interesująca firma prowadzenia zajęć"/>
    <s v="Natłok materiału, niedostateczna ilość czasu na przerobienie całego materiału "/>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Innowacyjne metody prowadzenia zajęć, elastyczni i wyrozumiali wykładowcy "/>
    <s v="Zdobyte umiejętności, poszerzenie moich zainteresowań "/>
    <s v="Rozczarowanie prowadzeniem zajęć z mojej specjalizacji, brak zaangażowania niektórych wykładowców "/>
    <x v="1"/>
    <n v="1994"/>
    <s v="miasto wojewódzkie"/>
    <s v="Gdansk"/>
    <s v="Podyplomowe studia z zakresu kadr i płac"/>
    <m/>
    <m/>
  </r>
  <r>
    <n v="235"/>
    <n v="127"/>
    <n v="33"/>
    <s v="178.235.180.207"/>
    <s v="Link"/>
    <s v="http://m.facebook.com/"/>
    <m/>
    <m/>
    <m/>
    <s v="Zakończono"/>
    <s v="2020-12-23 23:08:34"/>
    <s v="2020-12-23 23:19:24"/>
    <n v="650"/>
    <n v="0"/>
    <s v="Tak (kontynuacja ankiety)"/>
    <x v="0"/>
    <m/>
    <m/>
    <m/>
    <m/>
    <m/>
    <m/>
    <m/>
    <m/>
    <m/>
    <m/>
    <m/>
    <m/>
    <m/>
    <m/>
    <m/>
    <x v="0"/>
    <s v="Uniwersytet Gdański"/>
    <n v="2009"/>
    <s v="nie"/>
    <s v="Chemia"/>
    <s v="raczej się zgadzam"/>
    <s v="ani się zgadzam, ani nie zgadzam"/>
    <s v="nie zgadzam się"/>
    <s v="nie zgadzam się"/>
    <s v="raczej się nie zgadzam"/>
    <n v="9"/>
    <s v="powyżej 1000 zł, ale nie więcej niż 2000 zł"/>
    <s v="powyżej 3000 zł, ale nie więcej niż 4000 zł"/>
    <s v="Żadnych ; nie pracuje w zawodzie"/>
    <s v="Sam fakt studiowania, poznawania"/>
    <s v="Trudności w dogadaniu się z promotorami"/>
    <m/>
    <s v="5 letnie magistersk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Zatrudnienie po studiach, wyniesione konkretne umiejętności"/>
    <s v="Dobra atmosfera, która sprzyja rozwojowi"/>
    <s v="Brak powyższego"/>
    <x v="1"/>
    <n v="1985"/>
    <s v="miasto wojewódzkie"/>
    <m/>
    <s v="Brak"/>
    <s v="Beak"/>
    <m/>
  </r>
  <r>
    <n v="243"/>
    <n v="130"/>
    <n v="33"/>
    <s v="81.15.175.65"/>
    <s v="Link"/>
    <m/>
    <m/>
    <m/>
    <m/>
    <s v="Zakończono"/>
    <s v="2021-01-05 17:01:54"/>
    <s v="2021-01-05 17:17:36"/>
    <n v="942"/>
    <n v="0"/>
    <s v="Tak (kontynuacja ankiety)"/>
    <x v="0"/>
    <m/>
    <m/>
    <m/>
    <m/>
    <m/>
    <m/>
    <m/>
    <m/>
    <m/>
    <m/>
    <m/>
    <m/>
    <m/>
    <m/>
    <m/>
    <x v="0"/>
    <s v="Uniwersytet Gdański"/>
    <n v="2012"/>
    <s v="nie"/>
    <s v="Prawo"/>
    <s v="raczej się nie zgadzam"/>
    <s v="raczej się zgadzam"/>
    <s v="raczej się nie zgadzam"/>
    <s v="raczej się nie zgadzam"/>
    <s v="nie zgadzam się"/>
    <s v="Praca przed ukończeniem studiów"/>
    <s v="powyżej 2000 zł, ale nie więcej niż 3000 zł"/>
    <s v="powyżej 1000 zł, ale nie więcej niż 2000 zł"/>
    <s v="Obiektywne patrzenie na niektóre aspekty życia "/>
    <s v="Poznani ludzie"/>
    <s v="Wyścig szczurów "/>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Podejście kadry do studenta"/>
    <s v="Atmosfera na uczelni, szacunek do studenta, fajni ludzie "/>
    <s v="Przeciwieństwo powyższego"/>
    <x v="1"/>
    <n v="1986"/>
    <s v="wieś gminna"/>
    <m/>
    <s v="Technikum Hotelarsko Turystyczne"/>
    <s v="brak"/>
    <m/>
  </r>
  <r>
    <n v="6"/>
    <n v="6"/>
    <n v="32"/>
    <s v="109.241.203.5"/>
    <s v="Link"/>
    <m/>
    <m/>
    <m/>
    <m/>
    <s v="Zakończono"/>
    <s v="2020-05-04 12:41:11"/>
    <s v="2020-05-04 12:56:13"/>
    <n v="902"/>
    <n v="0"/>
    <s v="Tak (kontynuacja ankiety)"/>
    <x v="0"/>
    <m/>
    <m/>
    <m/>
    <m/>
    <m/>
    <m/>
    <m/>
    <m/>
    <m/>
    <m/>
    <m/>
    <m/>
    <m/>
    <m/>
    <m/>
    <x v="0"/>
    <s v="Politechnika Gdańska"/>
    <n v="2013"/>
    <s v="tak"/>
    <s v="Bioinformatyka"/>
    <s v="raczej się zgadzam"/>
    <s v="raczej się zgadzam"/>
    <s v="ani się zgadzam, ani nie zgadzam"/>
    <s v="nie dotyczy"/>
    <s v="nie dotyczy"/>
    <s v="Macierzyństwo na razie, brak pracy zarobkowej"/>
    <s v="nie dotyczy"/>
    <s v="nie dotyczy"/>
    <s v="Wydaje mi się, że dzięki nauce (ale w zasadzie jakiejkolwiek) człowiek utrzymuje umysł w sprawności i go rozwija; a to zawsze działa na plus. "/>
    <s v="Tak założyłam, że będę tam studiować, więc studiowałam. Lubię kończyć to, co zaczęłam. Znalazłam też dwie bliskie koleżanki,więc miałam towarzystwo."/>
    <s v="Nudne zajęcia. Tematy, które w mojej ocenie nigdy mi się w życiu nie przydadzą. Forma zajęć - wykład. Niewygodne Dale wykładowe, twarde krzesła, stoliki za małe i za daleko. Zajęcia wcześnie  rano lub wieczorami"/>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Ciężko powiedzieć. Uczulenie przygotowują nas do zawodów w bardzo różnych dziedzinach. Myślę jednak, że zaangażowanie studentów i wykładowców ma znaczenie niezależnie od branży. Ja miałam zapał średni, bo raczej nastawiałam się na prowadzenie domu, ewentualnie pracę nauczyciela w podstawóce itp. Koledzy, którymi zależało, uczyli się sami, brali udział w projektach, stażach i znajdowali pracę już pod koniec studiów. I nawet jeśli narzekali, to robili swoje. A Ci, którym nie do końca zależało, to raczej też narzekali, ale nie bardzo chcieli coś zmienić. Najchętniej nie chodziliby na zajęcia i wszystko zaliczyli na trójki. Tylko nie wiem po co. :) "/>
    <s v="Kilku wykładowców zapadło mi w pamięć. Lubię wspominać zajęci z nimi z moimi przyjaciółkami. Ale czy wybrałabym jeszcze raz tę uczelnie i kierunek? Raczej nie. "/>
    <s v="Moja ocena jest o tyle subiektywna, że ja do niczego nie potrzebowałam większości z tych zajęć:) więc te nudne, trudne i dziwne mnie zniechęcały. Ale uczyłam się i zaliczyłam, bo taką mam naturę, że się jednak staram:)"/>
    <x v="1"/>
    <n v="1988"/>
    <s v="miasto wojewódzkie"/>
    <m/>
    <m/>
    <m/>
    <m/>
  </r>
  <r>
    <n v="47"/>
    <n v="29"/>
    <n v="32"/>
    <s v="87.239.222.224"/>
    <s v="Link"/>
    <s v="https://m.facebook.com/"/>
    <m/>
    <m/>
    <m/>
    <s v="Zakończono"/>
    <s v="2020-05-16 18:04:21"/>
    <s v="2020-05-16 18:16:52"/>
    <n v="751"/>
    <n v="0"/>
    <s v="Tak (kontynuacja ankiety)"/>
    <x v="1"/>
    <s v="Uniwersytet Jagielloński"/>
    <s v="nie"/>
    <s v="polonistyka"/>
    <s v="raczej się zgadzam"/>
    <s v="raczej się nie zgadzam"/>
    <s v="ani się zgadzam, ani nie zgadzam"/>
    <s v="praca przed ukończeniem studiów"/>
    <s v="powyżej 2000 zł, ale nie więcej niż 3000 zł"/>
    <s v="powyżej 3000 zł, ale nie więcej niż 4000 zł"/>
    <s v="kontakty"/>
    <s v="miła kadra (niekiedy), "/>
    <s v="traktowanie studentów jak idiotów, przestarzały program"/>
    <s v="stacjonarne (dzienne) studia 1 stopnia (licencjackie / inżynierskie)"/>
    <m/>
    <n v="6"/>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s v="nie dotyczy"/>
    <m/>
    <m/>
    <m/>
    <m/>
    <m/>
    <m/>
    <m/>
    <m/>
    <m/>
    <m/>
    <m/>
    <m/>
    <m/>
    <m/>
    <m/>
    <m/>
    <m/>
    <m/>
    <m/>
    <m/>
    <m/>
    <m/>
    <m/>
    <m/>
    <m/>
    <m/>
    <m/>
    <m/>
    <m/>
    <m/>
    <s v="innowacyjność, dobry kontakt między studentami a wykładowcami, ciekawy program"/>
    <s v="niektórzy wykładowcy"/>
    <s v="biurokracja, antystudencka kadra, brak szacunku"/>
    <x v="0"/>
    <n v="1997"/>
    <s v="wieś"/>
    <m/>
    <s v="-"/>
    <m/>
    <m/>
  </r>
  <r>
    <n v="94"/>
    <n v="57"/>
    <n v="32"/>
    <s v="37.47.232.179"/>
    <s v="Link"/>
    <s v="https://ankietaplus.pl/ankiety/analiza/statystyki/13308"/>
    <m/>
    <m/>
    <m/>
    <s v="Zakończono"/>
    <s v="2020-07-25 20:34:40"/>
    <s v="2020-07-25 20:54:26"/>
    <n v="1186"/>
    <n v="0"/>
    <s v="Tak (kontynuacja ankiety)"/>
    <x v="1"/>
    <s v="Uniwersytet Gdański"/>
    <s v="nie"/>
    <s v="Filologia romańska"/>
    <s v="ani się zgadzam, ani nie zgadzam"/>
    <s v="raczej się nie zgadzam"/>
    <s v="nie zgadzam się"/>
    <s v="Praca przed zakończeniem studiów"/>
    <s v="powyżej 2000 zł, ale nie więcej niż 3000 zł"/>
    <s v="powyżej 3000 zł, ale nie więcej niż 4000 zł"/>
    <s v="Samodzielność"/>
    <s v="Improwizacja"/>
    <s v="Brak kreatywności"/>
    <s v="stacjonarne (dzienne) studia 2 stopnia (magisterskie)"/>
    <m/>
    <n v="4"/>
    <x v="1"/>
    <m/>
    <m/>
    <m/>
    <m/>
    <m/>
    <m/>
    <m/>
    <m/>
    <m/>
    <m/>
    <m/>
    <m/>
    <m/>
    <m/>
    <m/>
    <m/>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m/>
    <m/>
    <m/>
    <m/>
    <m/>
    <m/>
    <m/>
    <m/>
    <m/>
    <m/>
    <m/>
    <m/>
    <m/>
    <m/>
    <m/>
    <m/>
    <m/>
    <m/>
    <m/>
    <m/>
    <m/>
    <m/>
    <m/>
    <m/>
    <m/>
    <m/>
    <m/>
    <m/>
    <m/>
    <m/>
    <m/>
    <s v="uczelnia kształci samodzielność; uczelnia może być dobra, ale decydujące jest podejście studentów - lepsze wyniki osiągają ci którzy mają jasny cel swojej nauki"/>
    <s v="dobra atmosfera wśród grupy studentów"/>
    <s v="brak odpowiedniego przygotowania do zawodu"/>
    <x v="1"/>
    <n v="1993"/>
    <s v="wieś"/>
    <m/>
    <m/>
    <m/>
    <m/>
  </r>
  <r>
    <n v="113"/>
    <n v="67"/>
    <n v="32"/>
    <s v="156.67.104.35"/>
    <s v="Link"/>
    <m/>
    <m/>
    <m/>
    <m/>
    <s v="Zakończono"/>
    <s v="2020-09-07 11:02:32"/>
    <s v="2020-09-07 11:49:15"/>
    <n v="2803"/>
    <n v="0"/>
    <s v="Tak (kontynuacja ankiety)"/>
    <x v="0"/>
    <m/>
    <m/>
    <m/>
    <m/>
    <m/>
    <m/>
    <m/>
    <m/>
    <m/>
    <m/>
    <m/>
    <m/>
    <m/>
    <m/>
    <m/>
    <x v="0"/>
    <s v="WSB"/>
    <n v="2019"/>
    <s v="nie"/>
    <s v="Zarzadzanie"/>
    <s v="raczej się nie zgadzam"/>
    <s v="ani się zgadzam, ani nie zgadzam"/>
    <s v="raczej się nie zgadzam"/>
    <s v="zdecydowanie się nie zgadzam"/>
    <s v="nie dotyczy"/>
    <s v="studia byly zaoczne i pracowalam juz przed i w trakcie studiow "/>
    <s v="powyżej 3000 zł, ale nie więcej niż 4000 zł"/>
    <s v="nie dotyczy"/>
    <m/>
    <s v="mozliwosc uzyskania stypednium naukowego "/>
    <s v="nizrozumienie ze doba czlowieka na studiach zaocznych ma tylko 24 h i zeby sie utrzymac nie moze opuszczac pracy "/>
    <s v="niestacjonarne (zaocz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oferta dydaktyczna, wiedza praktyczna a nie tylko teoretyczna, mysle ze najciekawsza bylaby oferta studiow dualnych "/>
    <s v="elektronyczny index, plan zajec, mozliwosc kontaktu mailowego z dziekanatem i niektorymi wykladowcami "/>
    <s v="trudnosc porozumienia sie z niektorymi wykladowcami, nie jadne reguly "/>
    <x v="1"/>
    <n v="1991"/>
    <s v="duże miasto powiatowe"/>
    <m/>
    <m/>
    <s v="przerwane studia na PG na wydziale mechanicznym , przerwane studia na WSKS w Gdyni z zakresu pedagogiki "/>
    <m/>
  </r>
  <r>
    <n v="115"/>
    <n v="69"/>
    <n v="32"/>
    <s v="5.173.43.199"/>
    <s v="Link"/>
    <m/>
    <m/>
    <m/>
    <m/>
    <s v="Zakończono"/>
    <s v="2020-09-14 10:33:36"/>
    <s v="2020-09-14 10:53:42"/>
    <n v="1206"/>
    <n v="0"/>
    <s v="Tak (kontynuacja ankiety)"/>
    <x v="0"/>
    <m/>
    <m/>
    <m/>
    <m/>
    <m/>
    <m/>
    <m/>
    <m/>
    <m/>
    <m/>
    <m/>
    <m/>
    <m/>
    <m/>
    <m/>
    <x v="0"/>
    <s v="Politechnika Warszawska"/>
    <n v="2004"/>
    <s v="tak"/>
    <s v="Architektura"/>
    <s v="raczej się zgadzam"/>
    <s v="raczej się zgadzam"/>
    <s v="zgadzam się"/>
    <s v="ani się zgadzam, ani nie zgadzam"/>
    <s v="zgadzam się"/>
    <s v="praca przed ukończeniem studiów"/>
    <s v="powyżej 2000 zł, ale nie więcej niż 3000 zł"/>
    <s v="powyżej 4000 zł, ale nie więcej niż 5000 zł"/>
    <s v="ogólna znajomość zagadnień z wielu dziedzin inżynierskich i sztuk"/>
    <s v="Wykładowcy praktycy"/>
    <s v="wykładowcy &quot;z przypadku&quot; i problemy z zapisami na bardziej cenione zajęcia"/>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Kadra, ludzie z pasją, prawdziwi naukowcy a jednocześnie praktycy"/>
    <s v="kierunek dał szeroką wiedzę z wielu dziedzin - do ew. pogłębienia w przypadku wyboru specjalizacji"/>
    <s v="było mało możliwości do odbywania praktyk w ramach studiów."/>
    <x v="1"/>
    <n v="1976"/>
    <s v="miasto wojewódzkie"/>
    <m/>
    <m/>
    <m/>
    <m/>
  </r>
  <r>
    <n v="122"/>
    <n v="71"/>
    <n v="32"/>
    <s v="158.233.246.28"/>
    <s v="Link"/>
    <m/>
    <m/>
    <m/>
    <m/>
    <s v="Zakończono"/>
    <s v="2020-09-21 09:56:42"/>
    <s v="2020-09-21 10:50:17"/>
    <n v="3215"/>
    <n v="0"/>
    <s v="Tak (kontynuacja ankiety)"/>
    <x v="0"/>
    <m/>
    <m/>
    <m/>
    <m/>
    <m/>
    <m/>
    <m/>
    <m/>
    <m/>
    <m/>
    <m/>
    <m/>
    <m/>
    <m/>
    <m/>
    <x v="0"/>
    <s v="Politechnika Gdańska"/>
    <n v="2015"/>
    <s v="tak"/>
    <s v="Elektronika, Telekomunikacja i Informatyka"/>
    <s v="raczej się nie zgadzam"/>
    <s v="ani się zgadzam, ani nie zgadzam"/>
    <s v="zdecydowanie się zgadzam"/>
    <s v="raczej się zgadzam"/>
    <s v="zgadzam się"/>
    <n v="1"/>
    <s v="powyżej 2000 zł, ale nie więcej niż 3000 zł"/>
    <s v="powyżej 4000 zł, ale nie więcej niż 5000 zł"/>
    <s v="Umiejętność szybkiego przyswajania wiedzy"/>
    <s v="Wizja znalezienia dobrej pracy po studiach, komfortowe warunki do studiowania (nowa placówka wydziału ETI), zgrana grupa studencka"/>
    <s v="Wiekowa kadra, zbyt duża intensywność, przestarzała tematyka edukacji niepokrywająca się z potrzebami w pracy"/>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Kadra, perspektywa rozwoju, sposób pracy ze studentami (duża liczba godzin laboratoryjnych, pracy studentów w grupach), wyposażenie laboratoriów w sprzęt wykorzystywany profesjonalnie, program szkoleniowy zgodny z aktualnymi trendami i oczekiwaniami pracodawców, zintegrowana społeczność studencka"/>
    <s v="Nabyta wiedza, rozpoznawalność na rynku pracowniczym, elastyczność jaką zdobywa się w trakcie studiowania"/>
    <s v="Przestarzała wiedza jaką się wpaja, wiekowa kadra, która nie dogaduje się ze studentami"/>
    <x v="0"/>
    <n v="1991"/>
    <s v="miasto wojewódzkie"/>
    <m/>
    <s v="Studia II stopnia (magisterskie) na wydziale ETI, Politechnika Gdańska"/>
    <m/>
    <m/>
  </r>
  <r>
    <n v="123"/>
    <n v="72"/>
    <n v="32"/>
    <s v="158.233.246.27"/>
    <s v="Link"/>
    <m/>
    <m/>
    <m/>
    <m/>
    <s v="Zakończono"/>
    <s v="2020-09-23 13:41:55"/>
    <s v="2020-09-23 13:46:13"/>
    <n v="258"/>
    <n v="0"/>
    <s v="Tak (kontynuacja ankiety)"/>
    <x v="0"/>
    <m/>
    <m/>
    <m/>
    <m/>
    <m/>
    <m/>
    <m/>
    <m/>
    <m/>
    <m/>
    <m/>
    <m/>
    <m/>
    <m/>
    <m/>
    <x v="0"/>
    <s v="WSB"/>
    <n v="2016"/>
    <s v="tak"/>
    <s v="IT Project managment"/>
    <s v="zgadzam się"/>
    <s v="zgadzam się"/>
    <s v="zdecydowanie się zgadzam"/>
    <s v="zdecydowanie się zgadzam"/>
    <s v="zdecydowanie się zgadzam"/>
    <n v="3"/>
    <s v="powyżej 2000 zł, ale nie więcej niż 3000 zł"/>
    <s v="powyżej 8000 zł, ale nie więcej niż 9000 zł"/>
    <m/>
    <s v="determinacja"/>
    <s v="sprawy prywatne"/>
    <s v="niestacjonarne (zaoczne) studia 1 stopnia (licencjackie / inżynierskie)"/>
    <m/>
    <x v="1"/>
    <m/>
    <m/>
    <m/>
    <m/>
    <m/>
    <m/>
    <m/>
    <m/>
    <m/>
    <m/>
    <m/>
    <m/>
    <m/>
    <m/>
    <m/>
    <m/>
    <m/>
    <m/>
    <m/>
    <m/>
    <m/>
    <m/>
    <m/>
    <m/>
    <m/>
    <m/>
    <m/>
    <m/>
    <m/>
    <m/>
    <m/>
    <m/>
    <m/>
    <m/>
    <m/>
    <m/>
    <m/>
    <m/>
    <m/>
    <m/>
    <m/>
    <m/>
    <m/>
    <m/>
    <m/>
    <x v="0"/>
    <m/>
    <m/>
    <m/>
    <m/>
    <m/>
    <m/>
    <m/>
    <m/>
    <m/>
    <x v="0"/>
    <m/>
    <m/>
    <m/>
    <m/>
    <m/>
    <m/>
    <m/>
    <m/>
    <m/>
    <x v="1"/>
    <m/>
    <m/>
    <m/>
    <m/>
    <m/>
    <m/>
    <m/>
    <m/>
    <m/>
    <m/>
    <m/>
    <m/>
    <m/>
    <m/>
    <m/>
    <m/>
    <m/>
    <m/>
    <m/>
    <m/>
    <m/>
    <m/>
    <m/>
    <m/>
    <m/>
    <m/>
    <m/>
    <m/>
    <x v="1"/>
    <s v="Tak"/>
    <n v="1"/>
    <m/>
    <m/>
    <m/>
    <m/>
    <m/>
    <m/>
    <m/>
    <m/>
    <m/>
    <m/>
    <m/>
    <m/>
    <m/>
    <m/>
    <m/>
    <m/>
    <m/>
    <m/>
    <m/>
    <m/>
    <m/>
    <m/>
    <m/>
    <x v="0"/>
    <m/>
    <m/>
    <m/>
    <m/>
    <m/>
    <m/>
    <m/>
    <m/>
    <m/>
    <m/>
    <m/>
    <m/>
    <m/>
    <m/>
    <m/>
    <m/>
    <m/>
    <m/>
    <m/>
    <m/>
    <m/>
    <m/>
    <m/>
    <m/>
    <m/>
    <m/>
    <m/>
    <m/>
    <m/>
    <m/>
    <m/>
    <m/>
    <m/>
    <s v="zadania praktyczne"/>
    <s v="zadania praktyczne"/>
    <s v="ekologia w IT... bzdurne przedmioty"/>
    <x v="0"/>
    <n v="1986"/>
    <s v="duże miasto powiatowe"/>
    <m/>
    <m/>
    <m/>
    <m/>
  </r>
  <r>
    <n v="149"/>
    <n v="87"/>
    <n v="32"/>
    <s v="158.233.246.26"/>
    <s v="Link"/>
    <m/>
    <m/>
    <m/>
    <m/>
    <s v="Zakończono"/>
    <s v="2020-12-15 11:48:44"/>
    <s v="2020-12-15 14:06:30"/>
    <n v="8266"/>
    <n v="0"/>
    <s v="Tak (kontynuacja ankiety)"/>
    <x v="0"/>
    <m/>
    <m/>
    <m/>
    <m/>
    <m/>
    <m/>
    <m/>
    <m/>
    <m/>
    <m/>
    <m/>
    <m/>
    <m/>
    <m/>
    <m/>
    <x v="0"/>
    <s v="Uniwersytet Warszawski"/>
    <n v="2010"/>
    <s v="nie"/>
    <s v="nauki polityczne "/>
    <s v="nie zgadzam się"/>
    <s v="zgadzam się"/>
    <s v="zdecydowanie się nie zgadzam"/>
    <s v="zdecydowanie się nie zgadzam"/>
    <s v="zdecydowanie się nie zgadzam"/>
    <s v="praca przed ukończeniem studiów "/>
    <s v="powyżej 3000 zł, ale nie więcej niż 4000 zł"/>
    <s v="powyżej 3000 zł, ale nie więcej niż 4000 zł"/>
    <s v="prestiż uczelni"/>
    <s v="środowisko, znajomi"/>
    <s v="wysokie koszty "/>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lokalizacja, zaplecze "/>
    <s v="znani wykladowcy"/>
    <s v="-"/>
    <x v="1"/>
    <n v="1986"/>
    <s v="duże miasto powiatowe"/>
    <m/>
    <s v="Mgr nauk politycznych, studia podyplomowe w zakresie zarzadzania projektami (Uniwersytet Gdański) "/>
    <m/>
    <m/>
  </r>
  <r>
    <n v="156"/>
    <n v="90"/>
    <n v="32"/>
    <s v="158.233.246.27"/>
    <s v="Link"/>
    <m/>
    <m/>
    <m/>
    <m/>
    <s v="Zakończono"/>
    <s v="2020-12-16 08:07:04"/>
    <s v="2020-12-16 08:13:59"/>
    <n v="415"/>
    <n v="0"/>
    <s v="Tak (kontynuacja ankiety)"/>
    <x v="0"/>
    <m/>
    <m/>
    <m/>
    <m/>
    <m/>
    <m/>
    <m/>
    <m/>
    <m/>
    <m/>
    <m/>
    <m/>
    <m/>
    <m/>
    <m/>
    <x v="0"/>
    <s v="Politechnika Gdańska"/>
    <n v="2012"/>
    <s v="tak"/>
    <s v="Elektronika i Telekomunikacja"/>
    <s v="raczej się zgadzam"/>
    <s v="zgadzam się"/>
    <s v="zgadzam się"/>
    <s v="nie zgadzam się"/>
    <s v="nie zgadzam się"/>
    <s v=" praca przed ukończeniem studiów"/>
    <s v="powyżej 2000 zł, ale nie więcej niż 3000 zł"/>
    <s v="powyżej 3000 zł, ale nie więcej niż 4000 zł"/>
    <s v="techniczne podejście do problemów, analiza, umiejętności negocjacji"/>
    <s v="grupa wykładowa"/>
    <s v="bardzo dużo materiału i nauki"/>
    <m/>
    <s v="stacjonarne magisterskie jednolite (5 lat)"/>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ilość zajęć praktycznych"/>
    <s v="opinia w środowisku pracy o absolwentach"/>
    <s v="biurokracja"/>
    <x v="1"/>
    <n v="1985"/>
    <s v="miasto wojewódzkie"/>
    <m/>
    <s v="studia magisterskie uzupełniające na wydziale WZiE PG"/>
    <m/>
    <m/>
  </r>
  <r>
    <n v="158"/>
    <n v="91"/>
    <n v="32"/>
    <s v="158.233.246.28"/>
    <s v="Link"/>
    <m/>
    <m/>
    <m/>
    <m/>
    <s v="Zakończono"/>
    <s v="2020-12-16 08:20:22"/>
    <s v="2020-12-16 08:25:47"/>
    <n v="325"/>
    <n v="0"/>
    <s v="Tak (kontynuacja ankiety)"/>
    <x v="0"/>
    <m/>
    <m/>
    <m/>
    <m/>
    <m/>
    <m/>
    <m/>
    <m/>
    <m/>
    <m/>
    <m/>
    <m/>
    <m/>
    <m/>
    <m/>
    <x v="0"/>
    <s v="Uniwersytet Gdański"/>
    <n v="2013"/>
    <s v="nie"/>
    <s v="Filologia romańska"/>
    <s v="raczej się nie zgadzam"/>
    <s v="raczej się nie zgadzam"/>
    <s v="raczej się zgadzam"/>
    <s v="ani się zgadzam, ani nie zgadzam"/>
    <s v="ani się zgadzam, ani nie zgadzam"/>
    <n v="3"/>
    <s v="powyżej 1000 zł, ale nie więcej niż 2000 zł"/>
    <s v="powyżej 3000 zł, ale nie więcej niż 4000 zł"/>
    <s v="umiejetnosci jezykowe"/>
    <s v="poznawani ludzie oraz ogolny klimat &quot;studiowania&quot;"/>
    <s v="arachiczne przedmioty nie przydatne w zyciu po uczelni"/>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dostosowanie sie do rynku pracy"/>
    <s v="dobor przedmiotow oraz kadraksztalcaca"/>
    <s v="slaba kadra oraz zle wykladane przedmioty"/>
    <x v="1"/>
    <n v="1984"/>
    <s v="duże miasto powiatowe"/>
    <m/>
    <s v="podyplomowe"/>
    <m/>
    <m/>
  </r>
  <r>
    <n v="167"/>
    <n v="96"/>
    <n v="32"/>
    <s v="158.233.246.28"/>
    <s v="Link"/>
    <m/>
    <m/>
    <m/>
    <m/>
    <s v="Zakończono"/>
    <s v="2020-12-18 11:24:10"/>
    <s v="2020-12-18 11:35:15"/>
    <n v="665"/>
    <n v="0"/>
    <s v="Tak (kontynuacja ankiety)"/>
    <x v="0"/>
    <m/>
    <m/>
    <m/>
    <m/>
    <m/>
    <m/>
    <m/>
    <m/>
    <m/>
    <m/>
    <m/>
    <m/>
    <m/>
    <m/>
    <m/>
    <x v="0"/>
    <s v="AWFiS Gdańsk"/>
    <n v="2007"/>
    <s v="nie"/>
    <s v="Turystyka i rekreacja"/>
    <s v="raczej się zgadzam"/>
    <s v="ani się zgadzam, ani nie zgadzam"/>
    <s v="ani się zgadzam, ani nie zgadzam"/>
    <s v="zgadzam się"/>
    <s v="raczej się nie zgadzam"/>
    <n v="2"/>
    <s v="powyżej 2000 zł, ale nie więcej niż 3000 zł"/>
    <s v="powyżej 2000 zł, ale nie więcej niż 3000 zł"/>
    <s v="Nawiązywanie kontaktów z ludźmi, umiejętność radzenia sobie w każdej sytuacji."/>
    <s v="Przyjaźnie, sport, rozrywka, ciekawe zajęcia dodatkowe."/>
    <s v="Przestarzała i nieprzydatna merytoryka niektórych zajęć."/>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Umożliwienie studentom rozwoju na najróżniejsze sposoby, indywidualne podejście."/>
    <s v="Świetne wspomnienia, zetknięcie się z różnorodnymi aktywnościami sportowymi. "/>
    <s v="Dość wąska specjalizacja merytoryczna i teoretyczna."/>
    <x v="1"/>
    <n v="1982"/>
    <s v="duże miasto powiatowe"/>
    <m/>
    <s v="Studia podyplomowe na UG."/>
    <m/>
    <m/>
  </r>
  <r>
    <n v="183"/>
    <n v="104"/>
    <n v="32"/>
    <s v="188.114.87.10"/>
    <s v="Link"/>
    <m/>
    <m/>
    <m/>
    <m/>
    <s v="Zakończono"/>
    <s v="2020-12-18 15:18:54"/>
    <s v="2020-12-18 15:44:50"/>
    <n v="1556"/>
    <n v="0"/>
    <s v="Tak (kontynuacja ankiety)"/>
    <x v="0"/>
    <m/>
    <m/>
    <m/>
    <m/>
    <m/>
    <m/>
    <m/>
    <m/>
    <m/>
    <m/>
    <m/>
    <m/>
    <m/>
    <m/>
    <m/>
    <x v="0"/>
    <s v="Politechnika Gdańska"/>
    <n v="2018"/>
    <s v="tak"/>
    <s v="Informatyka"/>
    <s v="zgadzam się"/>
    <s v="raczej się zgadzam"/>
    <s v="zgadzam się"/>
    <s v="raczej się zgadzam"/>
    <s v="zdecydowanie się zgadzam"/>
    <s v="praca przed ukończeniem studiów"/>
    <s v="powyżej 3000 zł, ale nie więcej niż 4000 zł"/>
    <s v="powyżej 7000 zł, ale nie więcej niż 8000 zł"/>
    <s v="większa świadomość technlogiczna aktualnego świata, zadowolenie z osiągnięcia tytułu naukowego"/>
    <s v="zajęcia z ludźmi pracującymi nie tylko na uczelni, podejście bardziej jak do dorosłych osób w odróżnieniu do studiów stacjonarnych I stopnia, moja większa dojrzałość i chęć zdobywania wiedzy"/>
    <s v="Według mnie formuła &quot;wykładów&quot; jest niezbyt efektywnym sposobem na przyswojenie teorii"/>
    <s v="niestacjonarne (zaocz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ilość osób z darem do zainteresowania studentów nauką, rozwinięte koła naukowe, wyposażenie laboratoriów   "/>
    <s v="znaczące projekty naukowe"/>
    <s v="przestarzałe technologie używane na zajęciach "/>
    <x v="0"/>
    <n v="1994"/>
    <s v="wieś"/>
    <m/>
    <s v="Politechnika Gdańska, Automatyka i Robotyka I st. inżynierskie dzienne"/>
    <m/>
    <m/>
  </r>
  <r>
    <n v="191"/>
    <n v="109"/>
    <n v="32"/>
    <s v="188.147.98.66"/>
    <s v="Link"/>
    <m/>
    <m/>
    <m/>
    <m/>
    <s v="Zakończono"/>
    <s v="2020-12-18 15:46:04"/>
    <s v="2020-12-18 16:17:35"/>
    <n v="1891"/>
    <n v="0"/>
    <s v="Tak (kontynuacja ankiety)"/>
    <x v="0"/>
    <m/>
    <m/>
    <m/>
    <m/>
    <m/>
    <m/>
    <m/>
    <m/>
    <m/>
    <m/>
    <m/>
    <m/>
    <m/>
    <m/>
    <m/>
    <x v="0"/>
    <s v="Akademia Morska w Gdyni"/>
    <n v="2000"/>
    <s v="nie"/>
    <s v="organizacja obrotu portowo-morskiego"/>
    <s v="zgadzam się"/>
    <s v="zgadzam się"/>
    <s v="zgadzam się"/>
    <s v="nie zgadzam się"/>
    <s v="raczej się zgadzam"/>
    <s v="3 lata"/>
    <s v="nie dotyczy"/>
    <s v="powyżej 2000 zł, ale nie więcej niż 3000 zł"/>
    <s v="poznałem żonę"/>
    <s v="pozanaukowe atrakcje"/>
    <s v="niektórzy wykładowcy nie przykładali się do zajęć"/>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tredycja, solidne zaplecze np akademiki, dobrze dobrana kadra"/>
    <s v="fachowość wykładowców, dobrze dobrane zajecia"/>
    <s v="zbędne obciążenia dla studentów, np nieodpowiednia lokalizacja budynkow"/>
    <x v="0"/>
    <n v="72"/>
    <s v="wieś gminna"/>
    <m/>
    <m/>
    <s v="Kolegium Teologiczne"/>
    <m/>
  </r>
  <r>
    <n v="195"/>
    <n v="111"/>
    <n v="32"/>
    <s v="37.248.209.90"/>
    <s v="Link"/>
    <s v="http://m.facebook.com/"/>
    <m/>
    <m/>
    <m/>
    <s v="Zakończono"/>
    <s v="2020-12-18 16:02:52"/>
    <s v="2020-12-18 16:09:18"/>
    <n v="386"/>
    <n v="0"/>
    <s v="Tak (kontynuacja ankiety)"/>
    <x v="0"/>
    <m/>
    <m/>
    <m/>
    <m/>
    <m/>
    <m/>
    <m/>
    <m/>
    <m/>
    <m/>
    <m/>
    <m/>
    <m/>
    <m/>
    <m/>
    <x v="0"/>
    <s v="Politechnika Gdańska"/>
    <n v="2016"/>
    <s v="tak"/>
    <s v="Elektrotechnika"/>
    <s v="raczej się zgadzam"/>
    <s v="ani się zgadzam, ani nie zgadzam"/>
    <s v="raczej się zgadzam"/>
    <s v="zgadzam się"/>
    <s v="nie zgadzam się"/>
    <s v="Praca przed ukończeniem studiów"/>
    <s v="powyżej 3000 zł, ale nie więcej niż 4000 zł"/>
    <s v="powyżej 3000 zł, ale nie więcej niż 4000 zł"/>
    <s v="Odporność na stres."/>
    <s v="Perspektywa dobrej pracy i ludzie na studiach."/>
    <s v="Egzaminy, traktowanie studentów przez wykładowców w sposób lekceważący."/>
    <s v="stacjonarne (dzienne) studia 1 stopnia (licencjackie / inżynierskie)"/>
    <m/>
    <x v="1"/>
    <m/>
    <m/>
    <m/>
    <m/>
    <m/>
    <m/>
    <m/>
    <m/>
    <m/>
    <m/>
    <m/>
    <m/>
    <m/>
    <m/>
    <m/>
    <m/>
    <m/>
    <m/>
    <m/>
    <m/>
    <m/>
    <m/>
    <m/>
    <m/>
    <m/>
    <m/>
    <m/>
    <m/>
    <m/>
    <m/>
    <m/>
    <m/>
    <m/>
    <m/>
    <m/>
    <m/>
    <m/>
    <m/>
    <m/>
    <m/>
    <m/>
    <m/>
    <m/>
    <m/>
    <m/>
    <x v="0"/>
    <m/>
    <m/>
    <m/>
    <m/>
    <m/>
    <m/>
    <m/>
    <m/>
    <m/>
    <x v="0"/>
    <m/>
    <m/>
    <m/>
    <m/>
    <m/>
    <m/>
    <m/>
    <m/>
    <m/>
    <x v="1"/>
    <m/>
    <m/>
    <m/>
    <m/>
    <m/>
    <m/>
    <m/>
    <m/>
    <m/>
    <m/>
    <m/>
    <m/>
    <m/>
    <m/>
    <m/>
    <m/>
    <m/>
    <m/>
    <m/>
    <m/>
    <m/>
    <m/>
    <m/>
    <m/>
    <m/>
    <m/>
    <m/>
    <m/>
    <x v="1"/>
    <s v="Tak"/>
    <m/>
    <m/>
    <m/>
    <m/>
    <m/>
    <m/>
    <m/>
    <m/>
    <m/>
    <m/>
    <m/>
    <m/>
    <m/>
    <m/>
    <m/>
    <m/>
    <m/>
    <m/>
    <m/>
    <m/>
    <m/>
    <m/>
    <m/>
    <m/>
    <x v="0"/>
    <m/>
    <m/>
    <m/>
    <m/>
    <m/>
    <m/>
    <m/>
    <m/>
    <m/>
    <m/>
    <m/>
    <m/>
    <m/>
    <m/>
    <m/>
    <m/>
    <m/>
    <m/>
    <m/>
    <m/>
    <m/>
    <m/>
    <m/>
    <m/>
    <m/>
    <m/>
    <m/>
    <m/>
    <m/>
    <m/>
    <m/>
    <m/>
    <m/>
    <s v="Zarobki po studiach."/>
    <s v="Podejście do studentów."/>
    <s v="Podejście do studentów przez wykładowców."/>
    <x v="1"/>
    <n v="1993"/>
    <s v="miasto gminne"/>
    <m/>
    <m/>
    <m/>
    <m/>
  </r>
  <r>
    <n v="215"/>
    <n v="118"/>
    <n v="32"/>
    <s v="158.233.246.28"/>
    <s v="Link"/>
    <m/>
    <m/>
    <m/>
    <m/>
    <s v="Zakończono"/>
    <s v="2020-12-19 21:01:07"/>
    <s v="2020-12-19 21:19:56"/>
    <n v="1129"/>
    <n v="0"/>
    <s v="Tak (kontynuacja ankiety)"/>
    <x v="0"/>
    <m/>
    <m/>
    <m/>
    <m/>
    <m/>
    <m/>
    <m/>
    <m/>
    <m/>
    <m/>
    <m/>
    <m/>
    <m/>
    <m/>
    <m/>
    <x v="0"/>
    <s v="Politechnika Gdańska"/>
    <n v="2014"/>
    <s v="tak"/>
    <s v="Zarządzanie inżynierskie"/>
    <s v="raczej się zgadzam"/>
    <s v="zgadzam się"/>
    <s v="raczej się zgadzam"/>
    <s v="raczej się zgadzam"/>
    <s v="zgadzam się"/>
    <n v="1"/>
    <s v="powyżej 1000 zł, ale nie więcej niż 2000 zł"/>
    <s v="powyżej 3000 zł, ale nie więcej niż 4000 zł"/>
    <m/>
    <s v="towarzystwo"/>
    <s v="konieczność uczęszczania na wszystkie zajęcia"/>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doświadczona kadra, wysokie wymagania wobec studenta"/>
    <s v="elastyczność - indywidualne podejście do studenta"/>
    <s v="mało doświadczona kadra, która nie potrafi zachęcić studentów, brak praktyki w Biznesie wśród kadry nauczającej"/>
    <x v="1"/>
    <n v="1990"/>
    <s v="miasto wojewódzkie"/>
    <m/>
    <s v="SGH/ SP"/>
    <s v="WSAiB/ studia II st. + SP"/>
    <m/>
  </r>
  <r>
    <n v="217"/>
    <n v="119"/>
    <n v="32"/>
    <s v="81.190.59.12"/>
    <s v="Link"/>
    <s v="https://poczta.o2.pl/"/>
    <m/>
    <m/>
    <m/>
    <s v="Zakończono"/>
    <s v="2020-12-20 16:19:03"/>
    <s v="2020-12-20 16:35:11"/>
    <n v="968"/>
    <n v="0"/>
    <s v="Tak (kontynuacja ankiety)"/>
    <x v="0"/>
    <m/>
    <m/>
    <m/>
    <m/>
    <m/>
    <m/>
    <m/>
    <m/>
    <m/>
    <m/>
    <m/>
    <m/>
    <m/>
    <m/>
    <m/>
    <x v="0"/>
    <s v="Uniwersytet Gdański"/>
    <n v="2011"/>
    <s v="nie"/>
    <s v="Informatyka i ekonometria"/>
    <s v="zgadzam się"/>
    <s v="raczej się zgadzam"/>
    <s v="zdecydowanie się zgadzam"/>
    <s v="zgadzam się"/>
    <s v="zgadzam się"/>
    <n v="2"/>
    <s v="powyżej 2000 zł, ale nie więcej niż 3000 zł"/>
    <s v="powyżej 3000 zł, ale nie więcej niż 4000 zł"/>
    <s v="Znajomość z wykładowcami będącymi ekspertami w dziedzinie mojej obecnej pracy, współpraca z nimi już po zakończeniu studiów."/>
    <s v="Dobra lokalizacja uczelni, zaangażowani wykładowcy, super biblioteka."/>
    <s v="Część wykładowców nieco oderwana od rzeczywistości - mówiąca do studentów jak do osób z wieloletnim doświadczeniem w danej dziedzinie - trudno było uczyć się i rozumieć dane przedmioty."/>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Wykładowcy"/>
    <s v="Znalezienie pracy zgodnie z wykształceniem. Wykorzystanie w pracy umiejętności nabytych w czasie studiów (zwłaszcza takich, o których myślała się, że nie będą przydatne). Potwierdzenie w rzeczywistości, że to czego uczyło się na studiach stanowi wystarczającą podstawę do dalszego rozwoju w pracy."/>
    <s v="Porównywanie uczelni technicznych i nietechnicznych bez odnoszenia się do jakości samych zajęć."/>
    <x v="1"/>
    <n v="1986"/>
    <s v="duże miasto powiatowe"/>
    <m/>
    <s v="Szkoła wieczorowa"/>
    <m/>
    <m/>
  </r>
  <r>
    <n v="238"/>
    <n v="129"/>
    <n v="32"/>
    <s v="158.233.246.27"/>
    <s v="Link"/>
    <s v="https://www.yammer.com/"/>
    <m/>
    <m/>
    <m/>
    <s v="Zakończono"/>
    <s v="2020-12-28 12:30:20"/>
    <s v="2020-12-28 12:54:29"/>
    <n v="1449"/>
    <n v="0"/>
    <s v="Tak (kontynuacja ankiety)"/>
    <x v="0"/>
    <m/>
    <m/>
    <m/>
    <m/>
    <m/>
    <m/>
    <m/>
    <m/>
    <m/>
    <m/>
    <m/>
    <m/>
    <m/>
    <m/>
    <m/>
    <x v="0"/>
    <s v="Akademia Nauk Stosowanych w Elblągu"/>
    <n v="2007"/>
    <s v="tak"/>
    <s v="Informatyka - Sieci komputerowe"/>
    <s v="raczej się zgadzam"/>
    <s v="raczej się zgadzam"/>
    <s v="zdecydowanie się zgadzam"/>
    <s v="zdecydowanie się zgadzam"/>
    <s v="zdecydowanie się zgadzam"/>
    <s v="pracę rozpoczęłem w trakcie studiów na ostatnim roku, zamiast praktyk."/>
    <s v="powyżej 2000 zł, ale nie więcej niż 3000 zł"/>
    <s v="powyżej 3000 zł, ale nie więcej niż 4000 zł"/>
    <s v="braki w kilku obszarach technicznych stosowania w praktyce. Generalnie przydałoby się więcej laboratoriów i ćwiczeń, mniej wykładów"/>
    <s v="Dobra infrastruktura i wyposażenie wnętrz sal labolatoriów. "/>
    <s v="Sucha teoria, dużo matematyki, mało budowania konkretnych projektów w praktyce, np. konfiguracja sieci lan, zdalne instalowanie programów na wiele maszyn itp."/>
    <m/>
    <s v="studiowałem stacjonarnie i później od 2 roku przeniosłem się na niestacjonarn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kadra dydaktyczna, praktyczne zajęcia związane z tym co może nas spotkać na rynku pracy"/>
    <s v="kadra dydaktyczna, infrastruktura informayczna (pod studia IT), możliwość kursów na uczelni"/>
    <s v="niektóre zajęcia wydawały się zbędne, za dużo nudnych wykładów za mało praktycznych zajeć"/>
    <x v="0"/>
    <n v="2007"/>
    <s v="duże miasto powiatowe"/>
    <m/>
    <s v="Magister na PG na wydziale ETI"/>
    <m/>
    <m/>
  </r>
  <r>
    <n v="245"/>
    <n v="131"/>
    <n v="32"/>
    <s v="188.147.123.202"/>
    <s v="Link"/>
    <s v="https://poczta.o2.pl/d/"/>
    <m/>
    <m/>
    <m/>
    <s v="Zakończono"/>
    <s v="2021-01-10 23:52:12"/>
    <s v="2021-01-11 00:00:36"/>
    <n v="504"/>
    <n v="0"/>
    <s v="Tak (kontynuacja ankiety)"/>
    <x v="0"/>
    <m/>
    <m/>
    <m/>
    <m/>
    <m/>
    <m/>
    <m/>
    <m/>
    <m/>
    <m/>
    <m/>
    <m/>
    <m/>
    <m/>
    <m/>
    <x v="0"/>
    <s v="Politechnika Gdańska"/>
    <n v="2003"/>
    <s v="tak"/>
    <s v="Biotechnologia"/>
    <s v="zgadzam się"/>
    <s v="zgadzam się"/>
    <s v="raczej się zgadzam"/>
    <s v="ani się zgadzam, ani nie zgadzam"/>
    <s v="ani się zgadzam, ani nie zgadzam"/>
    <s v="praca przed ukończeniem studiów"/>
    <s v="do 1000 zł"/>
    <s v="powyżej 1000 zł, ale nie więcej niż 2000 zł"/>
    <s v="laboratoria, praktyczne doświadczenie"/>
    <s v="lubienie większości przedmiotów"/>
    <s v="dużo godzin"/>
    <s v="stacjonarne (dzienne) studia 2 stopnia (magisterskie)"/>
    <s v="5-letn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dobra pozycja absolwentów na rynku pracy"/>
    <s v="prestiż uczelni"/>
    <s v="program nauczania nieskorelowany z zapotrzebowaniem na rynku pracy"/>
    <x v="1"/>
    <n v="1979"/>
    <s v="miasto wojewódzkie"/>
    <m/>
    <m/>
    <m/>
    <m/>
  </r>
  <r>
    <n v="41"/>
    <n v="27"/>
    <n v="31"/>
    <s v="213.189.39.230"/>
    <s v="Link"/>
    <m/>
    <m/>
    <m/>
    <m/>
    <s v="Zakończono"/>
    <s v="2020-05-16 17:18:10"/>
    <s v="2020-05-16 17:22:53"/>
    <n v="283"/>
    <n v="0"/>
    <s v="Tak (kontynuacja ankiety)"/>
    <x v="1"/>
    <s v="Uniwersytet Jagielloński"/>
    <s v="nie"/>
    <s v="Filologia polska"/>
    <s v="zdecydowanie się zgadzam"/>
    <s v="raczej się zgadzam"/>
    <s v="raczej się zgadzam"/>
    <s v="praca przed ukończeniem studiów"/>
    <s v="powyżej 1000 zł, ale nie więcej niż 2000 zł"/>
    <s v="powyżej 3000 zł, ale nie więcej niż 4000 zł"/>
    <m/>
    <s v="Kadra naukowa, otoczenie, moja grupa na roku, oferta naukowa."/>
    <s v="-"/>
    <s v="stacjonarne (dzienne) studia 1 stopnia (licencjackie / inżynierskie)"/>
    <m/>
    <n v="6"/>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Poziom nauczania, poziom kadry"/>
    <s v="Pisałam w części I"/>
    <s v="-"/>
    <x v="1"/>
    <n v="1996"/>
    <s v="wieś"/>
    <m/>
    <s v="Ukończone gimnazjum i liceum ogółnokształcące."/>
    <s v="Psychologia stosowana na UJ - przerwana po II latach"/>
    <m/>
  </r>
  <r>
    <n v="53"/>
    <n v="32"/>
    <n v="31"/>
    <s v="37.47.73.122"/>
    <s v="Link"/>
    <s v="https://m.facebook.com/"/>
    <m/>
    <m/>
    <m/>
    <s v="Zakończono"/>
    <s v="2020-05-16 18:36:00"/>
    <s v="2020-05-16 18:45:11"/>
    <n v="551"/>
    <n v="0"/>
    <s v="Tak (kontynuacja ankiety)"/>
    <x v="1"/>
    <s v="Uniwersytet Jagielloński"/>
    <s v="nie"/>
    <s v="Edytorstwo"/>
    <s v="zgadzam się"/>
    <s v="zgadzam się"/>
    <s v="ani się zgadzam, ani nie zgadzam"/>
    <s v="praca przed ukończeniem studiów"/>
    <s v="powyżej 1000 zł, ale nie więcej niż 2000 zł"/>
    <s v="powyżej 2000 zł, ale nie więcej niż 3000 zł"/>
    <s v="Możliwość kontynuowania kariery naukowej"/>
    <s v="Wsparcie kadry akademickiej"/>
    <s v="Kontynuowanie studiów przez osoby zupełnie niezaangażowane intelektualnie, co wpływa na jakość dyskusji"/>
    <s v="stacjonarne (dzienne) studia 1 stopnia (licencjackie / inżynierskie)"/>
    <m/>
    <n v="6"/>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Próg punktowy na etapie rekrutacji, jakość pracy kół naukowych, możliwość rozwoju naukowego (uczestniczenie w grantach, konferencjach), indywidualizacja kształcenia"/>
    <s v="Pomoc ze strony pracowników naukowych i dydaktycznych"/>
    <s v="Utrudnianie kontynuowania badań interdyscyplinarnych"/>
    <x v="1"/>
    <n v="1998"/>
    <s v="duże miasto powiatowe"/>
    <m/>
    <s v="kurs pedagogiczny w ramach bloku pedagogicznego realizowanego dodatkowo (druga specjalność)"/>
    <m/>
    <m/>
  </r>
  <r>
    <n v="54"/>
    <n v="33"/>
    <n v="31"/>
    <s v="159.205.73.175"/>
    <s v="Link"/>
    <s v="http://m.facebook.com/"/>
    <m/>
    <m/>
    <m/>
    <s v="Zakończono"/>
    <s v="2020-05-16 18:50:31"/>
    <s v="2020-05-16 19:00:26"/>
    <n v="595"/>
    <n v="0"/>
    <s v="Tak (kontynuacja ankiety)"/>
    <x v="1"/>
    <s v="Uniwersytet Jagielloński"/>
    <s v="nie"/>
    <s v="Język polski w komunikacji społecznej"/>
    <s v="zgadzam się"/>
    <s v="zgadzam się"/>
    <s v="zdecydowanie się zgadzam"/>
    <n v="12"/>
    <s v="powyżej 2000 zł, ale nie więcej niż 3000 zł"/>
    <s v="powyżej 4000 zł, ale nie więcej niż 5000 zł"/>
    <m/>
    <s v="Halo, to UJ! "/>
    <s v="Uczelnia powinna trzymać większy rygor nad jednostkami między wydziałowymi, takimi jak Jagiellońskie Centrum Językowe, ponieważ chyba dawno ktokolwiek przestał je kontrolować po kontem tego jak zachowują się w stosunku do studentów. "/>
    <s v="stacjonarne (dzienne) studia 1 stopnia (licencjackie / inżynierskie)"/>
    <m/>
    <n v="4"/>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Prestiż w opinii społecznej, rozpoznawalność na arenie międzynarodowej, stanowiska absolwentów. "/>
    <s v="Zaangażowanie wykładowców, którzy są najlepszymi ekspertami w sewoich dziedzinach. "/>
    <s v="Działanie jednostek międzywydziałowych. "/>
    <x v="0"/>
    <s v="II"/>
    <s v="duże miasto powiatowe"/>
    <m/>
    <s v="Ukończone LO na akademickim profilu humanistycznym pod patronatem UAM. "/>
    <s v="Studia na kierunku amerykanistyka. "/>
    <m/>
  </r>
  <r>
    <n v="81"/>
    <n v="46"/>
    <n v="31"/>
    <s v="83.23.251.31"/>
    <s v="Link"/>
    <s v="https://ankietaplus.pl/ankiety/analiza/statystyki/13308"/>
    <m/>
    <m/>
    <m/>
    <s v="Zakończono"/>
    <s v="2020-05-30 14:26:21"/>
    <s v="2020-05-30 15:23:48"/>
    <n v="3447"/>
    <n v="0"/>
    <s v="Tak (kontynuacja ankiety)"/>
    <x v="0"/>
    <m/>
    <m/>
    <m/>
    <m/>
    <m/>
    <m/>
    <m/>
    <m/>
    <m/>
    <m/>
    <m/>
    <m/>
    <m/>
    <m/>
    <m/>
    <x v="0"/>
    <s v="Uniwersytet Łódzki"/>
    <n v="1960"/>
    <s v="nie"/>
    <s v="Biologia"/>
    <s v="zgadzam się"/>
    <s v="zgadzam się"/>
    <s v="ani się zgadzam, ani nie zgadzam"/>
    <s v="nie zgadzam się"/>
    <s v="nie zgadzam się"/>
    <s v="0 (nakaz pracy)"/>
    <s v="powyżej 1000 zł, ale nie więcej niż 2000 zł"/>
    <s v="powyżej 1000 zł, ale nie więcej niż 2000 zł"/>
    <m/>
    <s v="dobra atmosfera wśród grupy studentów"/>
    <s v="złe warunki mieszkaniowe"/>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uczelnia kształci samodzielność; uczelnia może być dobra, ale decydujące jest podejście studentów - lepsze wyniki osiągają ci którzy mają jasny cel swojej nauki"/>
    <s v="dobra atmosfera wśród grupy studentów"/>
    <s v="warunki mieszkaniowe w przypadku studentów spoza miejscowości uczelni"/>
    <x v="0"/>
    <n v="1934"/>
    <s v="miasto gminne"/>
    <m/>
    <m/>
    <m/>
    <m/>
  </r>
  <r>
    <n v="99"/>
    <n v="61"/>
    <n v="31"/>
    <s v="31.60.142.203"/>
    <s v="Link"/>
    <s v="https://ankietaplus.pl/ankiety/analiza/statystyki/13308"/>
    <m/>
    <m/>
    <m/>
    <s v="Zakończono"/>
    <s v="2020-08-12 21:38:37"/>
    <s v="2020-08-12 22:01:05"/>
    <n v="1348"/>
    <n v="0"/>
    <s v="Tak (kontynuacja ankiety)"/>
    <x v="0"/>
    <m/>
    <m/>
    <m/>
    <m/>
    <m/>
    <m/>
    <m/>
    <m/>
    <m/>
    <m/>
    <m/>
    <m/>
    <m/>
    <m/>
    <m/>
    <x v="0"/>
    <s v="Akademia Ignatianum "/>
    <n v="2015"/>
    <s v="nie"/>
    <s v="Pedagogika"/>
    <s v="zdecydowanie się zgadzam"/>
    <s v="zgadzam się"/>
    <s v="ani się zgadzam, ani nie zgadzam"/>
    <s v="ani się zgadzam, ani nie zgadzam"/>
    <s v="ani się zgadzam, ani nie zgadzam"/>
    <s v="praca przed zakończeniem studiów"/>
    <s v="powyżej 1000 zł, ale nie więcej niż 2000 zł"/>
    <s v="powyżej 2000 zł, ale nie więcej niż 3000 zł"/>
    <m/>
    <s v="dobra atmosfera; otwartość nauczycieli do studentów; szacunek do studentów; "/>
    <s v="więcej teorii niż praktyki"/>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kwalifikacje kadry nauczającej; ilość godzin praktyk; możliwość odbywania staży; dobra atmosfera"/>
    <s v="oferta edukacyjne, zajęcia praktyczne; możliwość zdobycia dodatkowych kwalifikacji podczas studiów"/>
    <s v="brak odpowiedniego przygotowania do zawodu"/>
    <x v="1"/>
    <n v="1991"/>
    <s v="miasto gminne"/>
    <m/>
    <m/>
    <m/>
    <m/>
  </r>
  <r>
    <n v="126"/>
    <n v="75"/>
    <n v="31"/>
    <s v="46.151.136.191"/>
    <s v="Link"/>
    <s v="http://m.facebook.com/"/>
    <m/>
    <m/>
    <m/>
    <s v="Zakończono"/>
    <s v="2020-10-28 17:15:12"/>
    <s v="2020-10-28 17:27:31"/>
    <n v="739"/>
    <n v="0"/>
    <s v="Tak (kontynuacja ankiety)"/>
    <x v="0"/>
    <m/>
    <m/>
    <m/>
    <m/>
    <m/>
    <m/>
    <m/>
    <m/>
    <m/>
    <m/>
    <m/>
    <m/>
    <m/>
    <m/>
    <m/>
    <x v="0"/>
    <s v="Politechnika Gdańska"/>
    <n v="2018"/>
    <s v="tak"/>
    <s v="Zarządzanie inżynierskie"/>
    <s v="ani się zgadzam, ani nie zgadzam"/>
    <s v="raczej się zgadzam"/>
    <s v="zdecydowanie się zgadzam"/>
    <s v="zgadzam się"/>
    <s v="nie dotyczy"/>
    <s v="Praca przed zakończeniem studiów"/>
    <s v="powyżej 2000 zł, ale nie więcej niż 3000 zł"/>
    <s v="powyżej 4000 zł, ale nie więcej niż 5000 zł"/>
    <s v="Zaufanie ze strony pracodawcy"/>
    <s v="Nie mam zdania. Nic mnie nie zaskoczyło. "/>
    <s v="Za mało praktyki"/>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Nie wiem"/>
    <s v="Dobra opinia wśród pracodawców"/>
    <s v="Mało praktycznych zagadnień"/>
    <x v="0"/>
    <n v="1991"/>
    <s v="miasto wojewódzkie"/>
    <m/>
    <m/>
    <m/>
    <m/>
  </r>
  <r>
    <n v="129"/>
    <n v="78"/>
    <n v="31"/>
    <s v="37.47.221.207"/>
    <s v="Link"/>
    <s v="android-app://com.google.android.gm/"/>
    <m/>
    <m/>
    <m/>
    <s v="Zakończono"/>
    <s v="2020-11-04 19:26:33"/>
    <s v="2020-11-04 19:40:01"/>
    <n v="808"/>
    <n v="0"/>
    <s v="Tak (kontynuacja ankiety)"/>
    <x v="0"/>
    <m/>
    <m/>
    <m/>
    <m/>
    <m/>
    <m/>
    <m/>
    <m/>
    <m/>
    <m/>
    <m/>
    <m/>
    <m/>
    <m/>
    <m/>
    <x v="0"/>
    <s v="Gdański Uniwersytet Medyczny"/>
    <n v="1998"/>
    <s v="nie"/>
    <s v="Wydział Lekarski"/>
    <s v="zgadzam się"/>
    <s v="zgadzam się"/>
    <s v="ani się zgadzam, ani nie zgadzam"/>
    <s v="zdecydowanie się nie zgadzam"/>
    <s v="raczej się nie zgadzam"/>
    <s v="Praca juz na ostatnim roku studiów "/>
    <s v="powyżej 1000 zł, ale nie więcej niż 2000 zł"/>
    <s v="powyżej 1000 zł, ale nie więcej niż 2000 zł"/>
    <s v="Wykonuję zawód który lubię"/>
    <s v="Zaangażowanie niektórych asystentów"/>
    <s v="Brak zaangażowania niektórych asystentów, przeładowany program, brak czasu na doxzytywanie, brak sullabusa, brak szacunku do studentów/pacjentów w niektórych zakładach"/>
    <m/>
    <s v="6 letnie, medyczn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Łatwoś znalezienia pracy po, stopien przygotowania do zycia zawodowego"/>
    <s v="Brak zaangazowania pracowników, student jako 5te koło, brak podstawowychbwytycznych co do wymagań"/>
    <s v="Jw"/>
    <x v="0"/>
    <n v="1973"/>
    <s v="miasto wojewódzkie"/>
    <m/>
    <m/>
    <m/>
    <m/>
  </r>
  <r>
    <n v="162"/>
    <n v="93"/>
    <n v="31"/>
    <s v="158.233.246.26"/>
    <s v="Link"/>
    <m/>
    <m/>
    <m/>
    <m/>
    <s v="Zakończono"/>
    <s v="2020-12-16 12:41:27"/>
    <s v="2020-12-16 12:49:37"/>
    <n v="490"/>
    <n v="0"/>
    <s v="Tak (kontynuacja ankiety)"/>
    <x v="0"/>
    <m/>
    <m/>
    <m/>
    <m/>
    <m/>
    <m/>
    <m/>
    <m/>
    <m/>
    <m/>
    <m/>
    <m/>
    <m/>
    <m/>
    <m/>
    <x v="0"/>
    <s v="Politechnika Łódzka"/>
    <n v="2006"/>
    <s v="tak"/>
    <s v="Informatyka"/>
    <s v="zgadzam się"/>
    <s v="zgadzam się"/>
    <s v="zdecydowanie się zgadzam"/>
    <s v="zgadzam się"/>
    <s v="zgadzam się"/>
    <s v="praca przed ukończeniem studiów"/>
    <s v="powyżej 4000 zł, ale nie więcej niż 5000 zł"/>
    <s v="powyżej 6000 zł, ale nie więcej niż 7000 zł"/>
    <s v="systematyczne podejście do rozwiązywania problemów"/>
    <s v="zajęcia praktyczne, znajomi"/>
    <s v="przedmioty nie związane bezpośrednio z pracą"/>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Kładzenie nacisku na praktyczne wykorzystanie wiedzy"/>
    <s v="Dostęp do zaawansowanego sprzętu i kadry potrafiącej przekazać wiedzę"/>
    <s v="Czasami przestarzały program i cześć kadry nie potrafiąca przekazać wiedzy"/>
    <x v="0"/>
    <n v="1982"/>
    <s v="miasto wojewódzkie"/>
    <m/>
    <m/>
    <m/>
    <m/>
  </r>
  <r>
    <n v="175"/>
    <n v="99"/>
    <n v="31"/>
    <s v="158.233.246.28"/>
    <s v="Link"/>
    <m/>
    <m/>
    <m/>
    <m/>
    <s v="Zakończono"/>
    <s v="2020-12-18 11:41:43"/>
    <s v="2020-12-18 12:18:08"/>
    <n v="2185"/>
    <n v="0"/>
    <s v="Tak (kontynuacja ankiety)"/>
    <x v="0"/>
    <m/>
    <m/>
    <m/>
    <m/>
    <m/>
    <m/>
    <m/>
    <m/>
    <m/>
    <m/>
    <m/>
    <m/>
    <m/>
    <m/>
    <m/>
    <x v="0"/>
    <s v="Uniwersytet Gdański"/>
    <n v="2005"/>
    <s v="nie"/>
    <s v="Informatyka i Ekonometria"/>
    <s v="zgadzam się"/>
    <s v="zdecydowanie się zgadzam"/>
    <s v="zdecydowanie się zgadzam"/>
    <s v="zdecydowanie się zgadzam"/>
    <s v="zgadzam się"/>
    <s v="praca przed ukończeniem studiów"/>
    <s v="powyżej 1000 zł, ale nie więcej niż 2000 zł"/>
    <s v="powyżej 2000 zł, ale nie więcej niż 3000 zł"/>
    <m/>
    <s v="Doświadczona kadra"/>
    <s v="brak"/>
    <s v="niestacjonarne (zaoczne) studia 2 stopnia (magisterskie)"/>
    <m/>
    <x v="1"/>
    <m/>
    <m/>
    <m/>
    <m/>
    <m/>
    <m/>
    <m/>
    <m/>
    <m/>
    <m/>
    <m/>
    <m/>
    <m/>
    <m/>
    <m/>
    <m/>
    <m/>
    <m/>
    <m/>
    <m/>
    <m/>
    <m/>
    <m/>
    <m/>
    <m/>
    <m/>
    <m/>
    <m/>
    <m/>
    <m/>
    <m/>
    <m/>
    <m/>
    <m/>
    <m/>
    <m/>
    <m/>
    <m/>
    <m/>
    <m/>
    <m/>
    <m/>
    <m/>
    <m/>
    <m/>
    <x v="0"/>
    <m/>
    <m/>
    <m/>
    <m/>
    <m/>
    <m/>
    <m/>
    <m/>
    <m/>
    <x v="0"/>
    <m/>
    <m/>
    <m/>
    <m/>
    <m/>
    <m/>
    <m/>
    <m/>
    <m/>
    <x v="1"/>
    <m/>
    <m/>
    <m/>
    <m/>
    <m/>
    <m/>
    <m/>
    <m/>
    <m/>
    <m/>
    <m/>
    <m/>
    <m/>
    <m/>
    <m/>
    <m/>
    <m/>
    <m/>
    <m/>
    <m/>
    <m/>
    <m/>
    <m/>
    <m/>
    <m/>
    <m/>
    <m/>
    <m/>
    <x v="1"/>
    <s v="Tak"/>
    <m/>
    <m/>
    <m/>
    <m/>
    <m/>
    <m/>
    <m/>
    <m/>
    <m/>
    <m/>
    <m/>
    <m/>
    <m/>
    <m/>
    <m/>
    <m/>
    <m/>
    <m/>
    <m/>
    <m/>
    <m/>
    <m/>
    <m/>
    <m/>
    <x v="0"/>
    <m/>
    <m/>
    <m/>
    <m/>
    <m/>
    <m/>
    <m/>
    <m/>
    <m/>
    <m/>
    <m/>
    <m/>
    <m/>
    <m/>
    <m/>
    <m/>
    <m/>
    <m/>
    <m/>
    <m/>
    <m/>
    <m/>
    <m/>
    <m/>
    <m/>
    <m/>
    <m/>
    <m/>
    <m/>
    <m/>
    <m/>
    <m/>
    <m/>
    <s v="Kadra, program nauczania, topowe przedmioty"/>
    <s v="Kadra, program nauczania, topowe przedmioty"/>
    <s v="Kadra, program nauczania, topowe przedmioty"/>
    <x v="0"/>
    <n v="1981"/>
    <s v="nieduże miasto powiatowe"/>
    <m/>
    <m/>
    <m/>
    <m/>
  </r>
  <r>
    <n v="178"/>
    <n v="100"/>
    <n v="31"/>
    <s v="158.233.246.28"/>
    <s v="Link"/>
    <m/>
    <m/>
    <m/>
    <m/>
    <s v="Zakończono"/>
    <s v="2020-12-18 12:11:26"/>
    <s v="2020-12-18 12:36:11"/>
    <n v="1485"/>
    <n v="0"/>
    <s v="Tak (kontynuacja ankiety)"/>
    <x v="0"/>
    <m/>
    <m/>
    <m/>
    <m/>
    <m/>
    <m/>
    <m/>
    <m/>
    <m/>
    <m/>
    <m/>
    <m/>
    <m/>
    <m/>
    <m/>
    <x v="0"/>
    <s v="Akademia Morska w Gdyni"/>
    <n v="2016"/>
    <s v="nie"/>
    <s v="Innowacyjna gospodark"/>
    <s v="zgadzam się"/>
    <s v="ani się zgadzam, ani nie zgadzam"/>
    <s v="raczej się zgadzam"/>
    <s v="zgadzam się"/>
    <s v="zdecydowanie się zgadzam"/>
    <n v="4"/>
    <s v="powyżej 2000 zł, ale nie więcej niż 3000 zł"/>
    <s v="powyżej 3000 zł, ale nie więcej niż 4000 zł"/>
    <s v="Ogólna wiedza różnych rodzajów systemów wykorzystywanych w różnych rodzajach biznesu"/>
    <s v="Późniejsze  skupienie na bardziej praktycznych rodzajach zajęć"/>
    <s v="Kiepska organizacja uczelni"/>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Rodzaje kierunków i stopień zaawansowania w wyborze kierunku"/>
    <s v="Podejście co niektórych profesorów do ich przedmiotu i do studentów"/>
    <s v="Jakość pracy HR'ów"/>
    <x v="0"/>
    <n v="1991"/>
    <s v="duże miasto powiatowe"/>
    <m/>
    <m/>
    <m/>
    <m/>
  </r>
  <r>
    <n v="198"/>
    <n v="113"/>
    <n v="31"/>
    <s v="87.206.5.55"/>
    <s v="Link"/>
    <m/>
    <m/>
    <m/>
    <m/>
    <s v="Zakończono"/>
    <s v="2020-12-18 16:32:02"/>
    <s v="2020-12-18 16:39:27"/>
    <n v="445"/>
    <n v="0"/>
    <s v="Tak (kontynuacja ankiety)"/>
    <x v="0"/>
    <m/>
    <m/>
    <m/>
    <m/>
    <m/>
    <m/>
    <m/>
    <m/>
    <m/>
    <m/>
    <m/>
    <m/>
    <m/>
    <m/>
    <m/>
    <x v="0"/>
    <s v="Politechnika Gdańska"/>
    <n v="2014"/>
    <s v="tak"/>
    <s v="Informatyka"/>
    <s v="zdecydowanie się zgadzam"/>
    <s v="zdecydowanie się zgadzam"/>
    <s v="raczej się zgadzam"/>
    <s v="ani się zgadzam, ani nie zgadzam"/>
    <s v="ani się zgadzam, ani nie zgadzam"/>
    <s v="praca przed ukończeniem studiów"/>
    <s v="powyżej 4000 zł, ale nie więcej niż 5000 zł"/>
    <s v="powyżej 6000 zł, ale nie więcej niż 7000 zł"/>
    <s v="poszerzenie wiedzy"/>
    <s v="dostęp do nowych technologii"/>
    <s v="niektóre przedmioty nie związane z wybrany kierunkiem"/>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
    <s v="Dostęp do różnych programów, technologii"/>
    <s v="Papierologia"/>
    <x v="0"/>
    <n v="1984"/>
    <s v="duże miasto powiatowe"/>
    <m/>
    <m/>
    <m/>
    <m/>
  </r>
  <r>
    <n v="218"/>
    <n v="120"/>
    <n v="31"/>
    <s v="37.47.226.179"/>
    <s v="Link"/>
    <s v="http://m.facebook.com/"/>
    <m/>
    <m/>
    <m/>
    <s v="Zakończono"/>
    <s v="2020-12-20 17:46:57"/>
    <s v="2020-12-20 17:54:42"/>
    <n v="465"/>
    <n v="0"/>
    <s v="Tak (kontynuacja ankiety)"/>
    <x v="0"/>
    <m/>
    <m/>
    <m/>
    <m/>
    <m/>
    <m/>
    <m/>
    <m/>
    <m/>
    <m/>
    <m/>
    <m/>
    <m/>
    <m/>
    <m/>
    <x v="0"/>
    <s v="Politechnika Gdańska"/>
    <n v="2016"/>
    <s v="tak"/>
    <s v="Inżynieria środowiska"/>
    <s v="nie zgadzam się"/>
    <s v="nie zgadzam się"/>
    <s v="zdecydowanie się nie zgadzam"/>
    <s v="zdecydowanie się nie zgadzam"/>
    <s v="zdecydowanie się nie zgadzam"/>
    <n v="34"/>
    <s v="do 1000 zł"/>
    <s v="do 1000 zł"/>
    <s v="Nauczenie się kombinatorstwa i jest się nikim"/>
    <s v="Koledzy i koleżanki z roku"/>
    <s v="Nieudcziwosc prowadzących, brak uczciwości w wykonywaniu projektów"/>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Te uczelnie, których nauczyciele akademiccy wyjeżdżają na dłuższe staże zagraniczne salepszee. "/>
    <s v="Nabycie umiejętności praktycznych"/>
    <s v="Brak uczciwości, brak samodzielności, przeładowana siatka godzin"/>
    <x v="1"/>
    <n v="2006"/>
    <s v="wieś"/>
    <m/>
    <m/>
    <m/>
    <m/>
  </r>
  <r>
    <n v="231"/>
    <n v="124"/>
    <n v="31"/>
    <s v="205.201.55.77"/>
    <s v="Link"/>
    <s v="http://m.facebook.com/"/>
    <m/>
    <m/>
    <m/>
    <s v="Zakończono"/>
    <s v="2020-12-23 17:52:30"/>
    <s v="2020-12-23 18:02:37"/>
    <n v="607"/>
    <n v="0"/>
    <s v="Tak (kontynuacja ankiety)"/>
    <x v="0"/>
    <m/>
    <m/>
    <m/>
    <m/>
    <m/>
    <m/>
    <m/>
    <m/>
    <m/>
    <m/>
    <m/>
    <m/>
    <m/>
    <m/>
    <m/>
    <x v="0"/>
    <s v="Politechnika Gdańska"/>
    <n v="2015"/>
    <s v="nie"/>
    <s v="Matematyka"/>
    <s v="raczej się zgadzam"/>
    <s v="zgadzam się"/>
    <s v="zdecydowanie się zgadzam"/>
    <s v="ani się zgadzam, ani nie zgadzam"/>
    <s v="raczej się zgadzam"/>
    <s v="Pracę znalazłem podczas magisterki, której ostatecznie nie ukończyłem"/>
    <s v="powyżej 3000 zł, ale nie więcej niż 4000 zł"/>
    <s v="powyżej 4000 zł, ale nie więcej niż 5000 zł"/>
    <s v="Dość cenne znajomości oraz, przede wszystkim, sposób myślenia i podejście do rozwiązywania problemów"/>
    <s v="Lubiłem matematykę jako taką, podobała mi się jednoznaczność i obiektywność tego, czego się tam uczyłem"/>
    <s v="Wyłącznie moje wady, takie, jak lenistwo"/>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Nie wiem"/>
    <s v="Wiedza, którą umiem wykorzystać w praktyce"/>
    <s v="Jeśli już, to niechęć do bycia sprawdzanym i ocenianym"/>
    <x v="0"/>
    <n v="1991"/>
    <s v="duże miasto powiatowe"/>
    <m/>
    <m/>
    <m/>
    <m/>
  </r>
  <r>
    <n v="50"/>
    <n v="30"/>
    <n v="30"/>
    <s v="83.26.176.108"/>
    <s v="Link"/>
    <s v="https://www.facebook.com/"/>
    <m/>
    <m/>
    <m/>
    <s v="Zakończono"/>
    <s v="2020-05-16 18:25:14"/>
    <s v="2020-05-16 18:31:41"/>
    <n v="387"/>
    <n v="0"/>
    <s v="Tak (kontynuacja ankiety)"/>
    <x v="1"/>
    <s v="Uniwersytet Jagielloński"/>
    <s v="nie"/>
    <s v="Kulturoznawstwo, teksty kultury"/>
    <s v="raczej się zgadzam"/>
    <s v="zgadzam się"/>
    <s v="raczej się zgadzam"/>
    <s v="nie planuję pracować w zawodzie związanym z kierunkiem moich studiów"/>
    <s v="powyżej 2000 zł, ale nie więcej niż 3000 zł"/>
    <s v="powyżej 3000 zł, ale nie więcej niż 4000 zł"/>
    <m/>
    <s v="ciekawa tematyka, merytoryczne podejście"/>
    <s v="zbyt duża ilość wymaganej pracy samodzielnej"/>
    <s v="stacjonarne (dzienne) studia 1 stopnia (licencjackie / inżynierskie)"/>
    <m/>
    <n v="6"/>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profesjonalna kadra"/>
    <s v="zdobyta wiedza"/>
    <s v="niekompetentni prowadzący"/>
    <x v="1"/>
    <n v="1997"/>
    <s v="miasto wojewódzkie"/>
    <m/>
    <s v="kurs instruktorki hipoterapii"/>
    <m/>
    <m/>
  </r>
  <r>
    <n v="117"/>
    <n v="70"/>
    <n v="30"/>
    <s v="185.56.174.2"/>
    <s v="Link"/>
    <m/>
    <m/>
    <m/>
    <m/>
    <s v="Zakończono"/>
    <s v="2020-09-16 09:37:11"/>
    <s v="2020-09-16 09:43:09"/>
    <n v="358"/>
    <n v="0"/>
    <s v="Tak (kontynuacja ankiety)"/>
    <x v="0"/>
    <m/>
    <m/>
    <m/>
    <m/>
    <m/>
    <m/>
    <m/>
    <m/>
    <m/>
    <m/>
    <m/>
    <m/>
    <m/>
    <m/>
    <m/>
    <x v="0"/>
    <s v="Politechnika Warszawska"/>
    <n v="2018"/>
    <s v="tak"/>
    <s v="Architektura"/>
    <s v="zgadzam się"/>
    <s v="ani się zgadzam, ani nie zgadzam"/>
    <s v="raczej się zgadzam"/>
    <s v="zgadzam się"/>
    <s v="nie dotyczy"/>
    <n v="1"/>
    <s v="powyżej 3000 zł, ale nie więcej niż 4000 zł"/>
    <s v="nie dotyczy"/>
    <m/>
    <s v="Możliwość wyboru zajęć "/>
    <s v="Część prowadzących była niekompetentna/nie zaangażowana"/>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zaangażowanie kadry, elastyczność programu"/>
    <s v="zdobycie (częściowej) wiedzy i tytułu"/>
    <s v="część kadry nie zainteresowana przekazaniem wiedzy i samodoksztalcaniem, słabo wyposażone sale / zaplecze dla studentów typu modelarnie. pokoje wspólnej pracy"/>
    <x v="1"/>
    <n v="1991"/>
    <s v="miasto wojewódzkie"/>
    <m/>
    <m/>
    <m/>
    <m/>
  </r>
  <r>
    <n v="171"/>
    <n v="98"/>
    <n v="30"/>
    <s v="158.233.246.29"/>
    <s v="Link"/>
    <m/>
    <m/>
    <m/>
    <m/>
    <s v="Zakończono"/>
    <s v="2020-12-18 11:26:18"/>
    <s v="2020-12-18 11:35:40"/>
    <n v="562"/>
    <n v="0"/>
    <s v="Tak (kontynuacja ankiety)"/>
    <x v="0"/>
    <m/>
    <m/>
    <m/>
    <m/>
    <m/>
    <m/>
    <m/>
    <m/>
    <m/>
    <m/>
    <m/>
    <m/>
    <m/>
    <m/>
    <m/>
    <x v="0"/>
    <s v="Uniwersytet Gdański"/>
    <n v="2014"/>
    <s v="nie"/>
    <s v="Socjologia"/>
    <s v="ani się zgadzam, ani nie zgadzam"/>
    <s v="raczej się nie zgadzam"/>
    <s v="raczej się nie zgadzam"/>
    <s v="ani się zgadzam, ani nie zgadzam"/>
    <s v="raczej się zgadzam"/>
    <s v="10 miesięcy"/>
    <s v="powyżej 3000 zł, ale nie więcej niż 4000 zł"/>
    <s v="powyżej 3000 zł, ale nie więcej niż 4000 zł"/>
    <m/>
    <s v="inni studenci"/>
    <s v="Niemiła obsługa dziekanatu; traktujący studentów z góry nauczyciele; nauczyciele z syndromem &quot;doktora&quot;, do których należało mówić  per Pani/Pan Doktor inaczej była obraza majestatu"/>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Wybór przedmiotów"/>
    <s v="Jakość prowadzenia zajęć"/>
    <s v="Złe traktowanie studentów"/>
    <x v="1"/>
    <n v="1991"/>
    <s v="miasto wojewódzkie"/>
    <m/>
    <m/>
    <m/>
    <m/>
  </r>
  <r>
    <n v="212"/>
    <n v="116"/>
    <n v="30"/>
    <s v="5.173.0.252"/>
    <s v="Link"/>
    <m/>
    <m/>
    <m/>
    <m/>
    <s v="Zakończono"/>
    <s v="2020-12-19 11:44:43"/>
    <s v="2020-12-19 11:55:08"/>
    <n v="625"/>
    <n v="0"/>
    <s v="Tak (kontynuacja ankiety)"/>
    <x v="0"/>
    <m/>
    <m/>
    <m/>
    <m/>
    <m/>
    <m/>
    <m/>
    <m/>
    <m/>
    <m/>
    <m/>
    <m/>
    <m/>
    <m/>
    <m/>
    <x v="0"/>
    <s v="Politechnika Gdańska"/>
    <n v="2009"/>
    <s v="tak"/>
    <s v="Informatyka"/>
    <s v="raczej się zgadzam"/>
    <s v="zgadzam się"/>
    <s v="zdecydowanie się zgadzam"/>
    <s v="zdecydowanie się zgadzam"/>
    <s v="zdecydowanie się zgadzam"/>
    <s v="Praca przed ukończeniem studiów"/>
    <s v="powyżej 4000 zł, ale nie więcej niż 5000 zł"/>
    <s v="powyżej 5000 zł, ale nie więcej niż 6000 zł"/>
    <m/>
    <s v="Poziom nauki, atmosfera znajomych"/>
    <s v="Niektóre zajęcia były nudne/nieadekwatne/nieżyciowe"/>
    <m/>
    <s v="Jednolite 1 i 2 stopnia na raz (mgr inż.)"/>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Wysokie wymagania stawiane studentom i pracownikom jeżeli chodzi o poziom merytoryczny i kulturalny"/>
    <s v="Całościowe spojrzenie i zajęcie się studentami"/>
    <s v="Nielogiczny rozkład zajęć, brak szacunku do studentów"/>
    <x v="0"/>
    <n v="1984"/>
    <s v="miasto wojewódzkie"/>
    <m/>
    <m/>
    <m/>
    <m/>
  </r>
  <r>
    <n v="234"/>
    <n v="126"/>
    <n v="30"/>
    <s v="89.78.2.27"/>
    <s v="Link"/>
    <m/>
    <m/>
    <m/>
    <m/>
    <s v="Zakończono"/>
    <s v="2020-12-23 21:37:59"/>
    <s v="2020-12-23 21:49:19"/>
    <n v="680"/>
    <n v="0"/>
    <s v="Tak (kontynuacja ankiety)"/>
    <x v="0"/>
    <m/>
    <m/>
    <m/>
    <m/>
    <m/>
    <m/>
    <m/>
    <m/>
    <m/>
    <m/>
    <m/>
    <m/>
    <m/>
    <m/>
    <m/>
    <x v="0"/>
    <s v="Politechnika Gdańska"/>
    <n v="2016"/>
    <s v="tak"/>
    <s v="Mechanika i Budowa Maszyn"/>
    <s v="zgadzam się"/>
    <s v="zgadzam się"/>
    <s v="zgadzam się"/>
    <s v="raczej się nie zgadzam"/>
    <s v="zgadzam się"/>
    <s v="Praca przed ukończeniem studiów"/>
    <s v="powyżej 2000 zł, ale nie więcej niż 3000 zł"/>
    <s v="powyżej 4000 zł, ale nie więcej niż 5000 zł"/>
    <m/>
    <s v="Dobre towarzystwo, ciekawe zajęcia"/>
    <s v="Niektóre przedmioty/zajęcia wydawały się niepotrzebne"/>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Wiedza wykladowców i sposób prowadzenia wykladów lub ćwiczeń"/>
    <s v="Zdobyta wiedza, możliwość jej wykorzystania w pracy"/>
    <s v="Za mala ilość zajęć praktycznych"/>
    <x v="1"/>
    <n v="1991"/>
    <s v="duże miasto powiatowe"/>
    <m/>
    <m/>
    <m/>
    <m/>
  </r>
  <r>
    <n v="248"/>
    <n v="133"/>
    <n v="30"/>
    <s v="158.233.246.27"/>
    <s v="Link"/>
    <m/>
    <m/>
    <m/>
    <m/>
    <s v="Zakończono"/>
    <s v="2021-01-13 09:24:04"/>
    <s v="2021-01-13 09:41:10"/>
    <n v="1026"/>
    <n v="0"/>
    <s v="Tak (kontynuacja ankiety)"/>
    <x v="1"/>
    <s v="Uniwersytet Łódzki"/>
    <s v="nie"/>
    <s v="Bankowość i Finanse Cyfrowe"/>
    <s v="raczej się zgadzam"/>
    <s v="raczej się zgadzam"/>
    <s v="zgadzam się"/>
    <s v="w trakcie pracy"/>
    <s v="powyżej 9000 zł, ale nie więcej niż 10.000 zł"/>
    <s v="powyżej 10.000 zł"/>
    <s v="rozwój osobisty, umiejętności czysto technicznych"/>
    <s v="ciekawie dobrany program studiów, doświadczeni wykładowcy, nieolewający studenci"/>
    <s v="wykładowcy, którzy mają na celu tylko odbycie zajęć, bez chęci nauczenia czegokolwiek"/>
    <s v="stacjonarne (dzienne) studia 2 stopnia (magisterskie)"/>
    <m/>
    <n v="4"/>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specjalizacja w określonych dziedzinach, nie powinno się kształcić ludzi na dziesiątkach kierunków w których kadra nie ma doświadczenia"/>
    <s v="współpraca z innymi uczelniami, także z zagranicy, dobre wyposażenie techniczne"/>
    <s v="wykładowcy niezbyt doświadczeni w wykładanych dziedzinach"/>
    <x v="0"/>
    <n v="1992"/>
    <s v="nieduże miasto powiatowe"/>
    <m/>
    <s v="Finanse i Rachunkowość I st., Wydział Ekonomiczno - Socjologiczny UŁ"/>
    <m/>
    <m/>
  </r>
  <r>
    <n v="206"/>
    <s v="BRAK"/>
    <n v="30"/>
    <s v="91.231.25.141"/>
    <s v="Link"/>
    <s v="https://zasobygwp.pl/"/>
    <m/>
    <m/>
    <m/>
    <s v="W trakcie"/>
    <s v="2020-12-18 19:07:51"/>
    <s v="2020-12-18 19:07:51"/>
    <n v="0"/>
    <n v="0"/>
    <s v="Tak (kontynuacja ankiety)"/>
    <x v="0"/>
    <m/>
    <m/>
    <m/>
    <m/>
    <m/>
    <m/>
    <m/>
    <m/>
    <m/>
    <m/>
    <m/>
    <m/>
    <m/>
    <m/>
    <m/>
    <x v="0"/>
    <s v="Uniwersytet Gdański "/>
    <n v="2005"/>
    <s v="nie"/>
    <s v="Matematyka "/>
    <s v="zgadzam się"/>
    <s v="raczej się zgadzam"/>
    <s v="raczej się zgadzam"/>
    <s v="raczej się zgadzam"/>
    <s v="raczej się zgadzam"/>
    <n v="2"/>
    <s v="powyżej 1000 zł, ale nie więcej niż 2000 zł"/>
    <s v="powyżej 2000 zł, ale nie więcej niż 3000 zł"/>
    <s v="Dobre przygotowanie do wykonywanego zawodu. "/>
    <s v="Ludzie, którzy ze mną studiowali. "/>
    <s v="Trudny materiał. "/>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m/>
    <m/>
    <m/>
    <x v="1"/>
    <n v="1981"/>
    <s v="wieś"/>
    <m/>
    <s v="Brak"/>
    <s v="Nie"/>
    <m/>
  </r>
  <r>
    <n v="33"/>
    <n v="23"/>
    <n v="29"/>
    <s v="83.27.175.86"/>
    <s v="Link"/>
    <s v="https://www.facebook.com/"/>
    <m/>
    <m/>
    <m/>
    <s v="Zakończono"/>
    <s v="2020-05-16 16:50:07"/>
    <s v="2020-05-16 17:31:54"/>
    <n v="2507"/>
    <n v="0"/>
    <s v="Tak (kontynuacja ankiety)"/>
    <x v="1"/>
    <s v="Uniwersytet Jagielloński"/>
    <s v="nie"/>
    <s v="filologia polska, nauczycielska"/>
    <s v="zdecydowanie się zgadzam"/>
    <s v="zdecydowanie się zgadzam"/>
    <s v="ani się zgadzam, ani nie zgadzam"/>
    <s v="to zależy w dużej mierze od sytuacji w szkołach, czy będą miejsca dla nauczycieli"/>
    <s v="powyżej 2000 zł, ale nie więcej niż 3000 zł"/>
    <s v="powyżej 2000 zł, ale nie więcej niż 3000 zł"/>
    <m/>
    <s v="dobra kadra profesorska, ciekawe przedmioty"/>
    <s v="nie do końca dobrze przemyślany program studiów, ideologiczne wtręty niektórych prowadzących, "/>
    <s v="stacjonarne (dzienne) studia 2 stopnia (magisterskie)"/>
    <m/>
    <n v="10"/>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czasem kwestia tego, czy jest to uczelnia prywatna lub publiczna; zajęte miejsca w konkursach"/>
    <s v="zaangażowani profesorowie, "/>
    <s v="nachalne angażowanie się w politykę i agitacje ideologiczne"/>
    <x v="1"/>
    <n v="1996"/>
    <s v="wieś"/>
    <m/>
    <m/>
    <m/>
    <m/>
  </r>
  <r>
    <n v="58"/>
    <n v="34"/>
    <n v="29"/>
    <s v="89.186.19.145"/>
    <s v="Link"/>
    <s v="https://www.facebook.com/"/>
    <m/>
    <m/>
    <m/>
    <s v="Zakończono"/>
    <s v="2020-05-16 20:34:54"/>
    <s v="2020-05-16 20:44:05"/>
    <n v="551"/>
    <n v="0"/>
    <s v="Tak (kontynuacja ankiety)"/>
    <x v="1"/>
    <s v="Uniwersytet Warszawski"/>
    <s v="nie"/>
    <s v="Międzywydziałowe Indywidualne Studia Humanistyczne"/>
    <s v="raczej się nie zgadzam"/>
    <s v="raczej się zgadzam"/>
    <s v="raczej się zgadzam"/>
    <s v="praca przed ukończeniem studiów"/>
    <s v="powyżej 2000 zł, ale nie więcej niż 3000 zł"/>
    <s v="powyżej 3000 zł, ale nie więcej niż 4000 zł"/>
    <m/>
    <s v="Różnorodność dostępnych zajęć, zapoznanie z ciekawymi materiałami, poznanie przedstawicieli mediów, organizacji pozarządowych itp."/>
    <s v="Poziom nauczania na niektórych kierunkach, niski poziom wymagań, stosowanie przestarzałych teorii i paradygmatów naukowych"/>
    <s v="stacjonarne (dzienne) studia 2 stopnia (magisterskie)"/>
    <m/>
    <n v="8"/>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Uczelnie lepsze rozwijają ię także na polu badań naukowych, nie tylko dydaktyki, nauczają z wykorzystaniem nowych metod i teorii, zatrudniają specjalistów, którzy praktykują zawód poza uczelnią "/>
    <s v="Ludzie, których poznaję, zdobyta wiedza"/>
    <s v="Zbyt niski poziom wymagań, przestarzałość części nauczanego materiału"/>
    <x v="1"/>
    <n v="1998"/>
    <s v="miasto wojewódzkie"/>
    <m/>
    <m/>
    <m/>
    <m/>
  </r>
  <r>
    <n v="82"/>
    <n v="47"/>
    <n v="28"/>
    <s v="31.2.121.252"/>
    <s v="Link"/>
    <m/>
    <m/>
    <m/>
    <m/>
    <s v="Zakończono"/>
    <s v="2020-06-03 21:29:49"/>
    <s v="2020-06-03 22:25:38"/>
    <n v="3349"/>
    <n v="0"/>
    <s v="Tak (kontynuacja ankiety)"/>
    <x v="0"/>
    <m/>
    <m/>
    <m/>
    <m/>
    <m/>
    <m/>
    <m/>
    <m/>
    <m/>
    <m/>
    <m/>
    <m/>
    <m/>
    <m/>
    <m/>
    <x v="1"/>
    <m/>
    <m/>
    <m/>
    <m/>
    <m/>
    <m/>
    <m/>
    <m/>
    <m/>
    <m/>
    <m/>
    <m/>
    <m/>
    <m/>
    <m/>
    <m/>
    <m/>
    <x v="1"/>
    <m/>
    <m/>
    <m/>
    <m/>
    <m/>
    <m/>
    <m/>
    <m/>
    <m/>
    <m/>
    <m/>
    <m/>
    <m/>
    <m/>
    <m/>
    <m/>
    <m/>
    <m/>
    <m/>
    <m/>
    <m/>
    <m/>
    <m/>
    <m/>
    <m/>
    <m/>
    <m/>
    <m/>
    <m/>
    <m/>
    <m/>
    <m/>
    <m/>
    <m/>
    <m/>
    <m/>
    <m/>
    <m/>
    <m/>
    <m/>
    <m/>
    <m/>
    <m/>
    <m/>
    <m/>
    <x v="0"/>
    <m/>
    <m/>
    <m/>
    <m/>
    <m/>
    <m/>
    <m/>
    <m/>
    <m/>
    <x v="0"/>
    <m/>
    <m/>
    <m/>
    <m/>
    <m/>
    <m/>
    <m/>
    <m/>
    <m/>
    <x v="1"/>
    <m/>
    <m/>
    <m/>
    <m/>
    <m/>
    <m/>
    <m/>
    <m/>
    <m/>
    <m/>
    <m/>
    <m/>
    <m/>
    <m/>
    <m/>
    <m/>
    <m/>
    <m/>
    <m/>
    <m/>
    <m/>
    <m/>
    <m/>
    <m/>
    <m/>
    <m/>
    <m/>
    <m/>
    <x v="0"/>
    <s v="Tak"/>
    <n v="1"/>
    <s v="Politechnika Gdańska"/>
    <s v="raczej się zgadzam"/>
    <s v="raczej się zgadzam"/>
    <s v="raczej się nie zgadzam"/>
    <s v="Tak"/>
    <s v="techniczne"/>
    <s v="konstruktorzy"/>
    <s v="Nie (przejście do kolejnej części badania)"/>
    <m/>
    <m/>
    <m/>
    <m/>
    <m/>
    <m/>
    <m/>
    <m/>
    <m/>
    <m/>
    <m/>
    <m/>
    <m/>
    <m/>
    <m/>
    <x v="0"/>
    <s v="nie dotyczy"/>
    <m/>
    <s v="nie dotyczy"/>
    <m/>
    <m/>
    <m/>
    <m/>
    <m/>
    <m/>
    <m/>
    <m/>
    <m/>
    <m/>
    <m/>
    <m/>
    <m/>
    <m/>
    <m/>
    <m/>
    <m/>
    <m/>
    <m/>
    <m/>
    <m/>
    <m/>
    <m/>
    <m/>
    <m/>
    <m/>
    <m/>
    <m/>
    <m/>
    <m/>
    <s v="forma prowadzenia zajęć; programy nauczania"/>
    <s v="obycie społeczne absolwentów"/>
    <s v="brak praktycznego podejścia absolwentów do rozwiązywania problemów"/>
    <x v="1"/>
    <n v="1977"/>
    <s v="duże miasto powiatowe"/>
    <m/>
    <s v="studia podyplomowe"/>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n v="99"/>
    <n v="61"/>
    <n v="31"/>
    <s v="31.60.142.203"/>
    <s v="Link"/>
    <s v="https://ankietaplus.pl/ankiety/analiza/statystyki/13308"/>
    <m/>
    <m/>
    <m/>
    <s v="Zakończono"/>
    <s v="2020-08-12 21:38:37"/>
    <s v="2020-08-12 22:01:05"/>
    <n v="1348"/>
    <n v="0"/>
    <x v="0"/>
    <x v="0"/>
    <m/>
    <m/>
    <m/>
    <m/>
    <m/>
    <m/>
    <m/>
    <m/>
    <m/>
    <m/>
    <m/>
    <m/>
    <m/>
    <m/>
    <m/>
    <x v="0"/>
    <s v="Akademia Ignatianum "/>
    <n v="2015"/>
    <s v="nie"/>
    <s v="Pedagogika"/>
    <s v="zdecydowanie się zgadzam"/>
    <s v="zgadzam się"/>
    <s v="ani się zgadzam, ani nie zgadzam"/>
    <s v="ani się zgadzam, ani nie zgadzam"/>
    <s v="ani się zgadzam, ani nie zgadzam"/>
    <s v="praca przed zakończeniem studiów"/>
    <s v="powyżej 1000 zł, ale nie więcej niż 2000 zł"/>
    <s v="powyżej 2000 zł, ale nie więcej niż 3000 zł"/>
    <m/>
    <s v="dobra atmosfera; otwartość nauczycieli do studentów; szacunek do studentów; "/>
    <s v="więcej teorii niż praktyki"/>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kwalifikacje kadry nauczającej; ilość godzin praktyk; możliwość odbywania staży; dobra atmosfera"/>
    <s v="oferta edukacyjne, zajęcia praktyczne; możliwość zdobycia dodatkowych kwalifikacji podczas studiów"/>
    <s v="brak odpowiedniego przygotowania do zawodu"/>
    <x v="0"/>
    <n v="1991"/>
    <s v="miasto gminne"/>
    <m/>
    <m/>
    <m/>
    <m/>
  </r>
  <r>
    <n v="191"/>
    <n v="109"/>
    <n v="32"/>
    <s v="188.147.98.66"/>
    <s v="Link"/>
    <m/>
    <m/>
    <m/>
    <m/>
    <s v="Zakończono"/>
    <s v="2020-12-18 15:46:04"/>
    <s v="2020-12-18 16:17:35"/>
    <n v="1891"/>
    <n v="0"/>
    <x v="0"/>
    <x v="0"/>
    <m/>
    <m/>
    <m/>
    <m/>
    <m/>
    <m/>
    <m/>
    <m/>
    <m/>
    <m/>
    <m/>
    <m/>
    <m/>
    <m/>
    <m/>
    <x v="0"/>
    <s v="Akademia Morska w Gdyni"/>
    <n v="2000"/>
    <s v="nie"/>
    <s v="organizacja obrotu portowo-morskiego"/>
    <s v="zgadzam się"/>
    <s v="zgadzam się"/>
    <s v="zgadzam się"/>
    <s v="nie zgadzam się"/>
    <s v="raczej się zgadzam"/>
    <s v="3 lata"/>
    <s v="nie dotyczy"/>
    <s v="powyżej 2000 zł, ale nie więcej niż 3000 zł"/>
    <s v="poznałem żonę"/>
    <s v="pozanaukowe atrakcje"/>
    <s v="niektórzy wykładowcy nie przykładali się do zajęć"/>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tredycja, solidne zaplecze np akademiki, dobrze dobrana kadra"/>
    <s v="fachowość wykładowców, dobrze dobrane zajecia"/>
    <s v="zbędne obciążenia dla studentów, np nieodpowiednia lokalizacja budynkow"/>
    <x v="1"/>
    <n v="72"/>
    <s v="wieś gminna"/>
    <m/>
    <m/>
    <s v="Kolegium Teologiczne"/>
    <m/>
  </r>
  <r>
    <n v="178"/>
    <n v="100"/>
    <n v="31"/>
    <s v="158.233.246.28"/>
    <s v="Link"/>
    <m/>
    <m/>
    <m/>
    <m/>
    <s v="Zakończono"/>
    <s v="2020-12-18 12:11:26"/>
    <s v="2020-12-18 12:36:11"/>
    <n v="1485"/>
    <n v="0"/>
    <x v="0"/>
    <x v="0"/>
    <m/>
    <m/>
    <m/>
    <m/>
    <m/>
    <m/>
    <m/>
    <m/>
    <m/>
    <m/>
    <m/>
    <m/>
    <m/>
    <m/>
    <m/>
    <x v="0"/>
    <s v="Akademia Morska w Gdyni"/>
    <n v="2016"/>
    <s v="nie"/>
    <s v="Innowacyjna gospodark"/>
    <s v="zgadzam się"/>
    <s v="ani się zgadzam, ani nie zgadzam"/>
    <s v="raczej się zgadzam"/>
    <s v="zgadzam się"/>
    <s v="zdecydowanie się zgadzam"/>
    <n v="4"/>
    <s v="powyżej 2000 zł, ale nie więcej niż 3000 zł"/>
    <s v="powyżej 3000 zł, ale nie więcej niż 4000 zł"/>
    <s v="Ogólna wiedza różnych rodzajów systemów wykorzystywanych w różnych rodzajach biznesu"/>
    <s v="Późniejsze  skupienie na bardziej praktycznych rodzajach zajęć"/>
    <s v="Kiepska organizacja uczelni"/>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Rodzaje kierunków i stopień zaawansowania w wyborze kierunku"/>
    <s v="Podejście co niektórych profesorów do ich przedmiotu i do studentów"/>
    <s v="Jakość pracy HR'ów"/>
    <x v="1"/>
    <n v="1991"/>
    <s v="duże miasto powiatowe"/>
    <m/>
    <m/>
    <m/>
    <m/>
  </r>
  <r>
    <n v="185"/>
    <s v="BRAK"/>
    <n v="24"/>
    <s v="158.233.246.27"/>
    <s v="Link"/>
    <m/>
    <m/>
    <m/>
    <m/>
    <s v="W trakcie"/>
    <s v="2020-12-18 15:26:50"/>
    <s v="2020-12-18 15:26:50"/>
    <n v="0"/>
    <n v="0"/>
    <x v="0"/>
    <x v="0"/>
    <m/>
    <m/>
    <m/>
    <m/>
    <m/>
    <m/>
    <m/>
    <m/>
    <m/>
    <m/>
    <m/>
    <m/>
    <m/>
    <m/>
    <m/>
    <x v="0"/>
    <s v="Akademia Morska w Gdyni"/>
    <n v="2010"/>
    <s v="tak"/>
    <s v="Towaroznawstwo"/>
    <s v="raczej się nie zgadzam"/>
    <s v="ani się zgadzam, ani nie zgadzam"/>
    <s v="ani się zgadzam, ani nie zgadzam"/>
    <s v="raczej się nie zgadzam"/>
    <s v="ani się zgadzam, ani nie zgadzam"/>
    <s v="przed ukonczeniem studiow"/>
    <s v="powyżej 1000 zł, ale nie więcej niż 2000 zł"/>
    <s v="powyżej 2000 zł, ale nie więcej niż 3000 zł"/>
    <m/>
    <s v="bliskosc domu"/>
    <s v="-"/>
    <m/>
    <s v="5 letnie  mgr/inz"/>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2"/>
    <m/>
    <m/>
    <m/>
    <m/>
    <m/>
    <m/>
  </r>
  <r>
    <n v="4"/>
    <n v="4"/>
    <n v="44"/>
    <s v="37.47.200.135"/>
    <s v="Link"/>
    <m/>
    <m/>
    <m/>
    <m/>
    <s v="Zakończono"/>
    <s v="2020-05-04 09:31:36"/>
    <s v="2020-05-04 10:24:17"/>
    <n v="3161"/>
    <n v="0"/>
    <x v="0"/>
    <x v="0"/>
    <m/>
    <m/>
    <m/>
    <m/>
    <m/>
    <m/>
    <m/>
    <m/>
    <m/>
    <m/>
    <m/>
    <m/>
    <m/>
    <m/>
    <m/>
    <x v="0"/>
    <s v="Akademia Muzyczna w Gdańsku"/>
    <n v="1986"/>
    <s v="nie"/>
    <s v="wokalistyka"/>
    <s v="zgadzam się"/>
    <s v="zgadzam się"/>
    <s v="raczej się zgadzam"/>
    <s v="raczej się zgadzam"/>
    <s v="raczej się zgadzam"/>
    <s v="praca na zlecenie od 2. roku studiów"/>
    <s v="powyżej 7000 zł, ale nie więcej niż 8000 zł"/>
    <s v="powyżej 7000 zł, ale nie więcej niż 8000 zł"/>
    <s v="potrzeba i możliwości ciągłego rozwoju w swojej dziedzinie oraz w innych; satysfakcja z wykonywanej pracy"/>
    <s v="szacunek do pedagogów, możliwość rozwijania swojej pasji, możliwość realizowania się w zawodzie przy jednoczesnym zarabianiu co poprawiało własną kondycję finansową "/>
    <s v="ograniczone możliwości w dostępie sal ćwiczeniowych, brak możliwości konfrontowania swojej wiedzy i umiejętności  w ośrodkach zagranicznych"/>
    <s v="stacjonarne (dzienne) studia 2 stopnia (magisterskie)"/>
    <s v="sześcioletnie jednolite studia magisterskie"/>
    <x v="0"/>
    <m/>
    <m/>
    <m/>
    <m/>
    <m/>
    <m/>
    <m/>
    <m/>
    <m/>
    <m/>
    <m/>
    <m/>
    <m/>
    <m/>
    <m/>
    <m/>
    <m/>
    <m/>
    <m/>
    <m/>
    <m/>
    <m/>
    <m/>
    <m/>
    <m/>
    <m/>
    <m/>
    <m/>
    <m/>
    <m/>
    <m/>
    <m/>
    <m/>
    <m/>
    <m/>
    <m/>
    <m/>
    <m/>
    <m/>
    <m/>
    <m/>
    <m/>
    <m/>
    <m/>
    <m/>
    <x v="0"/>
    <m/>
    <m/>
    <m/>
    <m/>
    <m/>
    <m/>
    <m/>
    <m/>
    <m/>
    <x v="1"/>
    <s v="Akademia Muzyczna im. Stanisława Moniuszki"/>
    <s v="Wokalno-Aktorskim"/>
    <s v="zgadzam się"/>
    <s v="zdecydowanie się zgadzam"/>
    <s v="zdecydowanie się zgadzam"/>
    <s v="zgadzam się"/>
    <s v="ani się zgadzam, ani nie zgadzam"/>
    <s v="ani się zgadzam, ani nie zgadzam"/>
    <s v="Wysoka kreatywność i pomysłowość w poszukiwaniu nowych przestrzeni zawodowych"/>
    <x v="0"/>
    <m/>
    <m/>
    <m/>
    <m/>
    <m/>
    <m/>
    <m/>
    <m/>
    <m/>
    <m/>
    <m/>
    <m/>
    <m/>
    <m/>
    <m/>
    <m/>
    <m/>
    <m/>
    <m/>
    <m/>
    <m/>
    <m/>
    <m/>
    <m/>
    <m/>
    <m/>
    <m/>
    <m/>
    <x v="0"/>
    <s v="Tak"/>
    <s v="nie dotyczy"/>
    <m/>
    <m/>
    <m/>
    <m/>
    <m/>
    <m/>
    <m/>
    <m/>
    <m/>
    <m/>
    <m/>
    <m/>
    <m/>
    <m/>
    <m/>
    <m/>
    <m/>
    <m/>
    <m/>
    <m/>
    <m/>
    <m/>
    <m/>
    <x v="0"/>
    <s v="nie dotyczy"/>
    <m/>
    <m/>
    <m/>
    <m/>
    <m/>
    <m/>
    <m/>
    <m/>
    <m/>
    <m/>
    <m/>
    <m/>
    <m/>
    <m/>
    <m/>
    <m/>
    <m/>
    <m/>
    <m/>
    <m/>
    <m/>
    <m/>
    <m/>
    <m/>
    <m/>
    <m/>
    <m/>
    <m/>
    <m/>
    <m/>
    <m/>
    <m/>
    <s v="Lepiej merytorycznie i dydaktycznie przygotowana kadra, lepsza baza techniczna"/>
    <s v="Zaangażowanie pełne pasji w pracę zarówno pedagogów jak i studentów  "/>
    <s v="Przerost pracy administracyjnej i wszelkiego rodzaju rozliczania punktowania itp; braki bazy technicznej (dobrych instrumentów)"/>
    <x v="0"/>
    <n v="1961"/>
    <s v="miasto gminne"/>
    <m/>
    <m/>
    <m/>
    <m/>
  </r>
  <r>
    <n v="130"/>
    <n v="79"/>
    <n v="81"/>
    <s v="81.190.71.209"/>
    <s v="Link"/>
    <s v="https://ankietaplus.pl/ankiety/analiza/wyniki-pojedyncze/13308"/>
    <m/>
    <m/>
    <m/>
    <s v="Zakończono"/>
    <s v="2020-11-20 00:05:15"/>
    <s v="2020-11-20 01:15:24"/>
    <n v="4209"/>
    <n v="0"/>
    <x v="0"/>
    <x v="0"/>
    <m/>
    <m/>
    <m/>
    <m/>
    <m/>
    <m/>
    <m/>
    <m/>
    <m/>
    <m/>
    <m/>
    <m/>
    <m/>
    <m/>
    <m/>
    <x v="0"/>
    <s v="Akademia Sztuk Pięknych w Łodzi"/>
    <n v="1985"/>
    <s v="nie"/>
    <s v="ASP"/>
    <s v="zgadzam się"/>
    <s v="zgadzam się"/>
    <s v="zdecydowanie się zgadzam"/>
    <s v="nie zgadzam się"/>
    <s v="nie zgadzam się"/>
    <n v="0"/>
    <s v="do 1000 zł"/>
    <s v="do 1000 zł"/>
    <s v="Uczelnia artystyczna dała możliwość budowania pozycji w środowisku artystycznym; elastyczność; umiejętność pracy w wielu dziedzinach"/>
    <s v=" "/>
    <s v=" "/>
    <s v="stacjonarne (dzienne) studia 2 stopnia (magisterskie)"/>
    <m/>
    <x v="1"/>
    <n v="2"/>
    <s v="ASP Łódź"/>
    <n v="2005"/>
    <s v="nie"/>
    <s v="Grafika artystyczna"/>
    <s v="zdecydowanie się zgadzam"/>
    <s v="zdecydowanie się zgadzam"/>
    <s v="zdecydowanie się zgadzam"/>
    <s v="nie zgadzam się"/>
    <s v="nie zgadzam się"/>
    <n v="0"/>
    <s v="kontakty, możliwości rozwoju"/>
    <s v="stacjonarne (dzienne) studia 2 stopnia (magisterskie)"/>
    <m/>
    <m/>
    <s v="Tak (przejście do analogicznej części oceny dotyczącej drugiego podopiecznego)"/>
    <s v="Akademia Muzyczna w Warszawie"/>
    <n v="2008"/>
    <s v="nie"/>
    <s v="Reżyseria dźwięku"/>
    <s v="zdecydowanie się zgadzam"/>
    <s v="zdecydowanie się zgadzam"/>
    <s v="zdecydowanie się zgadzam"/>
    <s v="raczej się nie zgadzam"/>
    <s v="raczej się zgadzam"/>
    <s v="założenie  własnej firmy zaraz po studiach"/>
    <s v="wejście w ciekawe środowisko; zaradność; dobre relacje; nagrody już podczas studiów; wsparcie uczelni dla działań w świecie"/>
    <s v="stacjonarne (dzienne) studia 2 stopnia (magisterskie)"/>
    <m/>
    <m/>
    <s v="Nie (przejście do kolejnej części badania)"/>
    <m/>
    <m/>
    <m/>
    <m/>
    <m/>
    <m/>
    <m/>
    <m/>
    <m/>
    <m/>
    <m/>
    <m/>
    <m/>
    <m/>
    <x v="0"/>
    <m/>
    <m/>
    <m/>
    <m/>
    <m/>
    <m/>
    <m/>
    <m/>
    <m/>
    <x v="0"/>
    <m/>
    <m/>
    <m/>
    <m/>
    <m/>
    <m/>
    <m/>
    <m/>
    <m/>
    <x v="1"/>
    <s v="Rektor / prorektor"/>
    <m/>
    <m/>
    <m/>
    <s v="ASP Łódź"/>
    <s v="zgadzam się"/>
    <s v="zgadzam się"/>
    <s v="zgadzam się"/>
    <s v="zgadzam się"/>
    <s v="zgadzam się"/>
    <s v="zdecydowanie się zgadzam"/>
    <s v="zgadzam się"/>
    <n v="20"/>
    <n v="5"/>
    <n v="0"/>
    <n v="30"/>
    <n v="25"/>
    <n v="10"/>
    <n v="10"/>
    <m/>
    <n v="10"/>
    <n v="5"/>
    <n v="0"/>
    <n v="25"/>
    <n v="25"/>
    <n v="5"/>
    <n v="30"/>
    <m/>
    <x v="0"/>
    <m/>
    <m/>
    <m/>
    <m/>
    <m/>
    <m/>
    <m/>
    <m/>
    <m/>
    <m/>
    <m/>
    <m/>
    <m/>
    <m/>
    <m/>
    <m/>
    <m/>
    <m/>
    <m/>
    <m/>
    <m/>
    <m/>
    <m/>
    <m/>
    <m/>
    <x v="0"/>
    <m/>
    <m/>
    <m/>
    <m/>
    <m/>
    <m/>
    <m/>
    <m/>
    <m/>
    <m/>
    <m/>
    <m/>
    <m/>
    <m/>
    <m/>
    <m/>
    <m/>
    <m/>
    <m/>
    <m/>
    <m/>
    <m/>
    <m/>
    <m/>
    <m/>
    <m/>
    <m/>
    <m/>
    <m/>
    <m/>
    <m/>
    <m/>
    <m/>
    <s v="mistrzowie, sprzęt, promocja uczelni (szczera, ale silna)"/>
    <s v=" "/>
    <s v=" "/>
    <x v="0"/>
    <n v="1958"/>
    <s v="miasto wojewódzkie"/>
    <m/>
    <m/>
    <m/>
    <m/>
  </r>
  <r>
    <n v="258"/>
    <n v="135"/>
    <n v="55"/>
    <s v="5.173.8.81"/>
    <s v="Link"/>
    <m/>
    <m/>
    <m/>
    <m/>
    <s v="Zakończono"/>
    <s v="2022-08-15 10:01:31"/>
    <s v="2022-08-15 10:13:32"/>
    <n v="721"/>
    <n v="0"/>
    <x v="0"/>
    <x v="0"/>
    <m/>
    <m/>
    <m/>
    <m/>
    <m/>
    <m/>
    <m/>
    <m/>
    <m/>
    <m/>
    <m/>
    <m/>
    <m/>
    <m/>
    <m/>
    <x v="0"/>
    <s v="Akademia Muzyczna w Gdańsku"/>
    <n v="1985"/>
    <s v="nie"/>
    <s v="Studia muzyczne, wydział instrumentalny"/>
    <s v="zdecydowanie się zgadzam"/>
    <s v="zdecydowanie się zgadzam"/>
    <s v="zgadzam się"/>
    <s v="raczej się nie zgadzam"/>
    <s v="raczej się nie zgadzam"/>
    <n v="4"/>
    <s v="powyżej 1000 zł, ale nie więcej niż 2000 zł"/>
    <s v="powyżej 1000 zł, ale nie więcej niż 2000 zł"/>
    <s v="praktyczne uprawianie zawodu muzyka; otoczenie, spotkane osobowości z różnych dziedzin"/>
    <s v=" "/>
    <s v=" "/>
    <s v="stacjonarne (dzienne) studia 2 stopnia (magisterskie)"/>
    <s v="jednolite magisterskie"/>
    <x v="0"/>
    <m/>
    <m/>
    <m/>
    <m/>
    <m/>
    <m/>
    <m/>
    <m/>
    <m/>
    <m/>
    <m/>
    <m/>
    <m/>
    <m/>
    <m/>
    <m/>
    <m/>
    <m/>
    <m/>
    <m/>
    <m/>
    <m/>
    <m/>
    <m/>
    <m/>
    <m/>
    <m/>
    <m/>
    <m/>
    <m/>
    <m/>
    <m/>
    <m/>
    <m/>
    <m/>
    <m/>
    <m/>
    <m/>
    <m/>
    <m/>
    <m/>
    <m/>
    <m/>
    <m/>
    <m/>
    <x v="0"/>
    <m/>
    <m/>
    <m/>
    <m/>
    <m/>
    <m/>
    <m/>
    <m/>
    <m/>
    <x v="0"/>
    <m/>
    <m/>
    <m/>
    <m/>
    <m/>
    <m/>
    <m/>
    <m/>
    <m/>
    <x v="1"/>
    <s v="Rektor / prorektor"/>
    <m/>
    <m/>
    <m/>
    <s v="Akademia Muzyczna w Gdańsku"/>
    <s v="raczej się zgadzam"/>
    <s v="raczej się zgadzam"/>
    <s v="raczej się zgadzam"/>
    <s v="nie dotyczy"/>
    <s v="nie dotyczy"/>
    <s v="nie dotyczy"/>
    <s v="raczej się zgadzam"/>
    <n v="20"/>
    <n v="60"/>
    <n v="0"/>
    <n v="0"/>
    <n v="0"/>
    <n v="20"/>
    <n v="0"/>
    <m/>
    <n v="20"/>
    <n v="60"/>
    <n v="0"/>
    <n v="0"/>
    <n v="0"/>
    <n v="20"/>
    <n v="0"/>
    <m/>
    <x v="0"/>
    <m/>
    <m/>
    <m/>
    <m/>
    <m/>
    <m/>
    <m/>
    <m/>
    <m/>
    <m/>
    <m/>
    <m/>
    <m/>
    <m/>
    <m/>
    <m/>
    <m/>
    <m/>
    <m/>
    <m/>
    <m/>
    <m/>
    <m/>
    <m/>
    <m/>
    <x v="0"/>
    <m/>
    <m/>
    <m/>
    <m/>
    <m/>
    <m/>
    <m/>
    <m/>
    <m/>
    <m/>
    <m/>
    <m/>
    <m/>
    <m/>
    <m/>
    <m/>
    <m/>
    <m/>
    <m/>
    <m/>
    <m/>
    <m/>
    <m/>
    <m/>
    <m/>
    <m/>
    <m/>
    <m/>
    <m/>
    <m/>
    <m/>
    <m/>
    <m/>
    <s v="  "/>
    <s v=" "/>
    <s v=" "/>
    <x v="1"/>
    <n v="1961"/>
    <s v="miasto wojewódzkie"/>
    <m/>
    <m/>
    <m/>
    <m/>
  </r>
  <r>
    <n v="238"/>
    <n v="129"/>
    <n v="32"/>
    <s v="158.233.246.27"/>
    <s v="Link"/>
    <s v="https://www.yammer.com/"/>
    <m/>
    <m/>
    <m/>
    <s v="Zakończono"/>
    <s v="2020-12-28 12:30:20"/>
    <s v="2020-12-28 12:54:29"/>
    <n v="1449"/>
    <n v="0"/>
    <x v="0"/>
    <x v="0"/>
    <m/>
    <m/>
    <m/>
    <m/>
    <m/>
    <m/>
    <m/>
    <m/>
    <m/>
    <m/>
    <m/>
    <m/>
    <m/>
    <m/>
    <m/>
    <x v="0"/>
    <s v="Akademia Nauk Stosowanych w Elblągu"/>
    <n v="2007"/>
    <s v="tak"/>
    <s v="Informatyka - Sieci komputerowe"/>
    <s v="raczej się zgadzam"/>
    <s v="raczej się zgadzam"/>
    <s v="zdecydowanie się zgadzam"/>
    <s v="zdecydowanie się zgadzam"/>
    <s v="zdecydowanie się zgadzam"/>
    <s v="pracę rozpoczęłem w trakcie studiów na ostatnim roku, zamiast praktyk."/>
    <s v="powyżej 2000 zł, ale nie więcej niż 3000 zł"/>
    <s v="powyżej 3000 zł, ale nie więcej niż 4000 zł"/>
    <s v="braki w kilku obszarach technicznych stosowania w praktyce. Generalnie przydałoby się więcej laboratoriów i ćwiczeń, mniej wykładów"/>
    <s v="Dobra infrastruktura i wyposażenie wnętrz sal labolatoriów. "/>
    <s v="Sucha teoria, dużo matematyki, mało budowania konkretnych projektów w praktyce, np. konfiguracja sieci lan, zdalne instalowanie programów na wiele maszyn itp."/>
    <m/>
    <s v="studiowałem stacjonarnie i później od 2 roku przeniosłem się na niestacjonarn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kadra dydaktyczna, praktyczne zajęcia związane z tym co może nas spotkać na rynku pracy"/>
    <s v="kadra dydaktyczna, infrastruktura informayczna (pod studia IT), możliwość kursów na uczelni"/>
    <s v="niektóre zajęcia wydawały się zbędne, za dużo nudnych wykładów za mało praktycznych zajeć"/>
    <x v="1"/>
    <n v="2007"/>
    <s v="duże miasto powiatowe"/>
    <m/>
    <s v="Magister na PG na wydziale ETI"/>
    <m/>
    <m/>
  </r>
  <r>
    <n v="121"/>
    <s v="BRAK"/>
    <n v="68"/>
    <s v="185.56.174.2"/>
    <s v="Link"/>
    <m/>
    <m/>
    <m/>
    <m/>
    <s v="W trakcie"/>
    <s v="2020-09-16 11:05:04"/>
    <s v="2020-09-16 11:05:04"/>
    <n v="0"/>
    <n v="0"/>
    <x v="0"/>
    <x v="0"/>
    <m/>
    <m/>
    <m/>
    <m/>
    <m/>
    <m/>
    <m/>
    <m/>
    <m/>
    <m/>
    <m/>
    <m/>
    <m/>
    <m/>
    <m/>
    <x v="0"/>
    <s v="Politechnika Warszawska "/>
    <n v="1977"/>
    <s v="tak"/>
    <s v="architektura i urbanistyka"/>
    <s v="zdecydowanie się zgadzam"/>
    <s v="zgadzam się"/>
    <s v="ani się zgadzam, ani nie zgadzam"/>
    <s v="nie zgadzam się"/>
    <s v="nie zgadzam się"/>
    <s v="natychmiast "/>
    <s v="powyżej 1000 zł, ale nie więcej niż 2000 zł"/>
    <s v="powyżej 2000 zł, ale nie więcej niż 3000 zł"/>
    <s v="odpowiedzialnośc, szerokie wykształcenie humanistyczne "/>
    <s v="przedmioty artystyczne, historia architektury "/>
    <s v="brak kompetencji osób nie związanych z tworczością architektoniczną , które uczyły projektowania architektonicznego i urbanistycznego "/>
    <s v="stacjonarne (dzienne) studia 2 stopnia (magisterskie)"/>
    <m/>
    <x v="1"/>
    <n v="2"/>
    <s v="Gdański Uniwersytet Medyczny"/>
    <n v="2002"/>
    <s v="nie"/>
    <s v="Wydział lekarski "/>
    <s v="zgadzam się"/>
    <s v="zgadzam się"/>
    <s v="zgadzam się"/>
    <s v="zdecydowanie się nie zgadzam"/>
    <s v="zdecydowanie się nie zgadzam"/>
    <s v="3 miesiące , rezydentura "/>
    <s v="doświadczenie, kontakt z dobrymi praktykami "/>
    <s v="stacjonarne (dzienne) studia 2 stopnia (magisterskie)"/>
    <m/>
    <m/>
    <s v="Tak (przejście do analogicznej części oceny dotyczącej drugiego podopiecznego)"/>
    <s v="SWPS "/>
    <n v="2012"/>
    <s v="nie"/>
    <s v="Psychologia zarządzania "/>
    <s v="zgadzam się"/>
    <s v="zdecydowanie się zgadzam"/>
    <s v="ani się zgadzam, ani nie zgadzam"/>
    <s v="nie zgadzam się"/>
    <s v="ani się zgadzam, ani nie zgadzam"/>
    <s v="już pracował wcześniej "/>
    <s v="kontakt z wysokiej klasy specjalistami "/>
    <s v="niestacjonarne (zaoczne) studia 2 stopnia (magisterskie)"/>
    <m/>
    <m/>
    <s v="Nie (przejście do kolejnej części badania)"/>
    <m/>
    <m/>
    <m/>
    <m/>
    <m/>
    <m/>
    <m/>
    <m/>
    <m/>
    <m/>
    <m/>
    <m/>
    <m/>
    <m/>
    <x v="0"/>
    <m/>
    <m/>
    <m/>
    <m/>
    <m/>
    <m/>
    <m/>
    <m/>
    <m/>
    <x v="1"/>
    <s v="Politechnika Warszawska "/>
    <s v="Architektury "/>
    <s v="zgadzam się"/>
    <s v="raczej się zgadzam"/>
    <s v="ani się zgadzam, ani nie zgadzam"/>
    <s v="zgadzam się"/>
    <s v="zgadzam się"/>
    <s v="zgadzam się"/>
    <s v="kontakt z praktykującymi architektami "/>
    <x v="1"/>
    <m/>
    <m/>
    <m/>
    <s v="Członek rady uczelni"/>
    <s v="jestem członkiem Rady Naukowej Dyscypliny Architektura i Urbanistyka "/>
    <s v="raczej się zgadzam"/>
    <s v="zgadzam się"/>
    <s v="ani się zgadzam, ani nie zgadzam"/>
    <s v="ani się zgadzam, ani nie zgadzam"/>
    <s v="zgadzam się"/>
    <s v="raczej się zgadzam"/>
    <s v="raczej się zgadzam"/>
    <m/>
    <m/>
    <m/>
    <m/>
    <m/>
    <m/>
    <m/>
    <m/>
    <m/>
    <m/>
    <m/>
    <m/>
    <m/>
    <m/>
    <m/>
    <m/>
    <x v="1"/>
    <m/>
    <m/>
    <m/>
    <m/>
    <m/>
    <m/>
    <m/>
    <m/>
    <m/>
    <m/>
    <m/>
    <m/>
    <m/>
    <m/>
    <m/>
    <m/>
    <m/>
    <m/>
    <m/>
    <m/>
    <m/>
    <m/>
    <m/>
    <m/>
    <m/>
    <x v="1"/>
    <m/>
    <m/>
    <m/>
    <m/>
    <m/>
    <m/>
    <m/>
    <m/>
    <m/>
    <m/>
    <m/>
    <m/>
    <m/>
    <m/>
    <m/>
    <m/>
    <m/>
    <m/>
    <m/>
    <m/>
    <m/>
    <m/>
    <m/>
    <m/>
    <m/>
    <m/>
    <m/>
    <m/>
    <m/>
    <m/>
    <m/>
    <m/>
    <m/>
    <m/>
    <m/>
    <m/>
    <x v="2"/>
    <m/>
    <m/>
    <m/>
    <m/>
    <m/>
    <m/>
  </r>
  <r>
    <n v="21"/>
    <n v="18"/>
    <n v="76"/>
    <s v="156.17.106.1"/>
    <s v="Link"/>
    <m/>
    <m/>
    <m/>
    <m/>
    <s v="Zakończono"/>
    <s v="2020-05-14 12:15:18"/>
    <s v="2020-05-14 13:45:56"/>
    <n v="5438"/>
    <n v="0"/>
    <x v="0"/>
    <x v="0"/>
    <m/>
    <m/>
    <m/>
    <m/>
    <m/>
    <m/>
    <m/>
    <m/>
    <m/>
    <m/>
    <m/>
    <m/>
    <m/>
    <m/>
    <m/>
    <x v="0"/>
    <s v="Akademia Sztuk Pięknych we Wrocławiu"/>
    <n v="1985"/>
    <s v="nie"/>
    <s v="malarstwo"/>
    <s v="zdecydowanie się zgadzam"/>
    <s v="zdecydowanie się zgadzam"/>
    <s v="raczej się nie zgadzam"/>
    <s v="nie zgadzam się"/>
    <s v="nie zgadzam się"/>
    <s v="po 3 miesiącach"/>
    <s v="do 1000 zł"/>
    <s v="do 1000 zł"/>
    <s v="jestem wszechstronnie wykwalifikowanym artystą plastykiem"/>
    <s v="miasto, uczelnia, środowisko, dydaktycy"/>
    <s v="brak"/>
    <s v="stacjonarne (dzienne) studia 1 stopnia (licencjackie / inżynierskie)"/>
    <m/>
    <x v="0"/>
    <m/>
    <m/>
    <m/>
    <m/>
    <m/>
    <m/>
    <m/>
    <m/>
    <m/>
    <m/>
    <m/>
    <m/>
    <m/>
    <m/>
    <m/>
    <m/>
    <m/>
    <m/>
    <m/>
    <m/>
    <m/>
    <m/>
    <m/>
    <m/>
    <m/>
    <m/>
    <m/>
    <m/>
    <m/>
    <m/>
    <m/>
    <m/>
    <m/>
    <m/>
    <m/>
    <m/>
    <m/>
    <m/>
    <m/>
    <m/>
    <m/>
    <m/>
    <m/>
    <m/>
    <m/>
    <x v="1"/>
    <s v="ASP we Wrocławiu"/>
    <s v="Wydział Malarstwa i Rzeźby"/>
    <s v="zdecydowanie się zgadzam"/>
    <s v="zdecydowanie się zgadzam"/>
    <s v="zdecydowanie się zgadzam"/>
    <s v="zdecydowanie się zgadzam"/>
    <s v="zdecydowanie się zgadzam"/>
    <s v="zdecydowanie się zgadzam"/>
    <s v="wszechstronne doświadczenie"/>
    <x v="1"/>
    <s v="ASP we Wrocławiu"/>
    <s v="Malarstwa i Rzeźby"/>
    <s v="zdecydowanie się zgadzam"/>
    <s v="zdecydowanie się zgadzam"/>
    <s v="zdecydowanie się zgadzam"/>
    <s v="zdecydowanie się zgadzam"/>
    <s v="zdecydowanie się zgadzam"/>
    <s v="zdecydowanie się zgadzam"/>
    <s v="wszechstronne wykształcenie"/>
    <x v="1"/>
    <s v="Rektor / prorektor"/>
    <m/>
    <m/>
    <m/>
    <s v="ASP"/>
    <s v="zdecydowanie się zgadzam"/>
    <s v="zdecydowanie się zgadzam"/>
    <s v="zdecydowanie się zgadzam"/>
    <s v="zdecydowanie się zgadzam"/>
    <s v="zdecydowanie się zgadzam"/>
    <s v="zdecydowanie się zgadzam"/>
    <s v="zdecydowanie się zgadzam"/>
    <n v="20"/>
    <n v="20"/>
    <n v="0"/>
    <n v="15"/>
    <n v="30"/>
    <n v="0"/>
    <n v="15"/>
    <m/>
    <n v="30"/>
    <n v="20"/>
    <n v="0"/>
    <n v="10"/>
    <n v="25"/>
    <n v="0"/>
    <n v="15"/>
    <m/>
    <x v="0"/>
    <s v="Tak"/>
    <s v="nie dotyczy"/>
    <m/>
    <m/>
    <m/>
    <m/>
    <m/>
    <m/>
    <m/>
    <m/>
    <m/>
    <m/>
    <m/>
    <m/>
    <m/>
    <m/>
    <m/>
    <m/>
    <m/>
    <m/>
    <m/>
    <m/>
    <m/>
    <m/>
    <m/>
    <x v="0"/>
    <s v="nie dotyczy"/>
    <m/>
    <s v="nie dotyczy"/>
    <m/>
    <m/>
    <m/>
    <m/>
    <m/>
    <m/>
    <m/>
    <m/>
    <m/>
    <m/>
    <m/>
    <m/>
    <m/>
    <m/>
    <m/>
    <m/>
    <m/>
    <m/>
    <m/>
    <m/>
    <m/>
    <m/>
    <m/>
    <m/>
    <m/>
    <m/>
    <m/>
    <m/>
    <m/>
    <m/>
    <s v="w uczelniach artystycznych nie występuje"/>
    <s v="poziom oceny parametrycznej, dotacja budżetowa"/>
    <s v="wysokość stypendiów studenckich i pomocy socjalnej"/>
    <x v="1"/>
    <n v="1960"/>
    <s v="duże miasto powiatowe"/>
    <m/>
    <m/>
    <m/>
    <m/>
  </r>
  <r>
    <n v="100"/>
    <n v="62"/>
    <n v="37"/>
    <s v="31.60.142.203"/>
    <s v="Link"/>
    <s v="https://ankietaplus.pl/s/jakoscuczelni1e"/>
    <m/>
    <m/>
    <m/>
    <s v="Zakończono"/>
    <s v="2020-08-12 22:01:09"/>
    <s v="2020-08-12 22:18:15"/>
    <n v="1026"/>
    <n v="0"/>
    <x v="0"/>
    <x v="0"/>
    <m/>
    <m/>
    <m/>
    <m/>
    <m/>
    <m/>
    <m/>
    <m/>
    <m/>
    <m/>
    <m/>
    <m/>
    <m/>
    <m/>
    <m/>
    <x v="0"/>
    <s v="AWF Kraków"/>
    <n v="2010"/>
    <s v="nie"/>
    <s v="Fizjoterapia"/>
    <s v="zdecydowanie się zgadzam"/>
    <s v="zdecydowanie się zgadzam"/>
    <s v="zgadzam się"/>
    <s v="nie zgadzam się"/>
    <s v="raczej się nie zgadzam"/>
    <s v="praca przed zakończeniem studiów"/>
    <s v="do 1000 zł"/>
    <s v="powyżej 1000 zł, ale nie więcej niż 2000 zł"/>
    <s v="Wstęp do dalszego rozwoju, poprzez kursy doskonalące; poznanie świetnych ludzi "/>
    <s v="dobra atmosfera"/>
    <s v="brak organizacji (brak informacji o odwoływanych zajęciach); złe warunki lokalowe; "/>
    <s v="niestacjonarne (zaocz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kwalifikacje kadry nauczającej; ilość godzin praktyk; możliwość odbywania staży; dobra atmosfera"/>
    <s v="ciekawe wykłady"/>
    <s v="brak odpowiedniego przygotowania do zawodu"/>
    <x v="1"/>
    <n v="1986"/>
    <s v="wieś"/>
    <m/>
    <s v="brak"/>
    <s v="brak"/>
    <m/>
  </r>
  <r>
    <n v="76"/>
    <n v="42"/>
    <n v="53"/>
    <s v="37.47.198.130"/>
    <s v="Link"/>
    <s v="https://ankietaplus.pl/ankiety/analiza/statystyki/13308"/>
    <m/>
    <m/>
    <m/>
    <s v="Zakończono"/>
    <s v="2020-05-24 12:31:37"/>
    <s v="2020-05-24 12:58:53"/>
    <n v="1636"/>
    <n v="0"/>
    <x v="0"/>
    <x v="0"/>
    <m/>
    <m/>
    <m/>
    <m/>
    <m/>
    <m/>
    <m/>
    <m/>
    <m/>
    <m/>
    <m/>
    <m/>
    <m/>
    <m/>
    <m/>
    <x v="0"/>
    <s v="AWFiS Gdańsk"/>
    <n v="2013"/>
    <s v="nie"/>
    <s v="Fizjoterapia"/>
    <s v="raczej się nie zgadzam"/>
    <s v="ani się zgadzam, ani nie zgadzam"/>
    <s v="raczej się zgadzam"/>
    <s v="zdecydowanie się nie zgadzam"/>
    <s v="nie zgadzam się"/>
    <n v="0"/>
    <s v="powyżej 1000 zł, ale nie więcej niż 2000 zł"/>
    <s v="powyżej 1000 zł, ale nie więcej niż 2000 zł"/>
    <s v="Wstęp do dalszego rozwoju, poprzez kursy doskonalące; poznanie świetnych ludzi - przyjaciół; stopień naukowy;"/>
    <s v="dobra atmosfera; otwartość nauczycieli do studentów; szacunek do studentów; możliwości płatnego stażu; bardzo duża ilość praktyk;"/>
    <s v="brak organizacji (brak informacji o odwoływanych zajęciach); złe warunki lokalowe; "/>
    <s v="stacjonarne (dzienne) studia 2 stopnia (magisterskie)"/>
    <m/>
    <x v="0"/>
    <m/>
    <m/>
    <m/>
    <m/>
    <m/>
    <m/>
    <m/>
    <m/>
    <m/>
    <m/>
    <m/>
    <m/>
    <m/>
    <m/>
    <m/>
    <m/>
    <m/>
    <m/>
    <m/>
    <m/>
    <m/>
    <m/>
    <m/>
    <m/>
    <m/>
    <m/>
    <m/>
    <m/>
    <m/>
    <m/>
    <m/>
    <m/>
    <m/>
    <m/>
    <m/>
    <m/>
    <m/>
    <m/>
    <m/>
    <m/>
    <m/>
    <m/>
    <m/>
    <m/>
    <m/>
    <x v="0"/>
    <m/>
    <m/>
    <m/>
    <m/>
    <m/>
    <m/>
    <m/>
    <m/>
    <m/>
    <x v="1"/>
    <s v="AWFiS Gdańsk"/>
    <s v="Wychowania Fizycznego"/>
    <s v="zdecydowanie się nie zgadzam"/>
    <s v="zgadzam się"/>
    <s v="zdecydowanie się nie zgadzam"/>
    <s v="nie zgadzam się"/>
    <s v="ani się zgadzam, ani nie zgadzam"/>
    <s v="ani się zgadzam, ani nie zgadzam"/>
    <s v="staże, praktyki"/>
    <x v="0"/>
    <m/>
    <m/>
    <m/>
    <m/>
    <m/>
    <m/>
    <m/>
    <m/>
    <m/>
    <m/>
    <m/>
    <m/>
    <m/>
    <m/>
    <m/>
    <m/>
    <m/>
    <m/>
    <m/>
    <m/>
    <m/>
    <m/>
    <m/>
    <m/>
    <m/>
    <m/>
    <m/>
    <m/>
    <x v="2"/>
    <s v="Nie"/>
    <n v="1"/>
    <s v="GUMed"/>
    <s v="zgadzam się"/>
    <s v="zgadzam się"/>
    <s v="nie zgadzam się"/>
    <s v="Tak"/>
    <s v="Praktyczne umiejętności, komunikacja z pacjentem, doświadczenie"/>
    <s v="fizjoterapeuci"/>
    <s v="Nie (przejście do kolejnej części badania)"/>
    <m/>
    <m/>
    <m/>
    <m/>
    <m/>
    <m/>
    <m/>
    <m/>
    <m/>
    <m/>
    <m/>
    <m/>
    <m/>
    <m/>
    <m/>
    <x v="0"/>
    <s v="nie dotyczy"/>
    <m/>
    <m/>
    <m/>
    <m/>
    <m/>
    <m/>
    <m/>
    <m/>
    <m/>
    <m/>
    <m/>
    <m/>
    <m/>
    <m/>
    <m/>
    <m/>
    <m/>
    <m/>
    <m/>
    <m/>
    <m/>
    <m/>
    <m/>
    <m/>
    <m/>
    <m/>
    <m/>
    <m/>
    <m/>
    <m/>
    <m/>
    <m/>
    <s v="kwalifikacje kadry nauczającej; ilość godzin praktyk; możliwość odbywania staży; dobra atmosfera"/>
    <s v="oferta edukacyjne, zajęcia praktyczne; możliwość zdobycia dodatkowych kwalifikacji podczas studiów (np. przygotowanie pedagogiczne); wyjazdy na obozy (np. narciarskie); możliwość udziału w projektach badawczych; "/>
    <s v="organizacja; realizacja nieprzydatnych przedmiotów; brak praktyk; niedostosowanie oferty do rynku pracy; "/>
    <x v="0"/>
    <n v="1988"/>
    <s v="nieduże miasto powiatowe"/>
    <m/>
    <s v="psychologia - magisterka; oligofrenopedagogika - kurs kwalifikacyjny (jak studia podyplomowe)"/>
    <m/>
    <s v="&lt;&lt;Burza&gt;&gt;"/>
  </r>
  <r>
    <n v="167"/>
    <n v="96"/>
    <n v="32"/>
    <s v="158.233.246.28"/>
    <s v="Link"/>
    <m/>
    <m/>
    <m/>
    <m/>
    <s v="Zakończono"/>
    <s v="2020-12-18 11:24:10"/>
    <s v="2020-12-18 11:35:15"/>
    <n v="665"/>
    <n v="0"/>
    <x v="0"/>
    <x v="0"/>
    <m/>
    <m/>
    <m/>
    <m/>
    <m/>
    <m/>
    <m/>
    <m/>
    <m/>
    <m/>
    <m/>
    <m/>
    <m/>
    <m/>
    <m/>
    <x v="0"/>
    <s v="AWFiS Gdańsk"/>
    <n v="2007"/>
    <s v="nie"/>
    <s v="Turystyka i rekreacja"/>
    <s v="raczej się zgadzam"/>
    <s v="ani się zgadzam, ani nie zgadzam"/>
    <s v="ani się zgadzam, ani nie zgadzam"/>
    <s v="zgadzam się"/>
    <s v="raczej się nie zgadzam"/>
    <n v="2"/>
    <s v="powyżej 2000 zł, ale nie więcej niż 3000 zł"/>
    <s v="powyżej 2000 zł, ale nie więcej niż 3000 zł"/>
    <s v="Nawiązywanie kontaktów z ludźmi, umiejętność radzenia sobie w każdej sytuacji."/>
    <s v="Przyjaźnie, sport, rozrywka, ciekawe zajęcia dodatkowe."/>
    <s v="Przestarzała i nieprzydatna merytoryka niektórych zajęć."/>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Umożliwienie studentom rozwoju na najróżniejsze sposoby, indywidualne podejście."/>
    <s v="Świetne wspomnienia, zetknięcie się z różnorodnymi aktywnościami sportowymi. "/>
    <s v="Dość wąska specjalizacja merytoryczna i teoretyczna."/>
    <x v="0"/>
    <n v="1982"/>
    <s v="duże miasto powiatowe"/>
    <m/>
    <s v="Studia podyplomowe na UG."/>
    <m/>
    <m/>
  </r>
  <r>
    <n v="129"/>
    <n v="78"/>
    <n v="31"/>
    <s v="37.47.221.207"/>
    <s v="Link"/>
    <s v="android-app://com.google.android.gm/"/>
    <m/>
    <m/>
    <m/>
    <s v="Zakończono"/>
    <s v="2020-11-04 19:26:33"/>
    <s v="2020-11-04 19:40:01"/>
    <n v="808"/>
    <n v="0"/>
    <x v="0"/>
    <x v="0"/>
    <m/>
    <m/>
    <m/>
    <m/>
    <m/>
    <m/>
    <m/>
    <m/>
    <m/>
    <m/>
    <m/>
    <m/>
    <m/>
    <m/>
    <m/>
    <x v="0"/>
    <s v="Gdański Uniwersytet Medyczny"/>
    <n v="1998"/>
    <s v="nie"/>
    <s v="Wydział Lekarski"/>
    <s v="zgadzam się"/>
    <s v="zgadzam się"/>
    <s v="ani się zgadzam, ani nie zgadzam"/>
    <s v="zdecydowanie się nie zgadzam"/>
    <s v="raczej się nie zgadzam"/>
    <s v="Praca juz na ostatnim roku studiów "/>
    <s v="powyżej 1000 zł, ale nie więcej niż 2000 zł"/>
    <s v="powyżej 1000 zł, ale nie więcej niż 2000 zł"/>
    <s v="Wykonuję zawód który lubię"/>
    <s v="Zaangażowanie niektórych asystentów"/>
    <s v="Brak zaangażowania niektórych asystentów, przeładowany program, brak czasu na doxzytywanie, brak sullabusa, brak szacunku do studentów/pacjentów w niektórych zakładach"/>
    <m/>
    <s v="6 letnie, medyczn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Łatwoś znalezienia pracy po, stopien przygotowania do zycia zawodowego"/>
    <s v="Brak zaangazowania pracowników, student jako 5te koło, brak podstawowychbwytycznych co do wymagań"/>
    <s v="Jw"/>
    <x v="1"/>
    <n v="1973"/>
    <s v="miasto wojewódzkie"/>
    <m/>
    <m/>
    <m/>
    <m/>
  </r>
  <r>
    <n v="26"/>
    <n v="20"/>
    <n v="35"/>
    <s v="37.47.224.76"/>
    <s v="Link"/>
    <m/>
    <m/>
    <m/>
    <m/>
    <s v="Zakończono"/>
    <s v="2020-05-15 21:46:08"/>
    <s v="2020-05-15 22:03:27"/>
    <n v="1039"/>
    <n v="0"/>
    <x v="0"/>
    <x v="0"/>
    <m/>
    <m/>
    <m/>
    <m/>
    <m/>
    <m/>
    <m/>
    <m/>
    <m/>
    <m/>
    <m/>
    <m/>
    <m/>
    <m/>
    <m/>
    <x v="0"/>
    <s v="Gdański Uniwersytet Medyczny"/>
    <n v="2011"/>
    <s v="nie"/>
    <s v="Fizjoterapia"/>
    <s v="raczej się zgadzam"/>
    <s v="raczej się zgadzam"/>
    <s v="raczej się nie zgadzam"/>
    <s v="raczej się nie zgadzam"/>
    <s v="raczej się nie zgadzam"/>
    <n v="2"/>
    <s v="powyżej 1000 zł, ale nie więcej niż 2000 zł"/>
    <s v="powyżej 2000 zł, ale nie więcej niż 3000 zł"/>
    <s v="Przydatna i praktyczna wiedza na całe życie "/>
    <s v="Wiedza, ciekawe zajęcia, ludzie"/>
    <s v="Na magisterkę niekiedy te same prezentacje i wykłady co na licencjacie"/>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Wymagania, wykładowcy z wiedzą i charyzmą do ksztalcenia"/>
    <s v="Nabycie niezbędnych umiejętności do wykonywania zawodu, zajęcia praktyczne "/>
    <s v="Brak ciekawych zajęć"/>
    <x v="0"/>
    <n v="1987"/>
    <s v="miasto wojewódzkie"/>
    <m/>
    <m/>
    <m/>
    <m/>
  </r>
  <r>
    <n v="188"/>
    <n v="107"/>
    <n v="66"/>
    <s v="5.173.0.225"/>
    <s v="Link"/>
    <m/>
    <m/>
    <m/>
    <m/>
    <s v="Zakończono"/>
    <s v="2020-12-18 15:32:59"/>
    <s v="2020-12-18 16:02:47"/>
    <n v="1788"/>
    <n v="0"/>
    <x v="0"/>
    <x v="0"/>
    <m/>
    <m/>
    <m/>
    <m/>
    <m/>
    <m/>
    <m/>
    <m/>
    <m/>
    <m/>
    <m/>
    <m/>
    <m/>
    <m/>
    <m/>
    <x v="0"/>
    <s v="Politechnika Gdańska"/>
    <n v="1983"/>
    <s v="tak"/>
    <s v="BM"/>
    <s v="zgadzam się"/>
    <s v="zgadzam się"/>
    <s v="nie zgadzam się"/>
    <s v="zdecydowanie się nie zgadzam"/>
    <s v="raczej się zgadzam"/>
    <n v="36"/>
    <s v="nie dotyczy"/>
    <s v="nie dotyczy"/>
    <s v="nieporównywalnie wyższy poziom wiedzy niż mają obecni absolwenci"/>
    <s v="ciekawe zajęcia"/>
    <s v="?"/>
    <s v="stacjonarne (dzienne) studia 1 stopnia (licencjackie / inżynierskie)"/>
    <m/>
    <x v="1"/>
    <n v="3"/>
    <s v="Politechnika Gdańska"/>
    <n v="2019"/>
    <s v="tak"/>
    <s v="Mechaniczny"/>
    <s v="nie zgadzam się"/>
    <s v="raczej się nie zgadzam"/>
    <s v="raczej się zgadzam"/>
    <s v="ani się zgadzam, ani nie zgadzam"/>
    <s v="nie dotyczy"/>
    <s v="praca przed ukończeniem"/>
    <s v="kontakty z rówieśnikami"/>
    <s v="stacjonarne (dzienne) studia 2 stopnia (magisterskie)"/>
    <m/>
    <m/>
    <s v="Nie (przejście do kolejnej części badania)"/>
    <m/>
    <m/>
    <m/>
    <m/>
    <m/>
    <m/>
    <m/>
    <m/>
    <m/>
    <m/>
    <m/>
    <m/>
    <m/>
    <m/>
    <m/>
    <m/>
    <m/>
    <m/>
    <m/>
    <m/>
    <m/>
    <m/>
    <m/>
    <m/>
    <m/>
    <m/>
    <m/>
    <m/>
    <m/>
    <x v="0"/>
    <m/>
    <m/>
    <m/>
    <m/>
    <m/>
    <m/>
    <m/>
    <m/>
    <m/>
    <x v="0"/>
    <m/>
    <m/>
    <m/>
    <m/>
    <m/>
    <m/>
    <m/>
    <m/>
    <m/>
    <x v="0"/>
    <m/>
    <m/>
    <m/>
    <m/>
    <m/>
    <m/>
    <m/>
    <m/>
    <m/>
    <m/>
    <m/>
    <m/>
    <m/>
    <m/>
    <m/>
    <m/>
    <m/>
    <m/>
    <m/>
    <m/>
    <m/>
    <m/>
    <m/>
    <m/>
    <m/>
    <m/>
    <m/>
    <m/>
    <x v="2"/>
    <s v="Tak"/>
    <n v="2"/>
    <s v="PG"/>
    <s v="nie zgadzam się"/>
    <s v="nie zgadzam się"/>
    <s v="raczej się nie zgadzam"/>
    <s v="Tak"/>
    <s v="wiedza praktyczna"/>
    <s v="w zależności od umiejętności i wiedzy"/>
    <s v="Tak (przejście do analogicznej części oceny dotyczącej drugiej uczelni)"/>
    <s v="uniwersytet warmińsko-mazurski w olsztynie"/>
    <s v="zdecydowanie się nie zgadzam"/>
    <s v="zdecydowanie się nie zgadzam"/>
    <s v="nie zgadzam się"/>
    <s v="Tak"/>
    <s v="Umiejętność praktycznego zastosowania informacji (na uczelni obecnie wiedzy się nie zdobywa) uzyskanych w trakcie studiów"/>
    <s v="w zależności od umiejętności - od pracy fizycznej, poprzez proste zadania rysunkowe po projektowanie pod kierunkiem osoby coś potrafiącej"/>
    <s v="Nie (przejście do kolejnej części badania)"/>
    <m/>
    <m/>
    <m/>
    <m/>
    <m/>
    <m/>
    <m/>
    <x v="0"/>
    <m/>
    <m/>
    <m/>
    <m/>
    <m/>
    <m/>
    <m/>
    <m/>
    <m/>
    <m/>
    <m/>
    <m/>
    <m/>
    <m/>
    <m/>
    <m/>
    <m/>
    <m/>
    <m/>
    <m/>
    <m/>
    <m/>
    <m/>
    <m/>
    <m/>
    <m/>
    <m/>
    <m/>
    <m/>
    <m/>
    <m/>
    <m/>
    <m/>
    <s v="Jakość kadry dydaktycznej, ilość zajęć laboratoryjnych i praktycznych"/>
    <s v="Nic. Jestem zawiedziony tak bardzo niskim poziomem przygotowania absolwentów do pracy zawodowej"/>
    <s v="Stosowanie testowego sposobu oceny pozomu wiadomości studenta"/>
    <x v="1"/>
    <n v="1959"/>
    <s v="wieś"/>
    <m/>
    <s v="budowlane, elekrtyczne, elektroniczne - średnie"/>
    <s v="nie ma"/>
    <s v="Proszę nie wprowadzać w błąd, bo ankieta nie zajmuje min."/>
  </r>
  <r>
    <n v="83"/>
    <n v="48"/>
    <n v="75"/>
    <s v="83.23.239.59"/>
    <s v="Link"/>
    <m/>
    <m/>
    <m/>
    <m/>
    <s v="Zakończono"/>
    <s v="2020-06-04 20:57:39"/>
    <s v="2020-06-04 21:52:51"/>
    <n v="3312"/>
    <n v="0"/>
    <x v="0"/>
    <x v="0"/>
    <m/>
    <m/>
    <m/>
    <m/>
    <m/>
    <m/>
    <m/>
    <m/>
    <m/>
    <m/>
    <m/>
    <m/>
    <m/>
    <m/>
    <m/>
    <x v="0"/>
    <s v="Politechnika Gdańska"/>
    <n v="1978"/>
    <s v="tak"/>
    <s v="Instytut Okrętowy"/>
    <s v="zdecydowanie się zgadzam"/>
    <s v="zdecydowanie się zgadzam"/>
    <s v="ani się zgadzam, ani nie zgadzam"/>
    <s v="zgadzam się"/>
    <s v="zgadzam się"/>
    <n v="2"/>
    <s v="powyżej 2000 zł, ale nie więcej niż 3000 zł"/>
    <s v="powyżej 4000 zł, ale nie więcej niż 5000 zł"/>
    <s v="wiedza techniczna"/>
    <s v="zainteresowanie kierunkiem ,towarzystwo"/>
    <s v="brak"/>
    <s v="stacjonarne (dzienne) studia 2 stopnia (magisterskie)"/>
    <m/>
    <x v="1"/>
    <n v="2"/>
    <s v="Politechnika Gdańska"/>
    <n v="2005"/>
    <s v="tak"/>
    <s v="Architektura"/>
    <s v="zgadzam się"/>
    <s v="zgadzam się"/>
    <s v="zdecydowanie się zgadzam"/>
    <s v="raczej się zgadzam"/>
    <s v="raczej się zgadzam"/>
    <n v="3"/>
    <s v="Wiedza zawodowa"/>
    <s v="stacjonarne (dzienne) studia 2 stopnia (magisterskie)"/>
    <m/>
    <s v="nie"/>
    <s v="Tak (przejście do analogicznej części oceny dotyczącej drugiego podopiecznego)"/>
    <s v="Politechnika Gdańska"/>
    <n v="2007"/>
    <s v="tak"/>
    <s v="Architektura"/>
    <s v="zgadzam się"/>
    <s v="zgadzam się"/>
    <s v="zgadzam się"/>
    <s v="raczej się zgadzam"/>
    <s v="raczej się zgadzam"/>
    <n v="3"/>
    <s v="nie"/>
    <s v="stacjonarne (dzienne) studia 2 stopnia (magisterskie)"/>
    <m/>
    <s v="nie"/>
    <s v="Nie (przejście do kolejnej części badania)"/>
    <m/>
    <m/>
    <m/>
    <m/>
    <m/>
    <m/>
    <m/>
    <m/>
    <m/>
    <m/>
    <m/>
    <m/>
    <m/>
    <m/>
    <x v="0"/>
    <m/>
    <m/>
    <m/>
    <m/>
    <m/>
    <m/>
    <m/>
    <m/>
    <m/>
    <x v="1"/>
    <s v="ASP w Gdańsku"/>
    <s v="Architektura i Wzornictwo"/>
    <s v="zgadzam się"/>
    <s v="zgadzam się"/>
    <s v="zgadzam się"/>
    <s v="zgadzam się"/>
    <s v="zgadzam się"/>
    <s v="raczej się zgadzam"/>
    <s v="trening mózgu, kontakt z ludźmi o podobnych zainteresowaniach"/>
    <x v="0"/>
    <m/>
    <m/>
    <m/>
    <m/>
    <m/>
    <m/>
    <m/>
    <m/>
    <m/>
    <m/>
    <m/>
    <m/>
    <m/>
    <m/>
    <m/>
    <m/>
    <m/>
    <m/>
    <m/>
    <m/>
    <m/>
    <m/>
    <m/>
    <m/>
    <m/>
    <m/>
    <m/>
    <m/>
    <x v="0"/>
    <s v="Nie"/>
    <s v="nie dotyczy"/>
    <m/>
    <m/>
    <m/>
    <m/>
    <m/>
    <m/>
    <m/>
    <m/>
    <m/>
    <m/>
    <m/>
    <m/>
    <m/>
    <m/>
    <m/>
    <m/>
    <m/>
    <m/>
    <m/>
    <m/>
    <m/>
    <m/>
    <m/>
    <x v="0"/>
    <s v="nie dotyczy"/>
    <m/>
    <s v="nie dotyczy"/>
    <m/>
    <m/>
    <m/>
    <m/>
    <m/>
    <m/>
    <m/>
    <m/>
    <m/>
    <m/>
    <m/>
    <m/>
    <m/>
    <m/>
    <m/>
    <m/>
    <m/>
    <m/>
    <m/>
    <m/>
    <m/>
    <m/>
    <m/>
    <m/>
    <m/>
    <m/>
    <m/>
    <m/>
    <m/>
    <m/>
    <s v="zawodowa sprawność absolwenta"/>
    <s v="profesjonalność"/>
    <s v="złe przygotowanie do zawodu"/>
    <x v="1"/>
    <n v="1954"/>
    <s v="miasto wojewódzkie"/>
    <m/>
    <s v="nie posiadam"/>
    <s v="nie studiuję"/>
    <m/>
  </r>
  <r>
    <n v="214"/>
    <n v="117"/>
    <n v="33"/>
    <s v="89.64.109.1"/>
    <s v="Link"/>
    <m/>
    <m/>
    <m/>
    <m/>
    <s v="Zakończono"/>
    <s v="2020-12-19 20:58:33"/>
    <s v="2020-12-19 21:04:09"/>
    <n v="336"/>
    <n v="0"/>
    <x v="0"/>
    <x v="0"/>
    <m/>
    <m/>
    <m/>
    <m/>
    <m/>
    <m/>
    <m/>
    <m/>
    <m/>
    <m/>
    <m/>
    <m/>
    <m/>
    <m/>
    <m/>
    <x v="0"/>
    <s v="Politechnika Gdańska"/>
    <n v="2002"/>
    <s v="tak"/>
    <s v="WZiE"/>
    <s v="zdecydowanie się nie zgadzam"/>
    <s v="zdecydowanie się nie zgadzam"/>
    <s v="zdecydowanie się nie zgadzam"/>
    <s v="zdecydowanie się nie zgadzam"/>
    <s v="zdecydowanie się nie zgadzam"/>
    <s v="1 m-c"/>
    <s v="powyżej 2000 zł, ale nie więcej niż 3000 zł"/>
    <s v="powyżej 4000 zł, ale nie więcej niż 5000 zł"/>
    <m/>
    <s v="dobra organizacja zajęć, dobra kadra, praktyczna wiedza"/>
    <s v="brak"/>
    <s v="stacjonarne (dzienne) studia 2 stopnia (magisterskie)"/>
    <s v="studia dzienne 5 letn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praktyczna wiedza, która jest uzywana w realnym świecie"/>
    <s v="o tym pisałem"/>
    <s v="o tym pisałem"/>
    <x v="1"/>
    <n v="1977"/>
    <s v="miasto wojewódzkie"/>
    <m/>
    <s v="brak"/>
    <s v="brak"/>
    <m/>
  </r>
  <r>
    <n v="182"/>
    <n v="103"/>
    <n v="33"/>
    <s v="146.119.114.150"/>
    <s v="Link"/>
    <m/>
    <m/>
    <m/>
    <m/>
    <s v="Zakończono"/>
    <s v="2020-12-18 15:15:52"/>
    <s v="2020-12-18 15:19:05"/>
    <n v="193"/>
    <n v="0"/>
    <x v="0"/>
    <x v="0"/>
    <m/>
    <m/>
    <m/>
    <m/>
    <m/>
    <m/>
    <m/>
    <m/>
    <m/>
    <m/>
    <m/>
    <m/>
    <m/>
    <m/>
    <m/>
    <x v="0"/>
    <s v="Politechnika Gdańska"/>
    <n v="2013"/>
    <s v="tak"/>
    <s v="Autmatyka"/>
    <s v="nie zgadzam się"/>
    <s v="nie zgadzam się"/>
    <s v="raczej się zgadzam"/>
    <s v="nie zgadzam się"/>
    <s v="nie zgadzam się"/>
    <n v="1"/>
    <s v="powyżej 1000 zł, ale nie więcej niż 2000 zł"/>
    <s v="powyżej 2000 zł, ale nie więcej niż 3000 zł"/>
    <m/>
    <s v="."/>
    <s v="."/>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
    <s v="."/>
    <s v="."/>
    <x v="1"/>
    <n v="1989"/>
    <s v="miasto wojewódzkie"/>
    <m/>
    <s v="."/>
    <s v="."/>
    <s v="."/>
  </r>
  <r>
    <n v="25"/>
    <s v="BRAK"/>
    <n v="24"/>
    <s v="89.66.158.1"/>
    <s v="Link"/>
    <s v="https://l.facebook.com/"/>
    <m/>
    <m/>
    <m/>
    <s v="W trakcie"/>
    <s v="2020-05-15 21:18:13"/>
    <s v="2020-05-15 21:18:13"/>
    <n v="0"/>
    <n v="0"/>
    <x v="0"/>
    <x v="1"/>
    <s v="Akademia Muzyczna im. Stanisława Moniuszki w Gdańsku"/>
    <s v="nie"/>
    <s v="wokalistyka, specjalność musical"/>
    <s v="zgadzam się"/>
    <s v="zdecydowanie się zgadzam"/>
    <s v="zdecydowanie się zgadzam"/>
    <s v="przed ukończeniem studiów"/>
    <s v="powyżej 3000 zł, ale nie więcej niż 4000 zł"/>
    <s v="powyżej 2000 zł, ale nie więcej niż 3000 zł"/>
    <s v="utrzymanie się na rynku pracy i wygrywanie castingów"/>
    <s v="dobry kontakt z uczelnią i umiejętność dostosowania się do potrzeb rynkowych, dokształcanie pedagogów zgodnie z rozwijającym się rynkiem"/>
    <s v="niskie kompetencje pedagogów, niedostosowany grafik zajęć, mało praktyki (na kierunku praktycznym) "/>
    <s v="stacjonarne (dzienne) studia 1 stopnia (licencjackie / inżynierskie)"/>
    <m/>
    <n v="4"/>
    <x v="1"/>
    <m/>
    <m/>
    <m/>
    <m/>
    <m/>
    <m/>
    <m/>
    <m/>
    <m/>
    <m/>
    <m/>
    <m/>
    <m/>
    <m/>
    <m/>
    <m/>
    <m/>
    <x v="0"/>
    <m/>
    <m/>
    <m/>
    <m/>
    <m/>
    <m/>
    <m/>
    <m/>
    <m/>
    <m/>
    <m/>
    <m/>
    <m/>
    <m/>
    <m/>
    <m/>
    <m/>
    <m/>
    <m/>
    <m/>
    <m/>
    <m/>
    <m/>
    <m/>
    <m/>
    <m/>
    <m/>
    <m/>
    <m/>
    <m/>
    <m/>
    <m/>
    <m/>
    <m/>
    <m/>
    <m/>
    <m/>
    <m/>
    <m/>
    <m/>
    <m/>
    <m/>
    <m/>
    <m/>
    <m/>
    <x v="0"/>
    <m/>
    <m/>
    <m/>
    <m/>
    <m/>
    <m/>
    <m/>
    <m/>
    <m/>
    <x v="0"/>
    <m/>
    <m/>
    <m/>
    <m/>
    <m/>
    <m/>
    <m/>
    <m/>
    <m/>
    <x v="0"/>
    <m/>
    <m/>
    <m/>
    <m/>
    <m/>
    <m/>
    <m/>
    <m/>
    <m/>
    <m/>
    <m/>
    <m/>
    <m/>
    <m/>
    <m/>
    <m/>
    <m/>
    <m/>
    <m/>
    <m/>
    <m/>
    <m/>
    <m/>
    <m/>
    <m/>
    <m/>
    <m/>
    <m/>
    <x v="2"/>
    <s v="Nie"/>
    <n v="1"/>
    <m/>
    <m/>
    <m/>
    <m/>
    <m/>
    <m/>
    <m/>
    <m/>
    <m/>
    <m/>
    <m/>
    <m/>
    <m/>
    <m/>
    <m/>
    <m/>
    <m/>
    <m/>
    <m/>
    <m/>
    <m/>
    <m/>
    <m/>
    <x v="1"/>
    <m/>
    <m/>
    <m/>
    <m/>
    <m/>
    <m/>
    <m/>
    <m/>
    <m/>
    <m/>
    <m/>
    <m/>
    <m/>
    <m/>
    <m/>
    <m/>
    <m/>
    <m/>
    <m/>
    <m/>
    <m/>
    <m/>
    <m/>
    <m/>
    <m/>
    <m/>
    <m/>
    <m/>
    <m/>
    <m/>
    <m/>
    <m/>
    <m/>
    <m/>
    <m/>
    <m/>
    <x v="2"/>
    <m/>
    <m/>
    <m/>
    <m/>
    <m/>
    <m/>
  </r>
  <r>
    <n v="88"/>
    <n v="53"/>
    <n v="46"/>
    <s v="81.190.56.54"/>
    <s v="Link"/>
    <s v="https://ankietaplus.pl/ankiety/analiza/wyniki-pojedyncze/13308"/>
    <m/>
    <m/>
    <m/>
    <s v="Zakończono"/>
    <s v="2020-06-08 03:21:44"/>
    <s v="2020-06-08 03:45:22"/>
    <n v="1418"/>
    <n v="0"/>
    <x v="0"/>
    <x v="0"/>
    <m/>
    <m/>
    <m/>
    <m/>
    <m/>
    <m/>
    <m/>
    <m/>
    <m/>
    <m/>
    <m/>
    <m/>
    <m/>
    <m/>
    <m/>
    <x v="0"/>
    <s v="Politechnika Gdańska"/>
    <n v="1975"/>
    <s v="tak"/>
    <s v="Materiałoznawstwo"/>
    <s v="zgadzam się"/>
    <s v="raczej się zgadzam"/>
    <s v="zgadzam się"/>
    <s v="raczej się zgadzam"/>
    <s v="raczej się zgadzam"/>
    <s v="0 (stypendium fundowane)"/>
    <s v="powyżej 3000 zł, ale nie więcej niż 4000 zł"/>
    <s v="powyżej 3000 zł, ale nie więcej niż 4000 zł"/>
    <m/>
    <s v="-"/>
    <s v="-"/>
    <s v="stacjonarne (dzienne) studia 2 stopnia (magisterskie)"/>
    <m/>
    <x v="1"/>
    <n v="1"/>
    <s v="Politechnika Gdańska"/>
    <n v="2011"/>
    <s v="tak"/>
    <s v="Biotechnologia"/>
    <s v="raczej się zgadzam"/>
    <s v="zgadzam się"/>
    <s v="nie zgadzam się"/>
    <s v="nie dotyczy"/>
    <s v="nie dotyczy"/>
    <s v="nie pracuje / inne"/>
    <s v="wyższa ocena, większa wiedza"/>
    <s v="stacjonarne (dzienne) studia 2 stopnia (magisterskie)"/>
    <s v="jednolite"/>
    <m/>
    <s v="Nie (przejście do kolejnej części badania)"/>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
    <s v="-"/>
    <s v="-"/>
    <x v="0"/>
    <n v="1950"/>
    <s v="miasto wojewódzkie"/>
    <m/>
    <m/>
    <m/>
    <m/>
  </r>
  <r>
    <n v="139"/>
    <n v="84"/>
    <n v="47"/>
    <s v="89.64.97.160"/>
    <s v="Link"/>
    <m/>
    <m/>
    <m/>
    <m/>
    <s v="Zakończono"/>
    <s v="2020-12-15 07:05:46"/>
    <s v="2020-12-15 07:15:04"/>
    <n v="558"/>
    <n v="0"/>
    <x v="0"/>
    <x v="1"/>
    <s v="Politechnika Gdańska"/>
    <s v="tak"/>
    <s v="Mechanika i budowa maszyn"/>
    <s v="raczej się zgadzam"/>
    <s v="raczej się nie zgadzam"/>
    <s v="zgadzam się"/>
    <s v="praca w momencie zakończenia studiów"/>
    <s v="powyżej 3000 zł, ale nie więcej niż 4000 zł"/>
    <s v="powyżej 5000 zł, ale nie więcej niż 6000 zł"/>
    <s v="Poprawy myślenia logicznego i poprawy zarządzania czasem"/>
    <s v="Podejście większości prowadzących, koledzy"/>
    <s v="Bałagan organizacyjny na uczelni"/>
    <s v="niestacjonarne (zaoczne) studia 2 stopnia (magisterskie)"/>
    <m/>
    <n v="2"/>
    <x v="0"/>
    <s v="Politechnika Gdańska"/>
    <n v="2015"/>
    <s v="tak"/>
    <s v="Mechatronika"/>
    <s v="raczej się zgadzam"/>
    <s v="raczej się nie zgadzam"/>
    <s v="raczej się zgadzam"/>
    <s v="raczej się zgadzam"/>
    <s v="raczej się zgadzam"/>
    <s v="praca przed ukończeniem studiów"/>
    <s v="powyżej 2000 zł, ale nie więcej niż 3000 zł"/>
    <s v="powyżej 3000 zł, ale nie więcej niż 4000 zł"/>
    <s v="żadnych"/>
    <s v="Podejście prowadzących i koledzy z roku."/>
    <s v="Bałagan organizacyjny szczególnie na początku roku akademickiego."/>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Współpraca z przemysłem i możliwość zatrudnienia - większa na lepszych uczelniach."/>
    <s v="Duży zasób biblioteki, łatwy kontakt, przejście w tryb edziekanatu bardzu ułatwił sprawy."/>
    <s v="Za dużo niepotrzebnych przedmiotów, za mało praktyki."/>
    <x v="1"/>
    <n v="1992"/>
    <s v="duże miasto powiatowe"/>
    <m/>
    <s v="Liceum"/>
    <s v="Żadne"/>
    <m/>
  </r>
  <r>
    <n v="3"/>
    <n v="3"/>
    <n v="33"/>
    <s v="89.73.146.237"/>
    <s v="Link"/>
    <m/>
    <m/>
    <m/>
    <m/>
    <s v="Zakończono"/>
    <s v="2020-05-03 22:53:23"/>
    <s v="2020-05-03 23:07:36"/>
    <n v="853"/>
    <n v="0"/>
    <x v="0"/>
    <x v="0"/>
    <m/>
    <m/>
    <m/>
    <m/>
    <m/>
    <m/>
    <m/>
    <m/>
    <m/>
    <m/>
    <m/>
    <m/>
    <m/>
    <m/>
    <m/>
    <x v="0"/>
    <s v="Politechnika Gdańska"/>
    <n v="2017"/>
    <s v="tak"/>
    <s v="Informatyka"/>
    <s v="zgadzam się"/>
    <s v="zgadzam się"/>
    <s v="raczej się zgadzam"/>
    <s v="zdecydowanie się zgadzam"/>
    <s v="zdecydowanie się zgadzam"/>
    <s v="Na trzecim roku inz"/>
    <s v="powyżej 10.000 zł"/>
    <s v="powyżej 10.000 zł"/>
    <s v="Możliwość spojrzenia na świat z szerszej perspektywy"/>
    <s v="Zajęcia praktyczne, projekty, elastyczność w realizacji tematów"/>
    <s v="Sama teoria i brak namacalności przydatności wiedzy"/>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Uczelnia zatrudniająca ludzi dynamicznych z branży"/>
    <s v="Aktualizowanie podstaw programowych"/>
    <s v="Brak zaangażowania promotora w pracę magisterską, która odkłada się  miesiącami"/>
    <x v="1"/>
    <n v="1991"/>
    <s v="miasto wojewódzkie"/>
    <m/>
    <s v="Muzyczne podstawowe"/>
    <m/>
    <m/>
  </r>
  <r>
    <n v="6"/>
    <n v="6"/>
    <n v="32"/>
    <s v="109.241.203.5"/>
    <s v="Link"/>
    <m/>
    <m/>
    <m/>
    <m/>
    <s v="Zakończono"/>
    <s v="2020-05-04 12:41:11"/>
    <s v="2020-05-04 12:56:13"/>
    <n v="902"/>
    <n v="0"/>
    <x v="0"/>
    <x v="0"/>
    <m/>
    <m/>
    <m/>
    <m/>
    <m/>
    <m/>
    <m/>
    <m/>
    <m/>
    <m/>
    <m/>
    <m/>
    <m/>
    <m/>
    <m/>
    <x v="0"/>
    <s v="Politechnika Gdańska"/>
    <n v="2013"/>
    <s v="tak"/>
    <s v="Bioinformatyka"/>
    <s v="raczej się zgadzam"/>
    <s v="raczej się zgadzam"/>
    <s v="ani się zgadzam, ani nie zgadzam"/>
    <s v="nie dotyczy"/>
    <s v="nie dotyczy"/>
    <s v="Macierzyństwo na razie, brak pracy zarobkowej"/>
    <s v="nie dotyczy"/>
    <s v="nie dotyczy"/>
    <s v="Wydaje mi się, że dzięki nauce (ale w zasadzie jakiejkolwiek) człowiek utrzymuje umysł w sprawności i go rozwija; a to zawsze działa na plus. "/>
    <s v="Tak założyłam, że będę tam studiować, więc studiowałam. Lubię kończyć to, co zaczęłam. Znalazłam też dwie bliskie koleżanki,więc miałam towarzystwo."/>
    <s v="Nudne zajęcia. Tematy, które w mojej ocenie nigdy mi się w życiu nie przydadzą. Forma zajęć - wykład. Niewygodne Dale wykładowe, twarde krzesła, stoliki za małe i za daleko. Zajęcia wcześnie  rano lub wieczorami"/>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Ciężko powiedzieć. Uczulenie przygotowują nas do zawodów w bardzo różnych dziedzinach. Myślę jednak, że zaangażowanie studentów i wykładowców ma znaczenie niezależnie od branży. Ja miałam zapał średni, bo raczej nastawiałam się na prowadzenie domu, ewentualnie pracę nauczyciela w podstawóce itp. Koledzy, którymi zależało, uczyli się sami, brali udział w projektach, stażach i znajdowali pracę już pod koniec studiów. I nawet jeśli narzekali, to robili swoje. A Ci, którym nie do końca zależało, to raczej też narzekali, ale nie bardzo chcieli coś zmienić. Najchętniej nie chodziliby na zajęcia i wszystko zaliczyli na trójki. Tylko nie wiem po co. :) "/>
    <s v="Kilku wykładowców zapadło mi w pamięć. Lubię wspominać zajęci z nimi z moimi przyjaciółkami. Ale czy wybrałabym jeszcze raz tę uczelnie i kierunek? Raczej nie. "/>
    <s v="Moja ocena jest o tyle subiektywna, że ja do niczego nie potrzebowałam większości z tych zajęć:) więc te nudne, trudne i dziwne mnie zniechęcały. Ale uczyłam się i zaliczyłam, bo taką mam naturę, że się jednak staram:)"/>
    <x v="0"/>
    <n v="1988"/>
    <s v="miasto wojewódzkie"/>
    <m/>
    <m/>
    <m/>
    <m/>
  </r>
  <r>
    <n v="7"/>
    <n v="7"/>
    <n v="37"/>
    <s v="81.190.102.150"/>
    <s v="Link"/>
    <s v="https://poczta.wp.pl/k/"/>
    <m/>
    <m/>
    <m/>
    <s v="Zakończono"/>
    <s v="2020-05-04 13:51:42"/>
    <s v="2020-05-04 13:58:44"/>
    <n v="422"/>
    <n v="0"/>
    <x v="0"/>
    <x v="0"/>
    <m/>
    <m/>
    <m/>
    <m/>
    <m/>
    <m/>
    <m/>
    <m/>
    <m/>
    <m/>
    <m/>
    <m/>
    <m/>
    <m/>
    <m/>
    <x v="0"/>
    <s v="Politechnika Gdańska"/>
    <n v="2013"/>
    <s v="tak"/>
    <s v="Matematyka Stosowana"/>
    <s v="zdecydowanie się zgadzam"/>
    <s v="zgadzam się"/>
    <s v="zdecydowanie się zgadzam"/>
    <s v="zdecydowanie się zgadzam"/>
    <s v="zdecydowanie się zgadzam"/>
    <n v="4"/>
    <s v="powyżej 3000 zł, ale nie więcej niż 4000 zł"/>
    <s v="powyżej 3000 zł, ale nie więcej niż 4000 zł"/>
    <s v="Analityczne podejście, szybkie przyswajanie nowych zagadnień."/>
    <s v="Kadra, współstudiujący, ciekawe zagadnienia"/>
    <s v="Stres"/>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
    <s v="."/>
    <s v="."/>
    <x v="1"/>
    <n v="1988"/>
    <s v="miasto gminne"/>
    <m/>
    <s v="Nie dotyczy"/>
    <s v="Nie dotyczy"/>
    <m/>
  </r>
  <r>
    <n v="196"/>
    <n v="112"/>
    <n v="54"/>
    <s v="185.244.97.163"/>
    <s v="Link"/>
    <m/>
    <m/>
    <m/>
    <m/>
    <s v="Zakończono"/>
    <s v="2020-12-18 16:04:15"/>
    <s v="2020-12-18 16:14:29"/>
    <n v="614"/>
    <n v="0"/>
    <x v="0"/>
    <x v="0"/>
    <m/>
    <m/>
    <m/>
    <m/>
    <m/>
    <m/>
    <m/>
    <m/>
    <m/>
    <m/>
    <m/>
    <m/>
    <m/>
    <m/>
    <m/>
    <x v="0"/>
    <s v="Politechnika Gdańska"/>
    <n v="1991"/>
    <s v="tak"/>
    <s v="Budownictwo Lądowe"/>
    <s v="zgadzam się"/>
    <s v="zgadzam się"/>
    <s v="zgadzam się"/>
    <s v="nie dotyczy"/>
    <s v="nie dotyczy"/>
    <s v="założenie własnej firmy"/>
    <s v="nie dotyczy"/>
    <s v="nie dotyczy"/>
    <s v="sumienność, pracowitość, zdolność do poświęceń"/>
    <s v="studiowałem co lubię, bliskość uczelni"/>
    <s v="nie było takich cech"/>
    <s v="stacjonarne (dzienne) studia 1 stopnia (licencjackie / inżynierskie)"/>
    <m/>
    <x v="1"/>
    <n v="1"/>
    <s v="Politechnika Gdańska"/>
    <n v="2018"/>
    <s v="tak"/>
    <s v="Chemia"/>
    <s v="ani się zgadzam, ani nie zgadzam"/>
    <s v="ani się zgadzam, ani nie zgadzam"/>
    <s v="ani się zgadzam, ani nie zgadzam"/>
    <s v="ani się zgadzam, ani nie zgadzam"/>
    <s v="ani się zgadzam, ani nie zgadzam"/>
    <n v="1"/>
    <m/>
    <s v="stacjonarne (dzienne) studia 1 stopnia (licencjackie / inżynierskie)"/>
    <m/>
    <m/>
    <s v="Nie (przejście do kolejnej części badania)"/>
    <m/>
    <m/>
    <m/>
    <m/>
    <m/>
    <m/>
    <m/>
    <m/>
    <m/>
    <m/>
    <m/>
    <m/>
    <m/>
    <m/>
    <m/>
    <m/>
    <m/>
    <m/>
    <m/>
    <m/>
    <m/>
    <m/>
    <m/>
    <m/>
    <m/>
    <m/>
    <m/>
    <m/>
    <m/>
    <x v="0"/>
    <m/>
    <m/>
    <m/>
    <m/>
    <m/>
    <m/>
    <m/>
    <m/>
    <m/>
    <x v="0"/>
    <m/>
    <m/>
    <m/>
    <m/>
    <m/>
    <m/>
    <m/>
    <m/>
    <m/>
    <x v="0"/>
    <m/>
    <m/>
    <m/>
    <m/>
    <m/>
    <m/>
    <m/>
    <m/>
    <m/>
    <m/>
    <m/>
    <m/>
    <m/>
    <m/>
    <m/>
    <m/>
    <m/>
    <m/>
    <m/>
    <m/>
    <m/>
    <m/>
    <m/>
    <m/>
    <m/>
    <m/>
    <m/>
    <m/>
    <x v="2"/>
    <s v="Tak"/>
    <n v="1"/>
    <s v="Politechnika Gdańska"/>
    <s v="zdecydowanie się zgadzam"/>
    <s v="zdecydowanie się zgadzam"/>
    <s v="ani się zgadzam, ani nie zgadzam"/>
    <s v="Tak"/>
    <s v="umiejętność przyswajania wiedzy"/>
    <s v="programistyczne"/>
    <s v="Nie (przejście do kolejnej części badania)"/>
    <m/>
    <m/>
    <m/>
    <m/>
    <m/>
    <m/>
    <m/>
    <m/>
    <m/>
    <m/>
    <m/>
    <m/>
    <m/>
    <m/>
    <m/>
    <x v="0"/>
    <m/>
    <m/>
    <m/>
    <m/>
    <m/>
    <m/>
    <m/>
    <m/>
    <m/>
    <m/>
    <m/>
    <m/>
    <m/>
    <m/>
    <m/>
    <m/>
    <m/>
    <m/>
    <m/>
    <m/>
    <m/>
    <m/>
    <m/>
    <m/>
    <m/>
    <m/>
    <m/>
    <m/>
    <m/>
    <m/>
    <m/>
    <m/>
    <m/>
    <s v="uczenie obsługi narzędzi które sa przydatne w biznesie "/>
    <s v="zdolność do przyswajania wiedzy"/>
    <s v="nauka starych narzędzi"/>
    <x v="1"/>
    <n v="1966"/>
    <s v="miasto wojewódzkie"/>
    <m/>
    <m/>
    <m/>
    <m/>
  </r>
  <r>
    <n v="10"/>
    <n v="9"/>
    <n v="33"/>
    <s v="87.207.83.121"/>
    <s v="Link"/>
    <m/>
    <m/>
    <m/>
    <m/>
    <s v="Zakończono"/>
    <s v="2020-05-04 23:40:32"/>
    <s v="2020-05-05 00:51:31"/>
    <n v="4259"/>
    <n v="0"/>
    <x v="0"/>
    <x v="0"/>
    <m/>
    <m/>
    <m/>
    <m/>
    <m/>
    <m/>
    <m/>
    <m/>
    <m/>
    <m/>
    <m/>
    <m/>
    <m/>
    <m/>
    <m/>
    <x v="0"/>
    <s v="Politechnika Gdańska"/>
    <n v="2013"/>
    <s v="tak"/>
    <s v="matematyka"/>
    <s v="zgadzam się"/>
    <s v="zgadzam się"/>
    <s v="zdecydowanie się zgadzam"/>
    <s v="ani się zgadzam, ani nie zgadzam"/>
    <s v="raczej się zgadzam"/>
    <n v="1"/>
    <s v="powyżej 1000 zł, ale nie więcej niż 2000 zł"/>
    <s v="powyżej 3000 zł, ale nie więcej niż 4000 zł"/>
    <s v="mniej stresu w pracy, rozwiązywanie problemów nie sprawia większych trudności w większości przypadków"/>
    <s v="kierunek studiów zgodny z zainteresowaniami, dobra kadra wykładowców na uczelni"/>
    <s v="nuda, ostatnie semestry studiów już były trochę na siłę, praktyki studenckie tak żeby odklepać, mało związane z kierunkiem studiów"/>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s v="nie dotyczy"/>
    <m/>
    <m/>
    <m/>
    <m/>
    <m/>
    <m/>
    <m/>
    <m/>
    <m/>
    <m/>
    <m/>
    <m/>
    <m/>
    <m/>
    <m/>
    <m/>
    <m/>
    <m/>
    <m/>
    <m/>
    <m/>
    <m/>
    <m/>
    <m/>
    <m/>
    <m/>
    <m/>
    <m/>
    <m/>
    <m/>
    <s v="kadra wykładowców, ciekawe kierunki studiów"/>
    <s v="oferta ciekawych praktyk studenckich związanych z kierunkiem studiów"/>
    <s v="przedmioty, które nie wydają się mieć związku z kierunkiem studiów"/>
    <x v="1"/>
    <n v="1988"/>
    <s v="miasto wojewódzkie"/>
    <m/>
    <m/>
    <m/>
    <m/>
  </r>
  <r>
    <n v="257"/>
    <n v="134"/>
    <n v="61"/>
    <s v="5.173.8.81"/>
    <s v="Link"/>
    <m/>
    <m/>
    <m/>
    <m/>
    <s v="Zakończono"/>
    <s v="2022-08-15 09:35:07"/>
    <s v="2022-08-15 09:58:57"/>
    <n v="1430"/>
    <n v="0"/>
    <x v="0"/>
    <x v="0"/>
    <m/>
    <m/>
    <m/>
    <m/>
    <m/>
    <m/>
    <m/>
    <m/>
    <m/>
    <m/>
    <m/>
    <m/>
    <m/>
    <m/>
    <m/>
    <x v="0"/>
    <s v="Politechnika Gdańska"/>
    <n v="1989"/>
    <s v="tak"/>
    <s v="architektura i budownictwo (ISCED '11 - 58)"/>
    <s v="zgadzam się"/>
    <s v="zgadzam się"/>
    <s v="raczej się zgadzam"/>
    <s v="raczej się zgadzam"/>
    <s v="raczej się zgadzam"/>
    <n v="0"/>
    <s v="powyżej 4000 zł, ale nie więcej niż 5000 zł"/>
    <s v="powyżej 4000 zł, ale nie więcej niż 5000 zł"/>
    <s v="Ukierunkowanie w pracy samorządowej, kontakty, umiejętność myślenia, poszerzenie horyzontów (również pozaedukacyjnie)"/>
    <s v=" "/>
    <s v=" "/>
    <s v="stacjonarne (dzienne) studia 2 stopnia (magisterskie)"/>
    <s v="jednolite mgr-inż"/>
    <x v="1"/>
    <n v="1"/>
    <s v="Politechnika Gdańska"/>
    <n v="2016"/>
    <s v="tak"/>
    <s v="inż. energetyka ; mgr. wentylacje"/>
    <s v="zgadzam się"/>
    <s v="zgadzam się"/>
    <s v="ani się zgadzam, ani nie zgadzam"/>
    <s v="raczej się nie zgadzam"/>
    <s v="raczej się zgadzam"/>
    <s v="praca jeszcze przed ukończeniem studiów"/>
    <s v="umiejętność uczenia się, przebranżowienia, wiedza techniczna, umiejętność myślenia"/>
    <s v="stacjonarne (dzienne) studia 2 stopnia (magisterskie)"/>
    <m/>
    <m/>
    <s v="Nie (przejście do kolejnej części badania)"/>
    <m/>
    <m/>
    <m/>
    <m/>
    <m/>
    <m/>
    <m/>
    <m/>
    <m/>
    <m/>
    <m/>
    <m/>
    <m/>
    <m/>
    <m/>
    <m/>
    <m/>
    <m/>
    <m/>
    <m/>
    <m/>
    <m/>
    <m/>
    <m/>
    <m/>
    <m/>
    <m/>
    <m/>
    <m/>
    <x v="0"/>
    <m/>
    <m/>
    <m/>
    <m/>
    <m/>
    <m/>
    <m/>
    <m/>
    <m/>
    <x v="0"/>
    <m/>
    <m/>
    <m/>
    <m/>
    <m/>
    <m/>
    <m/>
    <m/>
    <m/>
    <x v="0"/>
    <m/>
    <m/>
    <m/>
    <m/>
    <m/>
    <m/>
    <m/>
    <m/>
    <m/>
    <m/>
    <m/>
    <m/>
    <m/>
    <m/>
    <m/>
    <m/>
    <m/>
    <m/>
    <m/>
    <m/>
    <m/>
    <m/>
    <m/>
    <m/>
    <m/>
    <m/>
    <m/>
    <m/>
    <x v="0"/>
    <m/>
    <m/>
    <m/>
    <m/>
    <m/>
    <m/>
    <m/>
    <m/>
    <m/>
    <m/>
    <m/>
    <m/>
    <m/>
    <m/>
    <m/>
    <m/>
    <m/>
    <m/>
    <m/>
    <m/>
    <m/>
    <m/>
    <m/>
    <m/>
    <m/>
    <x v="2"/>
    <s v="przedstawiciel władz gminy"/>
    <s v="Gmina Czersk"/>
    <n v="1"/>
    <s v="Politechnika Gdańska"/>
    <s v="zgadzam się"/>
    <s v="zgadzam się"/>
    <s v="zgadzam się"/>
    <s v="zgadzam się"/>
    <s v="zgadzam się"/>
    <s v="zgadzam się"/>
    <s v="zgadzam się"/>
    <m/>
    <s v="pozytywny wpływ na przedsięwzięcia w regionie, komunikacja, zagospodarowanie przestrzeni"/>
    <s v="Nie (przejście do kolejnej części badania)"/>
    <m/>
    <m/>
    <m/>
    <m/>
    <m/>
    <m/>
    <m/>
    <m/>
    <m/>
    <m/>
    <m/>
    <m/>
    <m/>
    <m/>
    <m/>
    <m/>
    <m/>
    <m/>
    <m/>
    <s v=" "/>
    <s v=" "/>
    <s v=" "/>
    <x v="1"/>
    <n v="1965"/>
    <s v="miasto gminne"/>
    <m/>
    <s v="Studia podyplomowe"/>
    <m/>
    <s v="B01"/>
  </r>
  <r>
    <n v="94"/>
    <n v="57"/>
    <n v="32"/>
    <s v="37.47.232.179"/>
    <s v="Link"/>
    <s v="https://ankietaplus.pl/ankiety/analiza/statystyki/13308"/>
    <m/>
    <m/>
    <m/>
    <s v="Zakończono"/>
    <s v="2020-07-25 20:34:40"/>
    <s v="2020-07-25 20:54:26"/>
    <n v="1186"/>
    <n v="0"/>
    <x v="0"/>
    <x v="1"/>
    <s v="Uniwersytet Gdański"/>
    <s v="nie"/>
    <s v="Filologia romańska"/>
    <s v="ani się zgadzam, ani nie zgadzam"/>
    <s v="raczej się nie zgadzam"/>
    <s v="nie zgadzam się"/>
    <s v="Praca przed zakończeniem studiów"/>
    <s v="powyżej 2000 zł, ale nie więcej niż 3000 zł"/>
    <s v="powyżej 3000 zł, ale nie więcej niż 4000 zł"/>
    <s v="Samodzielność"/>
    <s v="Improwizacja"/>
    <s v="Brak kreatywności"/>
    <s v="stacjonarne (dzienne) studia 2 stopnia (magisterskie)"/>
    <m/>
    <n v="4"/>
    <x v="1"/>
    <m/>
    <m/>
    <m/>
    <m/>
    <m/>
    <m/>
    <m/>
    <m/>
    <m/>
    <m/>
    <m/>
    <m/>
    <m/>
    <m/>
    <m/>
    <m/>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m/>
    <m/>
    <m/>
    <m/>
    <m/>
    <m/>
    <m/>
    <m/>
    <m/>
    <m/>
    <m/>
    <m/>
    <m/>
    <m/>
    <m/>
    <m/>
    <m/>
    <m/>
    <m/>
    <m/>
    <m/>
    <m/>
    <m/>
    <m/>
    <m/>
    <m/>
    <m/>
    <m/>
    <m/>
    <m/>
    <m/>
    <s v="uczelnia kształci samodzielność; uczelnia może być dobra, ale decydujące jest podejście studentów - lepsze wyniki osiągają ci którzy mają jasny cel swojej nauki"/>
    <s v="dobra atmosfera wśród grupy studentów"/>
    <s v="brak odpowiedniego przygotowania do zawodu"/>
    <x v="0"/>
    <n v="1993"/>
    <s v="wieś"/>
    <m/>
    <m/>
    <m/>
    <m/>
  </r>
  <r>
    <n v="12"/>
    <n v="11"/>
    <n v="35"/>
    <s v="79.163.198.36"/>
    <s v="Link"/>
    <m/>
    <m/>
    <m/>
    <m/>
    <s v="Zakończono"/>
    <s v="2020-05-06 19:59:13"/>
    <s v="2020-05-06 20:05:02"/>
    <n v="349"/>
    <n v="0"/>
    <x v="0"/>
    <x v="0"/>
    <m/>
    <m/>
    <m/>
    <m/>
    <m/>
    <m/>
    <m/>
    <m/>
    <m/>
    <m/>
    <m/>
    <m/>
    <m/>
    <m/>
    <m/>
    <x v="0"/>
    <s v="Politechnika Gdańska"/>
    <n v="2010"/>
    <s v="tak"/>
    <s v="Matematyka Stosowana"/>
    <s v="nie zgadzam się"/>
    <s v="raczej się nie zgadzam"/>
    <s v="raczej się zgadzam"/>
    <s v="raczej się zgadzam"/>
    <s v="raczej się zgadzam"/>
    <n v="6"/>
    <s v="powyżej 1000 zł, ale nie więcej niż 2000 zł"/>
    <s v="powyżej 2000 zł, ale nie więcej niż 3000 zł"/>
    <s v="Umiejętność samodokształcania się"/>
    <s v="Znajomi"/>
    <s v="Poziom nauczania"/>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Poziom edukacji"/>
    <s v="Powinna kadra"/>
    <s v="Może wpłynąć kadra"/>
    <x v="1"/>
    <n v="1985"/>
    <s v="miasto wojewódzkie"/>
    <m/>
    <m/>
    <m/>
    <m/>
  </r>
  <r>
    <n v="221"/>
    <s v="BRAK"/>
    <n v="23"/>
    <s v="158.233.246.26"/>
    <s v="Link"/>
    <m/>
    <m/>
    <m/>
    <m/>
    <s v="W trakcie"/>
    <s v="2020-12-21 11:06:03"/>
    <s v="2020-12-21 11:06:03"/>
    <n v="0"/>
    <n v="0"/>
    <x v="0"/>
    <x v="1"/>
    <s v="Uniwersytet Gdański"/>
    <s v="nie"/>
    <s v="Informatyka i Ekonometria"/>
    <s v="raczej się nie zgadzam"/>
    <s v="nie zgadzam się"/>
    <s v="zdecydowanie się nie zgadzam"/>
    <s v="Juź pracuję"/>
    <s v="powyżej 8000 zł, ale nie więcej niż 9000 zł"/>
    <s v="powyżej 10.000 zł"/>
    <s v="robię tylko papier"/>
    <s v="byle jak najłatwiej żeby zdobyć papier"/>
    <s v="nuda, upierdliwi wykładowcy, prace w grupach"/>
    <s v="niestacjonarne (zaoczne) studia 1 stopnia (licencjackie / inżynierskie)"/>
    <m/>
    <n v="5"/>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2"/>
    <m/>
    <m/>
    <m/>
    <m/>
    <m/>
    <m/>
  </r>
  <r>
    <n v="16"/>
    <n v="15"/>
    <n v="34"/>
    <s v="5.173.194.58"/>
    <s v="Link"/>
    <m/>
    <m/>
    <m/>
    <m/>
    <s v="Zakończono"/>
    <s v="2020-05-13 16:46:26"/>
    <s v="2020-05-13 16:59:27"/>
    <n v="781"/>
    <n v="0"/>
    <x v="0"/>
    <x v="0"/>
    <m/>
    <m/>
    <m/>
    <m/>
    <m/>
    <m/>
    <m/>
    <m/>
    <m/>
    <m/>
    <m/>
    <m/>
    <m/>
    <m/>
    <m/>
    <x v="0"/>
    <s v="Politechnika Gdańska"/>
    <n v="2010"/>
    <s v="tak"/>
    <s v="Biotechnologia"/>
    <s v="zgadzam się"/>
    <s v="raczej się nie zgadzam"/>
    <s v="ani się zgadzam, ani nie zgadzam"/>
    <s v="raczej się zgadzam"/>
    <s v="raczej się zgadzam"/>
    <s v="rozpoczęcie studium doktoranckiego - od razu po studiach, pierwsze zatrudnienie - po 5 roku studium doktoranckiego"/>
    <s v="powyżej 2000 zł, ale nie więcej niż 3000 zł"/>
    <s v="powyżej 2000 zł, ale nie więcej niż 3000 zł"/>
    <s v="wzbudzenie ciekawości studiowanymi zagadnieniami, zdobycie umiejętności miękkich"/>
    <s v="wymagający, jednocześnie serdeczni prowadzący zajęcia, przyjaciele z kierunku"/>
    <s v="perspektywa trudności znalezienia ciekawej pracy"/>
    <s v="stacjonarne (dzienne) studia 2 stopnia (magisterskie)"/>
    <m/>
    <x v="0"/>
    <m/>
    <m/>
    <m/>
    <m/>
    <m/>
    <m/>
    <m/>
    <m/>
    <m/>
    <m/>
    <m/>
    <m/>
    <m/>
    <m/>
    <m/>
    <m/>
    <m/>
    <m/>
    <m/>
    <m/>
    <m/>
    <m/>
    <m/>
    <m/>
    <m/>
    <m/>
    <m/>
    <m/>
    <m/>
    <m/>
    <m/>
    <m/>
    <m/>
    <m/>
    <m/>
    <m/>
    <m/>
    <m/>
    <m/>
    <m/>
    <m/>
    <m/>
    <m/>
    <m/>
    <m/>
    <x v="0"/>
    <m/>
    <m/>
    <m/>
    <m/>
    <m/>
    <m/>
    <m/>
    <m/>
    <m/>
    <x v="0"/>
    <m/>
    <m/>
    <m/>
    <m/>
    <m/>
    <m/>
    <m/>
    <m/>
    <m/>
    <x v="0"/>
    <m/>
    <m/>
    <m/>
    <m/>
    <m/>
    <m/>
    <m/>
    <m/>
    <m/>
    <m/>
    <m/>
    <m/>
    <m/>
    <m/>
    <m/>
    <m/>
    <m/>
    <m/>
    <m/>
    <m/>
    <m/>
    <m/>
    <m/>
    <m/>
    <m/>
    <m/>
    <m/>
    <m/>
    <x v="0"/>
    <m/>
    <s v="nie dotyczy"/>
    <m/>
    <m/>
    <m/>
    <m/>
    <m/>
    <m/>
    <m/>
    <m/>
    <m/>
    <m/>
    <m/>
    <m/>
    <m/>
    <m/>
    <m/>
    <m/>
    <m/>
    <m/>
    <m/>
    <m/>
    <m/>
    <m/>
    <m/>
    <x v="0"/>
    <s v="nie dotyczy"/>
    <m/>
    <m/>
    <m/>
    <m/>
    <m/>
    <m/>
    <m/>
    <m/>
    <m/>
    <m/>
    <m/>
    <m/>
    <m/>
    <m/>
    <m/>
    <m/>
    <m/>
    <m/>
    <m/>
    <m/>
    <m/>
    <m/>
    <m/>
    <m/>
    <m/>
    <m/>
    <m/>
    <m/>
    <m/>
    <m/>
    <m/>
    <m/>
    <s v="prowadzący zajęć będący praktykami w swojej dziedzinie, proporcja zajęć teoretycznej i zajęć praktycznych na korzyść zajęć praktycznych, kontakt z przemysłem"/>
    <s v="dobry kontakt z prowadzącymi zajęcia"/>
    <s v="przeczucie obniżania wymagań, przeczucie robienia swego rodzaju biznesu na studentach - liczy się ilość osób, a nie jakoś usług"/>
    <x v="0"/>
    <n v="1986"/>
    <s v="miasto wojewódzkie"/>
    <m/>
    <s v="ukończone studium doktoranckie z tytułem doktora nauk chemicznych, studium pedagogiczne, studia podyplomowe z pedagogiki przedszkolnej i wczesnoszkolnej"/>
    <m/>
    <m/>
  </r>
  <r>
    <n v="70"/>
    <n v="39"/>
    <n v="54"/>
    <s v="188.147.109.77"/>
    <s v="Link"/>
    <m/>
    <m/>
    <m/>
    <m/>
    <s v="Zakończono"/>
    <s v="2020-05-18 00:00:06"/>
    <s v="2020-05-18 00:31:14"/>
    <n v="1868"/>
    <n v="0"/>
    <x v="0"/>
    <x v="0"/>
    <m/>
    <m/>
    <m/>
    <m/>
    <m/>
    <m/>
    <m/>
    <m/>
    <m/>
    <m/>
    <m/>
    <m/>
    <m/>
    <m/>
    <m/>
    <x v="0"/>
    <s v="Politechnika Gdańska"/>
    <n v="2008"/>
    <s v="tak"/>
    <s v="architektura i urbanistyka"/>
    <s v="raczej się zgadzam"/>
    <s v="ani się zgadzam, ani nie zgadzam"/>
    <s v="raczej się zgadzam"/>
    <s v="nie zgadzam się"/>
    <s v="nie zgadzam się"/>
    <s v="założenie własnej firmy"/>
    <s v="powyżej 1000 zł, ale nie więcej niż 2000 zł"/>
    <s v="powyżej 2000 zł, ale nie więcej niż 3000 zł"/>
    <s v="wiedza teoretyczna"/>
    <s v="Ludzie których poznałem, możliwość wyjazdu na erasmusa."/>
    <s v="Kompletny brak kontaktu z praktyką zawodową, biznesem."/>
    <s v="stacjonarne (dzienne) studia 1 stopnia (licencjackie / inżynierskie)"/>
    <m/>
    <x v="0"/>
    <m/>
    <m/>
    <m/>
    <m/>
    <m/>
    <m/>
    <m/>
    <m/>
    <m/>
    <m/>
    <m/>
    <m/>
    <m/>
    <m/>
    <m/>
    <m/>
    <m/>
    <m/>
    <m/>
    <m/>
    <m/>
    <m/>
    <m/>
    <m/>
    <m/>
    <m/>
    <m/>
    <m/>
    <m/>
    <m/>
    <m/>
    <m/>
    <m/>
    <m/>
    <m/>
    <m/>
    <m/>
    <m/>
    <m/>
    <m/>
    <m/>
    <m/>
    <m/>
    <m/>
    <m/>
    <x v="0"/>
    <m/>
    <m/>
    <m/>
    <m/>
    <m/>
    <m/>
    <m/>
    <m/>
    <m/>
    <x v="1"/>
    <s v="ASP w Gdańsku"/>
    <s v="Architektura i Wzornictwo"/>
    <s v="zgadzam się"/>
    <s v="raczej się zgadzam"/>
    <s v="ani się zgadzam, ani nie zgadzam"/>
    <s v="raczej się zgadzam"/>
    <s v="raczej się nie zgadzam"/>
    <s v="raczej się nie zgadzam"/>
    <s v="Rozwój zdolności manualnych, baza kontaktów."/>
    <x v="0"/>
    <m/>
    <m/>
    <m/>
    <m/>
    <m/>
    <m/>
    <m/>
    <m/>
    <m/>
    <m/>
    <m/>
    <m/>
    <m/>
    <m/>
    <m/>
    <m/>
    <m/>
    <m/>
    <m/>
    <m/>
    <m/>
    <m/>
    <m/>
    <m/>
    <m/>
    <m/>
    <m/>
    <m/>
    <x v="2"/>
    <s v="Nie"/>
    <n v="1"/>
    <s v="Akademia Sztuk Pięknych w Gdańsku"/>
    <s v="raczej się zgadzam"/>
    <s v="zgadzam się"/>
    <s v="nie zgadzam się"/>
    <s v="Tak"/>
    <s v="Znajomość sztuk projektowych, kontakt z klientem, sprzedaż."/>
    <s v="Projektowanie, sprzedaż."/>
    <s v="Nie (przejście do kolejnej części badania)"/>
    <m/>
    <m/>
    <m/>
    <m/>
    <m/>
    <m/>
    <m/>
    <m/>
    <m/>
    <m/>
    <m/>
    <m/>
    <m/>
    <m/>
    <m/>
    <x v="0"/>
    <s v="nie dotyczy"/>
    <m/>
    <s v="nie dotyczy"/>
    <m/>
    <m/>
    <m/>
    <m/>
    <m/>
    <m/>
    <m/>
    <m/>
    <m/>
    <m/>
    <m/>
    <m/>
    <m/>
    <m/>
    <m/>
    <m/>
    <m/>
    <m/>
    <m/>
    <m/>
    <m/>
    <m/>
    <m/>
    <m/>
    <m/>
    <m/>
    <m/>
    <m/>
    <m/>
    <m/>
    <s v="Zakres programu nauczania. Dostęp do praktyk zawodowych. Wyniki studentów w konkursach i prezentacja wybranych projektów uczelni na targach "/>
    <s v="Możliwość zdobywania wiedzy merytorycznej. Możliwości sprawdzenia kilku sposobów nauczania ( korzystając z erasmusa za granicą), Integracja społeczna wśród studentów."/>
    <s v="Brak praktyk zawodowych. Brak połączenia z biznesem. Brak kursów o wykorzystaniu wiedzy nabytej na uczelni podczas realnej pracy zawodowe lub prowadzenia własnej działalności."/>
    <x v="1"/>
    <n v="1983"/>
    <s v="miasto wojewódzkie"/>
    <m/>
    <s v="stopień doktora"/>
    <m/>
    <s v="Powodzenia;)"/>
  </r>
  <r>
    <n v="232"/>
    <s v="BRAK"/>
    <n v="22"/>
    <s v="89.64.102.166"/>
    <s v="Link"/>
    <m/>
    <m/>
    <m/>
    <m/>
    <s v="W trakcie"/>
    <s v="2020-12-23 20:17:37"/>
    <s v="2020-12-23 20:17:37"/>
    <n v="0"/>
    <n v="0"/>
    <x v="0"/>
    <x v="1"/>
    <s v="Uniwersytet Gdański"/>
    <s v="nie"/>
    <s v="Zarządzanie marketing"/>
    <s v="zdecydowanie się nie zgadzam"/>
    <s v="nie zgadzam się"/>
    <s v="ani się zgadzam, ani nie zgadzam"/>
    <s v="Praca podczas studiów"/>
    <s v="powyżej 2000 zł, ale nie więcej niż 3000 zł"/>
    <s v="powyżej 3000 zł, ale nie więcej niż 4000 zł"/>
    <m/>
    <s v="Interesuje mnie przedmiot studiów"/>
    <s v="Mam poczucie że uczymy się teorii która nie jest tak przydatna w pracy"/>
    <s v="stacjonarne (dzienne) studia 2 stopnia (magisterskie)"/>
    <m/>
    <n v="3"/>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2"/>
    <m/>
    <m/>
    <m/>
    <m/>
    <m/>
    <m/>
  </r>
  <r>
    <n v="86"/>
    <n v="51"/>
    <n v="43"/>
    <s v="81.190.56.54"/>
    <s v="Link"/>
    <s v="https://ankietaplus.pl/ankiety/analiza/wyniki-pojedyncze/13308"/>
    <m/>
    <m/>
    <m/>
    <s v="Zakończono"/>
    <s v="2020-06-08 02:14:57"/>
    <s v="2020-06-08 02:50:35"/>
    <n v="2138"/>
    <n v="0"/>
    <x v="0"/>
    <x v="0"/>
    <m/>
    <m/>
    <m/>
    <m/>
    <m/>
    <m/>
    <m/>
    <m/>
    <m/>
    <m/>
    <m/>
    <m/>
    <m/>
    <m/>
    <m/>
    <x v="0"/>
    <s v="Politechnika Gdańska"/>
    <n v="2005"/>
    <s v="tak"/>
    <s v="architektura"/>
    <s v="raczej się zgadzam"/>
    <s v="raczej się zgadzam"/>
    <s v="raczej się zgadzam"/>
    <s v="nie zgadzam się"/>
    <s v="raczej się nie zgadzam"/>
    <s v="praca przed zakończeniem studiów"/>
    <s v="powyżej 1000 zł, ale nie więcej niż 2000 zł"/>
    <s v="powyżej 2000 zł, ale nie więcej niż 3000 zł"/>
    <s v="kontakty zawodowe; możliwość wyjazdu za granicę"/>
    <s v="-"/>
    <s v="-"/>
    <s v="stacjonarne (dzienne) studia 2 stopnia (magisterskie)"/>
    <s v="jednolite"/>
    <x v="0"/>
    <m/>
    <m/>
    <m/>
    <m/>
    <m/>
    <m/>
    <m/>
    <m/>
    <m/>
    <m/>
    <m/>
    <m/>
    <m/>
    <m/>
    <m/>
    <m/>
    <m/>
    <m/>
    <m/>
    <m/>
    <m/>
    <m/>
    <m/>
    <m/>
    <m/>
    <m/>
    <m/>
    <m/>
    <m/>
    <m/>
    <m/>
    <m/>
    <m/>
    <m/>
    <m/>
    <m/>
    <m/>
    <m/>
    <m/>
    <m/>
    <m/>
    <m/>
    <m/>
    <m/>
    <m/>
    <x v="0"/>
    <m/>
    <m/>
    <m/>
    <m/>
    <m/>
    <m/>
    <m/>
    <m/>
    <m/>
    <x v="0"/>
    <m/>
    <m/>
    <m/>
    <m/>
    <m/>
    <m/>
    <m/>
    <m/>
    <m/>
    <x v="0"/>
    <m/>
    <m/>
    <m/>
    <m/>
    <m/>
    <m/>
    <m/>
    <m/>
    <m/>
    <m/>
    <m/>
    <m/>
    <m/>
    <m/>
    <m/>
    <m/>
    <m/>
    <m/>
    <m/>
    <m/>
    <m/>
    <m/>
    <m/>
    <m/>
    <m/>
    <m/>
    <m/>
    <m/>
    <x v="2"/>
    <s v="Tak"/>
    <n v="1"/>
    <s v="PG"/>
    <s v="raczej się zgadzam"/>
    <s v="raczej się zgadzam"/>
    <s v="ani się zgadzam, ani nie zgadzam"/>
    <s v="Tak"/>
    <s v="systematyczność, pracowitość, doświadczenie, kreatywność"/>
    <s v="architekci"/>
    <s v="Nie (przejście do kolejnej części badania)"/>
    <m/>
    <m/>
    <m/>
    <m/>
    <m/>
    <m/>
    <m/>
    <m/>
    <m/>
    <m/>
    <m/>
    <m/>
    <m/>
    <m/>
    <m/>
    <x v="0"/>
    <s v="nie dotyczy"/>
    <m/>
    <m/>
    <m/>
    <m/>
    <m/>
    <m/>
    <m/>
    <m/>
    <m/>
    <m/>
    <m/>
    <m/>
    <m/>
    <m/>
    <m/>
    <m/>
    <m/>
    <m/>
    <m/>
    <m/>
    <m/>
    <m/>
    <m/>
    <m/>
    <m/>
    <m/>
    <m/>
    <m/>
    <m/>
    <m/>
    <m/>
    <m/>
    <s v="kadra profesorska z praktykami (z doświadczeniem); przygotowanie techniczne"/>
    <s v="-"/>
    <s v="-"/>
    <x v="0"/>
    <n v="1981"/>
    <s v="miasto wojewódzkie"/>
    <m/>
    <m/>
    <m/>
    <m/>
  </r>
  <r>
    <n v="57"/>
    <s v="BRAK"/>
    <n v="24"/>
    <s v="176.115.247.196"/>
    <s v="Link"/>
    <s v="https://m.facebook.com/"/>
    <m/>
    <m/>
    <m/>
    <s v="W trakcie"/>
    <s v="2020-05-16 20:14:51"/>
    <s v="2020-05-16 20:14:51"/>
    <n v="0"/>
    <n v="0"/>
    <x v="0"/>
    <x v="1"/>
    <s v="Uniwersytet Jagielloński"/>
    <s v="nie"/>
    <s v="Polonistyka antropologiczno-kulturowa"/>
    <s v="zdecydowanie się zgadzam"/>
    <s v="zdecydowanie się zgadzam"/>
    <s v="ani się zgadzam, ani nie zgadzam"/>
    <s v="Zamierzam uzyskać je jeszcze przed ukończeniem studiów."/>
    <s v="powyżej 2000 zł, ale nie więcej niż 3000 zł"/>
    <s v="powyżej 2000 zł, ale nie więcej niż 3000 zł"/>
    <s v="Umiejętności które można zdobyć podczas studiów są zbyt szerokim i indywidualnym tematem żeby je tu omówić."/>
    <s v="Trafny wybór kierunku i swoboda w wyborze dróg rozwoju."/>
    <s v="EPIDEMIA"/>
    <s v="stacjonarne (dzienne) studia 1 stopnia (licencjackie / inżynierskie)"/>
    <m/>
    <n v="6"/>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m/>
    <m/>
    <m/>
    <x v="2"/>
    <m/>
    <m/>
    <m/>
    <m/>
    <m/>
    <m/>
  </r>
  <r>
    <n v="260"/>
    <n v="137"/>
    <n v="66"/>
    <s v="5.173.8.81"/>
    <s v="Link"/>
    <m/>
    <m/>
    <m/>
    <m/>
    <s v="Zakończono"/>
    <s v="2022-08-15 10:35:41"/>
    <s v="2022-08-15 10:47:28"/>
    <n v="707"/>
    <n v="0"/>
    <x v="0"/>
    <x v="0"/>
    <m/>
    <m/>
    <m/>
    <m/>
    <m/>
    <m/>
    <m/>
    <m/>
    <m/>
    <m/>
    <m/>
    <m/>
    <m/>
    <m/>
    <m/>
    <x v="0"/>
    <s v="Politechnika Gdańska"/>
    <n v="1985"/>
    <s v="tak"/>
    <s v="architektura i budownictwo (ISCED '11 - 58)"/>
    <s v="zgadzam się"/>
    <s v="zgadzam się"/>
    <s v="ani się zgadzam, ani nie zgadzam"/>
    <s v="nie zgadzam się"/>
    <s v="zgadzam się"/>
    <s v="praca przed ukończeniem studiów"/>
    <s v="do 1000 zł"/>
    <s v="powyżej 5000 zł, ale nie więcej niż 6000 zł"/>
    <s v="umiejętności uczenia się, wnioskowania logicznego, tworzenia"/>
    <s v=" "/>
    <s v=" "/>
    <s v="stacjonarne (dzienne) studia 2 stopnia (magisterskie)"/>
    <s v="jednolite magisterskie"/>
    <x v="1"/>
    <n v="1"/>
    <s v="Politechnika Gdańska"/>
    <n v="2018"/>
    <s v="tak"/>
    <s v="inżynieria maszyn i urządzeń (ISCED '11 - 52)"/>
    <s v="ani się zgadzam, ani nie zgadzam"/>
    <s v="ani się zgadzam, ani nie zgadzam"/>
    <s v="raczej się nie zgadzam"/>
    <s v="raczej się zgadzam"/>
    <s v="nie dotyczy"/>
    <n v="12"/>
    <s v="wiedza teoretyczna, mało wiedzy praktycznej"/>
    <s v="stacjonarne (dzienne) studia 2 stopnia (magisterskie)"/>
    <m/>
    <m/>
    <s v="Nie (przejście do kolejnej części badania)"/>
    <m/>
    <m/>
    <m/>
    <m/>
    <m/>
    <m/>
    <m/>
    <m/>
    <m/>
    <m/>
    <m/>
    <m/>
    <m/>
    <m/>
    <m/>
    <m/>
    <m/>
    <m/>
    <m/>
    <m/>
    <m/>
    <m/>
    <m/>
    <m/>
    <m/>
    <m/>
    <m/>
    <m/>
    <m/>
    <x v="0"/>
    <m/>
    <m/>
    <m/>
    <m/>
    <m/>
    <m/>
    <m/>
    <m/>
    <m/>
    <x v="0"/>
    <m/>
    <m/>
    <m/>
    <m/>
    <m/>
    <m/>
    <m/>
    <m/>
    <m/>
    <x v="0"/>
    <m/>
    <m/>
    <m/>
    <m/>
    <m/>
    <m/>
    <m/>
    <m/>
    <m/>
    <m/>
    <m/>
    <m/>
    <m/>
    <m/>
    <m/>
    <m/>
    <m/>
    <m/>
    <m/>
    <m/>
    <m/>
    <m/>
    <m/>
    <m/>
    <m/>
    <m/>
    <m/>
    <m/>
    <x v="2"/>
    <s v="Tak"/>
    <n v="2"/>
    <s v="Politechnika Gdańska"/>
    <s v="ani się zgadzam, ani nie zgadzam"/>
    <s v="raczej się zgadzam"/>
    <s v="ani się zgadzam, ani nie zgadzam"/>
    <s v="Tak"/>
    <s v="Informatyka - umiejętności zawodowe, uczenie się, kreatywność"/>
    <s v="Informatyka, wsparcie techniczne"/>
    <s v="Tak (przejście do analogicznej części oceny dotyczącej drugiej uczelni)"/>
    <s v="Uniwersytet Gdański"/>
    <s v="raczej się zgadzam"/>
    <s v="raczej się zgadzam"/>
    <s v="ani się zgadzam, ani nie zgadzam"/>
    <s v="Tak"/>
    <s v="Kontakt z ludźmi, wiedza o zarządzaniu, uczenie się, kreatywność"/>
    <s v="Wdrażanie, sprzedaż, marketing"/>
    <s v="Nie (przejście do kolejnej części badania)"/>
    <m/>
    <m/>
    <m/>
    <m/>
    <m/>
    <m/>
    <m/>
    <x v="0"/>
    <m/>
    <m/>
    <m/>
    <m/>
    <m/>
    <m/>
    <m/>
    <m/>
    <m/>
    <m/>
    <m/>
    <m/>
    <m/>
    <m/>
    <m/>
    <m/>
    <m/>
    <m/>
    <m/>
    <m/>
    <m/>
    <m/>
    <m/>
    <m/>
    <m/>
    <m/>
    <m/>
    <m/>
    <m/>
    <m/>
    <m/>
    <m/>
    <m/>
    <s v=" "/>
    <s v=" "/>
    <s v=" "/>
    <x v="1"/>
    <n v="1959"/>
    <s v="miasto wojewódzkie"/>
    <m/>
    <s v="Podyplomowe - Zarządzanie"/>
    <m/>
    <s v="[A01]"/>
  </r>
  <r>
    <n v="32"/>
    <n v="22"/>
    <n v="36"/>
    <s v="5.173.72.244"/>
    <s v="Link"/>
    <s v="http://m.facebook.com/"/>
    <m/>
    <m/>
    <m/>
    <s v="Zakończono"/>
    <s v="2020-05-16 16:50:05"/>
    <s v="2020-05-16 16:58:15"/>
    <n v="490"/>
    <n v="0"/>
    <x v="0"/>
    <x v="1"/>
    <s v="Uniwersytet Jagielloński"/>
    <s v="nie"/>
    <s v="Filologia polska"/>
    <s v="zdecydowanie się zgadzam"/>
    <s v="zdecydowanie się zgadzam"/>
    <s v="zdecydowanie się zgadzam"/>
    <s v="4 lata - chciałabym dostać pracę na uczelni po studiach doktoranckich."/>
    <s v="powyżej 2000 zł, ale nie więcej niż 3000 zł"/>
    <s v="powyżej 2000 zł, ale nie więcej niż 3000 zł"/>
    <s v="Poszerzenia wiedzy z zakresu literaturoznawstwa i kompetencji badawczych, np. umiejętność pisania artykułów, a także kompetencji organizacyjnych, np. w zakresie organizacji konferencji naukowych, wydarzeń kulturalnych."/>
    <s v="wykładowcy, oferta przedmiotów, miejsce - zabytkowe budynki w centrum Krakowa, atmosfera na Wydziale, wydarzenia organizowane przez koła naukowe"/>
    <s v="Brak. Jestem całkowicie zadowolona z moich studiów."/>
    <s v="stacjonarne (dzienne) studia 2 stopnia (magisterskie)"/>
    <s v="Licencjackie również ukończyłam na tej samej uczelni i kierunku."/>
    <n v="10"/>
    <x v="1"/>
    <m/>
    <m/>
    <m/>
    <m/>
    <m/>
    <m/>
    <m/>
    <m/>
    <m/>
    <m/>
    <m/>
    <m/>
    <m/>
    <m/>
    <m/>
    <m/>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Kadra naukowa, oferta przedmiotów, przyjmowani studenciKadra naukowa"/>
    <s v="Wykładowcy, możliwość stworzenia własnego programu studiów"/>
    <s v="Brak"/>
    <x v="0"/>
    <n v="1996"/>
    <s v="miasto wojewódzkie"/>
    <m/>
    <s v="Ukończone studia licencjackie, również na filologii polskiej"/>
    <s v="Przerwałam studia na filologii francuskiej"/>
    <m/>
  </r>
  <r>
    <n v="5"/>
    <n v="5"/>
    <n v="83"/>
    <s v="37.47.200.135"/>
    <s v="Link"/>
    <m/>
    <m/>
    <m/>
    <m/>
    <s v="Zakończono"/>
    <s v="2020-05-04 11:21:12"/>
    <s v="2020-05-04 11:48:51"/>
    <n v="1659"/>
    <n v="0"/>
    <x v="0"/>
    <x v="0"/>
    <m/>
    <m/>
    <m/>
    <m/>
    <m/>
    <m/>
    <m/>
    <m/>
    <m/>
    <m/>
    <m/>
    <m/>
    <m/>
    <m/>
    <m/>
    <x v="0"/>
    <s v="Uniwersytet Gdański"/>
    <n v="1999"/>
    <s v="nie"/>
    <s v="germanistyka"/>
    <s v="raczej się zgadzam"/>
    <s v="raczej się zgadzam"/>
    <s v="zgadzam się"/>
    <s v="zgadzam się"/>
    <s v="zdecydowanie się zgadzam"/>
    <s v="praca już przed ukończeniem studiów"/>
    <s v="powyżej 3000 zł, ale nie więcej niż 4000 zł"/>
    <s v="powyżej 4000 zł, ale nie więcej niż 5000 zł"/>
    <s v="dostęp do biblioteki fachowej"/>
    <s v="studia zaoczne"/>
    <s v="połowa zajęć - pedagodzy nieprzygotowani, zajęcia bezwartościowe"/>
    <s v="niestacjonarne (zaoczne) studia 2 stopnia (magisterskie)"/>
    <m/>
    <x v="1"/>
    <n v="3"/>
    <s v="Politechnika Gdańska"/>
    <n v="2011"/>
    <s v="tak"/>
    <s v="Zarządzanie i Marketing"/>
    <s v="zdecydowanie się zgadzam"/>
    <s v="zdecydowanie się zgadzam"/>
    <s v="zgadzam się"/>
    <s v="raczej się zgadzam"/>
    <s v="zgadzam się"/>
    <n v="1"/>
    <s v="szerokie poznanie branży"/>
    <s v="stacjonarne (dzienne) studia 2 stopnia (magisterskie)"/>
    <m/>
    <s v="szkoła muzyczna II st."/>
    <s v="Tak (przejście do analogicznej części oceny dotyczącej drugiego podopiecznego)"/>
    <s v="Akademia Muzyczna w Gdańsku"/>
    <n v="2011"/>
    <s v="nie"/>
    <s v="instrumentalistyka"/>
    <s v="ani się zgadzam, ani nie zgadzam"/>
    <s v="raczej się nie zgadzam"/>
    <s v="nie zgadzam się"/>
    <s v="raczej się nie zgadzam"/>
    <s v="raczej się zgadzam"/>
    <s v="praca przed ukończeniem studiów"/>
    <m/>
    <s v="stacjonarne (dzienne) studia 1 stopnia (licencjackie / inżynierskie)"/>
    <m/>
    <s v="szkoła muzyczna II st."/>
    <s v="Tak (przejście do analogicznej części oceny dotyczącej trzeciego podopiecznego)"/>
    <s v="Uniwersytet Gdański"/>
    <n v="2016"/>
    <s v="nie"/>
    <s v="logopedia"/>
    <s v="zdecydowanie się zgadzam"/>
    <s v="zdecydowanie się zgadzam"/>
    <s v="zdecydowanie się zgadzam"/>
    <s v="zgadzam się"/>
    <s v="zgadzam się"/>
    <n v="1"/>
    <s v="szeroka znajomość branży"/>
    <s v="stacjonarne (dzienne) studia 2 stopnia (magisterskie)"/>
    <m/>
    <s v="szkoła muzyczna II st."/>
    <x v="0"/>
    <m/>
    <m/>
    <m/>
    <m/>
    <m/>
    <m/>
    <m/>
    <m/>
    <m/>
    <x v="1"/>
    <s v="Akademia Muzyczna w Gdańsku"/>
    <s v="Studium Języków Obcych"/>
    <s v="raczej się zgadzam"/>
    <s v="zdecydowanie się zgadzam"/>
    <s v="zdecydowanie się zgadzam"/>
    <s v="ani się zgadzam, ani nie zgadzam"/>
    <s v="ani się zgadzam, ani nie zgadzam"/>
    <s v="ani się zgadzam, ani nie zgadzam"/>
    <s v="kontakty w branży, wyjazdy zagraniczne"/>
    <x v="0"/>
    <m/>
    <m/>
    <m/>
    <m/>
    <m/>
    <m/>
    <m/>
    <m/>
    <m/>
    <m/>
    <m/>
    <m/>
    <m/>
    <m/>
    <m/>
    <m/>
    <m/>
    <m/>
    <m/>
    <m/>
    <m/>
    <m/>
    <m/>
    <m/>
    <m/>
    <m/>
    <m/>
    <m/>
    <x v="0"/>
    <m/>
    <m/>
    <m/>
    <m/>
    <m/>
    <m/>
    <m/>
    <m/>
    <m/>
    <m/>
    <m/>
    <m/>
    <m/>
    <m/>
    <m/>
    <m/>
    <m/>
    <m/>
    <m/>
    <m/>
    <m/>
    <m/>
    <m/>
    <m/>
    <m/>
    <x v="0"/>
    <s v="nie dotyczy"/>
    <m/>
    <m/>
    <m/>
    <m/>
    <m/>
    <m/>
    <m/>
    <m/>
    <m/>
    <m/>
    <m/>
    <m/>
    <m/>
    <m/>
    <m/>
    <m/>
    <m/>
    <m/>
    <m/>
    <m/>
    <m/>
    <m/>
    <m/>
    <m/>
    <m/>
    <m/>
    <m/>
    <m/>
    <m/>
    <m/>
    <m/>
    <m/>
    <s v="szerokie i głębokie poznanie studiowanej dziedziny, wprowadzenie w środowisko zawodowe"/>
    <s v="wykształcenie komplementarne, tzn. bez braków w jakichś obszarach studiowanej dziedziny"/>
    <s v="niski poziom wymagań i uzyskanych kompetencji"/>
    <x v="1"/>
    <n v="1961"/>
    <s v="nieduże miasto powiatowe"/>
    <m/>
    <s v="Akademia Muzyczna - instrumentalistyka"/>
    <m/>
    <m/>
  </r>
  <r>
    <n v="89"/>
    <n v="54"/>
    <n v="35"/>
    <s v="37.47.200.70"/>
    <s v="Link"/>
    <m/>
    <m/>
    <m/>
    <m/>
    <s v="Zakończono"/>
    <s v="2020-06-16 16:30:27"/>
    <s v="2020-06-16 16:34:42"/>
    <n v="255"/>
    <n v="0"/>
    <x v="0"/>
    <x v="0"/>
    <m/>
    <m/>
    <m/>
    <m/>
    <m/>
    <m/>
    <m/>
    <m/>
    <m/>
    <m/>
    <m/>
    <m/>
    <m/>
    <m/>
    <m/>
    <x v="0"/>
    <s v="Politechnika Gdańska"/>
    <n v="2009"/>
    <s v="tak"/>
    <s v="MECHANICZNY"/>
    <s v="ani się zgadzam, ani nie zgadzam"/>
    <s v="ani się zgadzam, ani nie zgadzam"/>
    <s v="zgadzam się"/>
    <s v="raczej się nie zgadzam"/>
    <s v="raczej się zgadzam"/>
    <s v="W TRAKCIE STUDIÓW PRACOWAŁEM"/>
    <s v="powyżej 1000 zł, ale nie więcej niż 2000 zł"/>
    <s v="powyżej 5000 zł, ale nie więcej niż 6000 zł"/>
    <s v="ŻADNE"/>
    <s v="ŻADNE"/>
    <s v="ZA DUŻO ZBĘDNYCH PRZEDMIOTÓW"/>
    <s v="stacjonarne (dzienne) studia 1 stopnia (licencjackie / inżyni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POZIOM NAUCZANIA"/>
    <s v="RÓŻNORODNOŚĆ PRZEKAZYWANIA WIEDZY"/>
    <s v="MONOTONNOŚĆ"/>
    <x v="1"/>
    <n v="1983"/>
    <s v="miasto wojewódzkie"/>
    <m/>
    <m/>
    <m/>
    <m/>
  </r>
  <r>
    <n v="96"/>
    <n v="59"/>
    <n v="36"/>
    <s v="83.23.251.31"/>
    <s v="Link"/>
    <s v="https://ankietaplus.pl/ankiety/analiza/statystyki/13308"/>
    <m/>
    <m/>
    <m/>
    <s v="Zakończono"/>
    <s v="2020-07-26 17:50:58"/>
    <s v="2020-07-26 19:16:58"/>
    <n v="5160"/>
    <n v="0"/>
    <x v="0"/>
    <x v="0"/>
    <m/>
    <m/>
    <m/>
    <m/>
    <m/>
    <m/>
    <m/>
    <m/>
    <m/>
    <m/>
    <m/>
    <m/>
    <m/>
    <m/>
    <m/>
    <x v="0"/>
    <s v="Politechnika Gdańska"/>
    <n v="2000"/>
    <s v="nie"/>
    <s v="Zarządzanie"/>
    <s v="ani się zgadzam, ani nie zgadzam"/>
    <s v="ani się zgadzam, ani nie zgadzam"/>
    <s v="raczej się zgadzam"/>
    <s v="raczej się zgadzam"/>
    <s v="zgadzam się"/>
    <n v="0"/>
    <s v="powyżej 3000 zł, ale nie więcej niż 4000 zł"/>
    <s v="powyżej 4000 zł, ale nie więcej niż 5000 zł"/>
    <s v="możliwość dalszego rozwoju, znajomości z wartościowymi ludźmi"/>
    <s v="dobra atmosfera wśród grupy studentów"/>
    <s v="brak organizacji (brak informacji o odwoływanych zajęciach); złe warunki lokalowe; "/>
    <s v="niestacjonarne (zaoczne) studia 2 stopnia (magisterskie)"/>
    <s v="uzupełniające studia magisterskie (2 letnie)"/>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s v="nie dotyczy"/>
    <m/>
    <m/>
    <m/>
    <m/>
    <m/>
    <m/>
    <m/>
    <m/>
    <m/>
    <m/>
    <m/>
    <m/>
    <m/>
    <m/>
    <m/>
    <m/>
    <m/>
    <m/>
    <m/>
    <m/>
    <m/>
    <m/>
    <m/>
    <m/>
    <m/>
    <m/>
    <m/>
    <m/>
    <m/>
    <m/>
    <s v="kwalifikacje kadry nauczającej; ilość godzin praktyk; możliwość odbywania staży; dobra atmosfera"/>
    <s v="oferta edukacyjne, zajęcia praktyczne; możliwość zdobycia dodatkowych kwalifikacji podczas studiów (np. przygotowanie pedagogiczne); wyjazdy na obozy (np. narciarskie); możliwość udziału w projektach badawczych; "/>
    <s v="niedostosowanie oferty do rynku pracy, nauczanie przestarzałych metod a brak informacji o nowościach w dziedzinie"/>
    <x v="1"/>
    <n v="1968"/>
    <s v="duże miasto powiatowe"/>
    <s v="Elbląg"/>
    <s v="historia - magisterskie"/>
    <m/>
    <m/>
  </r>
  <r>
    <n v="41"/>
    <n v="27"/>
    <n v="31"/>
    <s v="213.189.39.230"/>
    <s v="Link"/>
    <m/>
    <m/>
    <m/>
    <m/>
    <s v="Zakończono"/>
    <s v="2020-05-16 17:18:10"/>
    <s v="2020-05-16 17:22:53"/>
    <n v="283"/>
    <n v="0"/>
    <x v="0"/>
    <x v="1"/>
    <s v="Uniwersytet Jagielloński"/>
    <s v="nie"/>
    <s v="Filologia polska"/>
    <s v="zdecydowanie się zgadzam"/>
    <s v="raczej się zgadzam"/>
    <s v="raczej się zgadzam"/>
    <s v="Praca przed ukończeniem studiów"/>
    <s v="powyżej 1000 zł, ale nie więcej niż 2000 zł"/>
    <s v="powyżej 3000 zł, ale nie więcej niż 4000 zł"/>
    <m/>
    <s v="Kadra naukowa, otoczenie, moja grupa na roku, oferta naukowa."/>
    <s v="-"/>
    <s v="stacjonarne (dzienne) studia 1 stopnia (licencjackie / inżynierskie)"/>
    <m/>
    <n v="6"/>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Poziom nauczania, poziom kadry"/>
    <s v="Pisałam w części I"/>
    <s v="-"/>
    <x v="0"/>
    <n v="1996"/>
    <s v="wieś"/>
    <m/>
    <s v="Ukończone gimnazjum i liceum ogółnokształcące."/>
    <s v="Psychologia stosowana na UJ - przerwana po II latach"/>
    <m/>
  </r>
  <r>
    <n v="43"/>
    <s v="BRAK"/>
    <n v="27"/>
    <s v="5.173.40.129"/>
    <s v="Link"/>
    <s v="https://www.facebook.com/"/>
    <m/>
    <m/>
    <m/>
    <s v="W trakcie"/>
    <s v="2020-05-16 17:26:33"/>
    <s v="2020-05-16 17:26:33"/>
    <n v="0"/>
    <n v="0"/>
    <x v="0"/>
    <x v="1"/>
    <s v="Uniwersytet Jagielloński"/>
    <s v="nie"/>
    <s v="Filologia polska"/>
    <s v="raczej się zgadzam"/>
    <s v="ani się zgadzam, ani nie zgadzam"/>
    <s v="raczej się zgadzam"/>
    <s v="Czy ktoś w ogóle jest w stanie to przewidzieć? Nie mam pojęcia. "/>
    <s v="powyżej 1000 zł, ale nie więcej niż 2000 zł"/>
    <s v="powyżej 1000 zł, ale nie więcej niż 2000 zł"/>
    <s v="rozwoju osobistego, społecznego, naukowego "/>
    <s v="grupa zajęciowa chętna do współpracy, życzliwość wykładowców (czynnik społeczny), wyposażenie uczelni oraz biblioteki (czynnik ekonomiczny);"/>
    <s v="niesprawiedliwe ocenianie, nieprzekładalność włożonego wysiłku i pracy w oceny końcowe"/>
    <s v="stacjonarne (dzienne) studia 1 stopnia (licencjackie / inżynierskie)"/>
    <m/>
    <n v="6"/>
    <x v="1"/>
    <m/>
    <m/>
    <m/>
    <m/>
    <m/>
    <m/>
    <m/>
    <m/>
    <m/>
    <m/>
    <m/>
    <m/>
    <m/>
    <m/>
    <m/>
    <m/>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m/>
    <m/>
    <m/>
    <x v="2"/>
    <m/>
    <m/>
    <m/>
    <m/>
    <m/>
    <m/>
  </r>
  <r>
    <n v="33"/>
    <n v="23"/>
    <n v="29"/>
    <s v="83.27.175.86"/>
    <s v="Link"/>
    <s v="https://www.facebook.com/"/>
    <m/>
    <m/>
    <m/>
    <s v="Zakończono"/>
    <s v="2020-05-16 16:50:07"/>
    <s v="2020-05-16 17:31:54"/>
    <n v="2507"/>
    <n v="0"/>
    <x v="0"/>
    <x v="1"/>
    <s v="Uniwersytet Jagielloński"/>
    <s v="nie"/>
    <s v="filologia polska, nauczycielska"/>
    <s v="zdecydowanie się zgadzam"/>
    <s v="zdecydowanie się zgadzam"/>
    <s v="ani się zgadzam, ani nie zgadzam"/>
    <s v="to zależy w dużej mierze od sytuacji w szkołach, czy będą miejsca dla nauczycieli"/>
    <s v="powyżej 2000 zł, ale nie więcej niż 3000 zł"/>
    <s v="powyżej 2000 zł, ale nie więcej niż 3000 zł"/>
    <m/>
    <s v="dobra kadra profesorska, ciekawe przedmioty"/>
    <s v="nie do końca dobrze przemyślany program studiów, ideologiczne wtręty niektórych prowadzących, "/>
    <s v="stacjonarne (dzienne) studia 2 stopnia (magisterskie)"/>
    <m/>
    <n v="10"/>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czasem kwestia tego, czy jest to uczelnia prywatna lub publiczna; zajęte miejsca w konkursach"/>
    <s v="zaangażowani profesorowie, "/>
    <s v="nachalne angażowanie się w politykę i agitacje ideologiczne"/>
    <x v="0"/>
    <n v="1996"/>
    <s v="wieś"/>
    <m/>
    <m/>
    <m/>
    <m/>
  </r>
  <r>
    <n v="122"/>
    <n v="71"/>
    <n v="32"/>
    <s v="158.233.246.28"/>
    <s v="Link"/>
    <m/>
    <m/>
    <m/>
    <m/>
    <s v="Zakończono"/>
    <s v="2020-09-21 09:56:42"/>
    <s v="2020-09-21 10:50:17"/>
    <n v="3215"/>
    <n v="0"/>
    <x v="0"/>
    <x v="0"/>
    <m/>
    <m/>
    <m/>
    <m/>
    <m/>
    <m/>
    <m/>
    <m/>
    <m/>
    <m/>
    <m/>
    <m/>
    <m/>
    <m/>
    <m/>
    <x v="0"/>
    <s v="Politechnika Gdańska"/>
    <n v="2015"/>
    <s v="tak"/>
    <s v="Elektronika, Telekomunikacja i Informatyka"/>
    <s v="raczej się nie zgadzam"/>
    <s v="ani się zgadzam, ani nie zgadzam"/>
    <s v="zdecydowanie się zgadzam"/>
    <s v="raczej się zgadzam"/>
    <s v="zgadzam się"/>
    <n v="1"/>
    <s v="powyżej 2000 zł, ale nie więcej niż 3000 zł"/>
    <s v="powyżej 4000 zł, ale nie więcej niż 5000 zł"/>
    <s v="Umiejętność szybkiego przyswajania wiedzy"/>
    <s v="Wizja znalezienia dobrej pracy po studiach, komfortowe warunki do studiowania (nowa placówka wydziału ETI), zgrana grupa studencka"/>
    <s v="Wiekowa kadra, zbyt duża intensywność, przestarzała tematyka edukacji niepokrywająca się z potrzebami w pracy"/>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Kadra, perspektywa rozwoju, sposób pracy ze studentami (duża liczba godzin laboratoryjnych, pracy studentów w grupach), wyposażenie laboratoriów w sprzęt wykorzystywany profesjonalnie, program szkoleniowy zgodny z aktualnymi trendami i oczekiwaniami pracodawców, zintegrowana społeczność studencka"/>
    <s v="Nabyta wiedza, rozpoznawalność na rynku pracowniczym, elastyczność jaką zdobywa się w trakcie studiowania"/>
    <s v="Przestarzała wiedza jaką się wpaja, wiekowa kadra, która nie dogaduje się ze studentami"/>
    <x v="1"/>
    <n v="1991"/>
    <s v="miasto wojewódzkie"/>
    <m/>
    <s v="Studia II stopnia (magisterskie) na wydziale ETI, Politechnika Gdańska"/>
    <m/>
    <m/>
  </r>
  <r>
    <n v="47"/>
    <n v="29"/>
    <n v="32"/>
    <s v="87.239.222.224"/>
    <s v="Link"/>
    <s v="https://m.facebook.com/"/>
    <m/>
    <m/>
    <m/>
    <s v="Zakończono"/>
    <s v="2020-05-16 18:04:21"/>
    <s v="2020-05-16 18:16:52"/>
    <n v="751"/>
    <n v="0"/>
    <x v="0"/>
    <x v="1"/>
    <s v="Uniwersytet Jagielloński"/>
    <s v="nie"/>
    <s v="polonistyka"/>
    <s v="raczej się zgadzam"/>
    <s v="raczej się nie zgadzam"/>
    <s v="ani się zgadzam, ani nie zgadzam"/>
    <s v="Praca przed ukończeniem studiów"/>
    <s v="powyżej 2000 zł, ale nie więcej niż 3000 zł"/>
    <s v="powyżej 3000 zł, ale nie więcej niż 4000 zł"/>
    <s v="kontakty"/>
    <s v="miła kadra (niekiedy), "/>
    <s v="traktowanie studentów jak idiotów, przestarzały program"/>
    <s v="stacjonarne (dzienne) studia 1 stopnia (licencjackie / inżynierskie)"/>
    <m/>
    <n v="6"/>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s v="nie dotyczy"/>
    <m/>
    <m/>
    <m/>
    <m/>
    <m/>
    <m/>
    <m/>
    <m/>
    <m/>
    <m/>
    <m/>
    <m/>
    <m/>
    <m/>
    <m/>
    <m/>
    <m/>
    <m/>
    <m/>
    <m/>
    <m/>
    <m/>
    <m/>
    <m/>
    <m/>
    <m/>
    <m/>
    <m/>
    <m/>
    <m/>
    <s v="innowacyjność, dobry kontakt między studentami a wykładowcami, ciekawy program"/>
    <s v="niektórzy wykładowcy"/>
    <s v="biurokracja, antystudencka kadra, brak szacunku"/>
    <x v="1"/>
    <n v="1997"/>
    <s v="wieś"/>
    <m/>
    <s v="-"/>
    <m/>
    <m/>
  </r>
  <r>
    <n v="50"/>
    <n v="30"/>
    <n v="30"/>
    <s v="83.26.176.108"/>
    <s v="Link"/>
    <s v="https://www.facebook.com/"/>
    <m/>
    <m/>
    <m/>
    <s v="Zakończono"/>
    <s v="2020-05-16 18:25:14"/>
    <s v="2020-05-16 18:31:41"/>
    <n v="387"/>
    <n v="0"/>
    <x v="0"/>
    <x v="1"/>
    <s v="Uniwersytet Jagielloński"/>
    <s v="nie"/>
    <s v="Kulturoznawstwo, teksty kultury"/>
    <s v="raczej się zgadzam"/>
    <s v="zgadzam się"/>
    <s v="raczej się zgadzam"/>
    <s v="nie planuję pracować w zawodzie związanym z kierunkiem moich studiów"/>
    <s v="powyżej 2000 zł, ale nie więcej niż 3000 zł"/>
    <s v="powyżej 3000 zł, ale nie więcej niż 4000 zł"/>
    <m/>
    <s v="ciekawa tematyka, merytoryczne podejście"/>
    <s v="zbyt duża ilość wymaganej pracy samodzielnej"/>
    <s v="stacjonarne (dzienne) studia 1 stopnia (licencjackie / inżynierskie)"/>
    <m/>
    <n v="6"/>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profesjonalna kadra"/>
    <s v="zdobyta wiedza"/>
    <s v="niekompetentni prowadzący"/>
    <x v="0"/>
    <n v="1997"/>
    <s v="miasto wojewódzkie"/>
    <m/>
    <s v="kurs instruktorki hipoterapii"/>
    <m/>
    <m/>
  </r>
  <r>
    <n v="53"/>
    <n v="32"/>
    <n v="31"/>
    <s v="37.47.73.122"/>
    <s v="Link"/>
    <s v="https://m.facebook.com/"/>
    <m/>
    <m/>
    <m/>
    <s v="Zakończono"/>
    <s v="2020-05-16 18:36:00"/>
    <s v="2020-05-16 18:45:11"/>
    <n v="551"/>
    <n v="0"/>
    <x v="0"/>
    <x v="1"/>
    <s v="Uniwersytet Jagielloński"/>
    <s v="nie"/>
    <s v="Edytorstwo"/>
    <s v="zgadzam się"/>
    <s v="zgadzam się"/>
    <s v="ani się zgadzam, ani nie zgadzam"/>
    <s v="Praca przed ukończeniem studiów"/>
    <s v="powyżej 1000 zł, ale nie więcej niż 2000 zł"/>
    <s v="powyżej 2000 zł, ale nie więcej niż 3000 zł"/>
    <s v="Możliwość kontynuowania kariery naukowej"/>
    <s v="Wsparcie kadry akademickiej"/>
    <s v="Kontynuowanie studiów przez osoby zupełnie niezaangażowane intelektualnie, co wpływa na jakość dyskusji"/>
    <s v="stacjonarne (dzienne) studia 1 stopnia (licencjackie / inżynierskie)"/>
    <m/>
    <n v="6"/>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Próg punktowy na etapie rekrutacji, jakość pracy kół naukowych, możliwość rozwoju naukowego (uczestniczenie w grantach, konferencjach), indywidualizacja kształcenia"/>
    <s v="Pomoc ze strony pracowników naukowych i dydaktycznych"/>
    <s v="Utrudnianie kontynuowania badań interdyscyplinarnych"/>
    <x v="0"/>
    <n v="1998"/>
    <s v="duże miasto powiatowe"/>
    <m/>
    <s v="kurs pedagogiczny w ramach bloku pedagogicznego realizowanego dodatkowo (druga specjalność)"/>
    <m/>
    <m/>
  </r>
  <r>
    <n v="54"/>
    <n v="33"/>
    <n v="31"/>
    <s v="159.205.73.175"/>
    <s v="Link"/>
    <s v="http://m.facebook.com/"/>
    <m/>
    <m/>
    <m/>
    <s v="Zakończono"/>
    <s v="2020-05-16 18:50:31"/>
    <s v="2020-05-16 19:00:26"/>
    <n v="595"/>
    <n v="0"/>
    <x v="0"/>
    <x v="1"/>
    <s v="Uniwersytet Jagielloński"/>
    <s v="nie"/>
    <s v="Język polski w komunikacji społecznej"/>
    <s v="zgadzam się"/>
    <s v="zgadzam się"/>
    <s v="zdecydowanie się zgadzam"/>
    <n v="12"/>
    <s v="powyżej 2000 zł, ale nie więcej niż 3000 zł"/>
    <s v="powyżej 4000 zł, ale nie więcej niż 5000 zł"/>
    <m/>
    <s v="Halo, to UJ! "/>
    <s v="Uczelnia powinna trzymać większy rygor nad jednostkami między wydziałowymi, takimi jak Jagiellońskie Centrum Językowe, ponieważ chyba dawno ktokolwiek przestał je kontrolować po kontem tego jak zachowują się w stosunku do studentów. "/>
    <s v="stacjonarne (dzienne) studia 1 stopnia (licencjackie / inżynierskie)"/>
    <m/>
    <n v="4"/>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Prestiż w opinii społecznej, rozpoznawalność na arenie międzynarodowej, stanowiska absolwentów. "/>
    <s v="Zaangażowanie wykładowców, którzy są najlepszymi ekspertami w sewoich dziedzinach. "/>
    <s v="Działanie jednostek międzywydziałowych. "/>
    <x v="1"/>
    <s v="II"/>
    <s v="duże miasto powiatowe"/>
    <m/>
    <s v="Ukończone LO na akademickim profilu humanistycznym pod patronatem UAM. "/>
    <s v="Studia na kierunku amerykanistyka. "/>
    <m/>
  </r>
  <r>
    <n v="248"/>
    <n v="133"/>
    <n v="30"/>
    <s v="158.233.246.27"/>
    <s v="Link"/>
    <m/>
    <m/>
    <m/>
    <m/>
    <s v="Zakończono"/>
    <s v="2021-01-13 09:24:04"/>
    <s v="2021-01-13 09:41:10"/>
    <n v="1026"/>
    <n v="0"/>
    <x v="0"/>
    <x v="1"/>
    <s v="Uniwersytet Łódzki"/>
    <s v="nie"/>
    <s v="Bankowość i Finanse Cyfrowe"/>
    <s v="raczej się zgadzam"/>
    <s v="raczej się zgadzam"/>
    <s v="zgadzam się"/>
    <s v="w trakcie pracy"/>
    <s v="powyżej 9000 zł, ale nie więcej niż 10.000 zł"/>
    <s v="powyżej 10.000 zł"/>
    <s v="rozwój osobisty, umiejętności czysto technicznych"/>
    <s v="ciekawie dobrany program studiów, doświadczeni wykładowcy, nieolewający studenci"/>
    <s v="wykładowcy, którzy mają na celu tylko odbycie zajęć, bez chęci nauczenia czegokolwiek"/>
    <s v="stacjonarne (dzienne) studia 2 stopnia (magisterskie)"/>
    <m/>
    <n v="4"/>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specjalizacja w określonych dziedzinach, nie powinno się kształcić ludzi na dziesiątkach kierunków w których kadra nie ma doświadczenia"/>
    <s v="współpraca z innymi uczelniami, także z zagranicy, dobre wyposażenie techniczne"/>
    <s v="wykładowcy niezbyt doświadczeni w wykładanych dziedzinach"/>
    <x v="1"/>
    <n v="1992"/>
    <s v="nieduże miasto powiatowe"/>
    <m/>
    <s v="Finanse i Rachunkowość I st., Wydział Ekonomiczno - Socjologiczny UŁ"/>
    <m/>
    <m/>
  </r>
  <r>
    <n v="124"/>
    <n v="73"/>
    <n v="34"/>
    <s v="46.151.136.191"/>
    <s v="Link"/>
    <s v="android-app://com.google.android.gm/"/>
    <m/>
    <m/>
    <m/>
    <s v="Zakończono"/>
    <s v="2020-10-28 10:32:38"/>
    <s v="2020-10-28 10:51:57"/>
    <n v="1159"/>
    <n v="0"/>
    <x v="0"/>
    <x v="0"/>
    <m/>
    <m/>
    <m/>
    <m/>
    <m/>
    <m/>
    <m/>
    <m/>
    <m/>
    <m/>
    <m/>
    <m/>
    <m/>
    <m/>
    <m/>
    <x v="0"/>
    <s v="Politechnika Gdańska"/>
    <n v="2018"/>
    <s v="tak"/>
    <s v="Zarządzanie"/>
    <s v="zgadzam się"/>
    <s v="zgadzam się"/>
    <s v="raczej się zgadzam"/>
    <s v="raczej się nie zgadzam"/>
    <s v="ani się zgadzam, ani nie zgadzam"/>
    <s v="praca przed ukończeniem studiów"/>
    <s v="powyżej 1000 zł, ale nie więcej niż 2000 zł"/>
    <s v="powyżej 2000 zł, ale nie więcej niż 3000 zł"/>
    <s v="Umiejętność pracy projektowej oraz grupowej, umiejętność prawidłowej analizy problemu oraz wykreowanie jego rozwiązania"/>
    <s v="Podejście pracowników uczelni, ich kompetencje. Możliwość rozwoju na wielu płaszczyznach. Uczelnia umożliwiała również osobom zainteresowanym uczestnictwa w różnego rodzaju kursach. Na uczelni działa wiele kół naukowych, w których oznacza nie tylko się rozwijać ale również nawiązywać nowe znajomości"/>
    <s v="Haos związany z planem zajęć, późne pojawianie się planu zajęć z wieloma błędami. Zajęcia w różnych budynkach. Brak przedmiotów, które pomagałyby nam w realizowaniu projektów na inne przedmioty. Brakowało m.in. przedmiotu MASZYNOZNAWSTWO"/>
    <s v="niestacjonarne (zaoczne) studia 2 stopnia (magisterskie)"/>
    <s v="Stacjonarne studia 1 stopnia inżynierskie na tej samej uczelni"/>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Dużą różnicę w prowadzeniu zajęć byliśmy w stanie zaobserwować jeżeli prowadzący był tylko teoretykiem od prowadzącego będącego praktykiem. Te drugie zajęcia były o wiele ciekawsze, więcej z nich wynosiliśmy i przekazywana wiedza bardziej do nas trafiała. Z tego wynika, że ogromny wpływ ma kadra ale również przedmioty wchodzące w siatkę studiów."/>
    <s v="Renoma uczelni, różnorodność zajęć"/>
    <s v="Niektóre, bardzo obszerne zagadnienia były poruszane na przedmiotach w małym stopniu, a raczej wspominano o nich, a te zagadnienia nadawałyby się na wet na samodzielny przedmiot."/>
    <x v="0"/>
    <n v="1991"/>
    <s v="wieś"/>
    <m/>
    <s v="Inżynierskie"/>
    <s v="brak"/>
    <m/>
  </r>
  <r>
    <n v="58"/>
    <n v="34"/>
    <n v="29"/>
    <s v="89.186.19.145"/>
    <s v="Link"/>
    <s v="https://www.facebook.com/"/>
    <m/>
    <m/>
    <m/>
    <s v="Zakończono"/>
    <s v="2020-05-16 20:34:54"/>
    <s v="2020-05-16 20:44:05"/>
    <n v="551"/>
    <n v="0"/>
    <x v="0"/>
    <x v="1"/>
    <s v="Uniwersytet Warszawski"/>
    <s v="nie"/>
    <s v="Międzywydziałowe Indywidualne Studia Humanistyczne"/>
    <s v="raczej się nie zgadzam"/>
    <s v="raczej się zgadzam"/>
    <s v="raczej się zgadzam"/>
    <s v="Praca przed ukończeniem studiów"/>
    <s v="powyżej 2000 zł, ale nie więcej niż 3000 zł"/>
    <s v="powyżej 3000 zł, ale nie więcej niż 4000 zł"/>
    <m/>
    <s v="Różnorodność dostępnych zajęć, zapoznanie z ciekawymi materiałami, poznanie przedstawicieli mediów, organizacji pozarządowych itp."/>
    <s v="Poziom nauczania na niektórych kierunkach, niski poziom wymagań, stosowanie przestarzałych teorii i paradygmatów naukowych"/>
    <s v="stacjonarne (dzienne) studia 2 stopnia (magisterskie)"/>
    <m/>
    <n v="8"/>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Uczelnie lepsze rozwijają ię także na polu badań naukowych, nie tylko dydaktyki, nauczają z wykorzystaniem nowych metod i teorii, zatrudniają specjalistów, którzy praktykują zawód poza uczelnią "/>
    <s v="Ludzie, których poznaję, zdobyta wiedza"/>
    <s v="Zbyt niski poziom wymagań, przestarzałość części nauczanego materiału"/>
    <x v="0"/>
    <n v="1998"/>
    <s v="miasto wojewódzkie"/>
    <m/>
    <m/>
    <m/>
    <m/>
  </r>
  <r>
    <n v="181"/>
    <n v="102"/>
    <n v="33"/>
    <s v="158.233.246.29"/>
    <s v="Link"/>
    <m/>
    <m/>
    <m/>
    <m/>
    <s v="Zakończono"/>
    <s v="2020-12-18 14:29:31"/>
    <s v="2020-12-18 14:36:37"/>
    <n v="426"/>
    <n v="0"/>
    <x v="0"/>
    <x v="1"/>
    <s v="WSB"/>
    <s v="tak"/>
    <s v="Informatyka"/>
    <s v="ani się zgadzam, ani nie zgadzam"/>
    <s v="raczej się zgadzam"/>
    <s v="raczej się nie zgadzam"/>
    <s v="praca przed ukonczeniem studiow"/>
    <s v="powyżej 10.000 zł"/>
    <s v="powyżej 10.000 zł"/>
    <s v="osiągniecie dyplomu"/>
    <s v="nauczanie zdalne"/>
    <s v="ograniczona dostepnosc narzedzi"/>
    <s v="niestacjonarne (zaoczne) studia 1 stopnia (licencjackie / inżynierskie)"/>
    <m/>
    <n v="7"/>
    <x v="1"/>
    <m/>
    <m/>
    <m/>
    <m/>
    <m/>
    <m/>
    <m/>
    <m/>
    <m/>
    <m/>
    <m/>
    <m/>
    <m/>
    <m/>
    <m/>
    <m/>
    <m/>
    <x v="0"/>
    <m/>
    <m/>
    <m/>
    <m/>
    <m/>
    <m/>
    <m/>
    <m/>
    <m/>
    <m/>
    <m/>
    <m/>
    <m/>
    <m/>
    <m/>
    <m/>
    <m/>
    <m/>
    <m/>
    <m/>
    <m/>
    <m/>
    <m/>
    <m/>
    <m/>
    <m/>
    <m/>
    <m/>
    <m/>
    <m/>
    <m/>
    <m/>
    <m/>
    <m/>
    <m/>
    <m/>
    <m/>
    <m/>
    <m/>
    <m/>
    <m/>
    <m/>
    <m/>
    <m/>
    <m/>
    <x v="0"/>
    <m/>
    <m/>
    <m/>
    <m/>
    <m/>
    <m/>
    <m/>
    <m/>
    <m/>
    <x v="0"/>
    <m/>
    <m/>
    <m/>
    <m/>
    <m/>
    <m/>
    <m/>
    <m/>
    <m/>
    <x v="0"/>
    <m/>
    <m/>
    <m/>
    <m/>
    <m/>
    <m/>
    <m/>
    <m/>
    <m/>
    <m/>
    <m/>
    <m/>
    <m/>
    <m/>
    <m/>
    <m/>
    <m/>
    <m/>
    <m/>
    <m/>
    <m/>
    <m/>
    <m/>
    <m/>
    <m/>
    <m/>
    <m/>
    <m/>
    <x v="0"/>
    <s v="Tak"/>
    <s v="nie dotyczy"/>
    <m/>
    <m/>
    <m/>
    <m/>
    <m/>
    <m/>
    <m/>
    <m/>
    <m/>
    <m/>
    <m/>
    <m/>
    <m/>
    <m/>
    <m/>
    <m/>
    <m/>
    <m/>
    <m/>
    <m/>
    <m/>
    <m/>
    <m/>
    <x v="0"/>
    <m/>
    <m/>
    <m/>
    <m/>
    <m/>
    <m/>
    <m/>
    <m/>
    <m/>
    <m/>
    <m/>
    <m/>
    <m/>
    <m/>
    <m/>
    <m/>
    <m/>
    <m/>
    <m/>
    <m/>
    <m/>
    <m/>
    <m/>
    <m/>
    <m/>
    <m/>
    <m/>
    <m/>
    <m/>
    <m/>
    <m/>
    <m/>
    <m/>
    <s v="dostepnosc narzedzi, elastycznosc nauczania"/>
    <s v="powyzsze"/>
    <s v="brak powyzszego, trudna komunikacja z uczelnia"/>
    <x v="0"/>
    <n v="1991"/>
    <s v="miasto wojewódzkie"/>
    <m/>
    <s v="inzynier"/>
    <s v="n/a"/>
    <m/>
  </r>
  <r>
    <n v="259"/>
    <n v="136"/>
    <n v="72"/>
    <s v="5.173.8.81"/>
    <s v="Link"/>
    <m/>
    <m/>
    <m/>
    <m/>
    <s v="Zakończono"/>
    <s v="2022-08-15 10:14:24"/>
    <s v="2022-08-15 10:33:35"/>
    <n v="1151"/>
    <n v="0"/>
    <x v="0"/>
    <x v="0"/>
    <m/>
    <m/>
    <m/>
    <m/>
    <m/>
    <m/>
    <m/>
    <m/>
    <m/>
    <m/>
    <m/>
    <m/>
    <m/>
    <m/>
    <m/>
    <x v="0"/>
    <s v="Uniwersytet Gdański"/>
    <n v="1987"/>
    <s v="nie"/>
    <s v="Ekonomia"/>
    <s v="nie dotyczy"/>
    <s v="nie dotyczy"/>
    <s v="nie dotyczy"/>
    <s v="nie dotyczy"/>
    <s v="nie dotyczy"/>
    <s v="brak odp."/>
    <s v="nie dotyczy"/>
    <s v="nie dotyczy"/>
    <m/>
    <s v=" "/>
    <s v=" "/>
    <s v="stacjonarne (dzienne) studia 2 stopnia (magisterskie)"/>
    <s v="jednolite magisterkie"/>
    <x v="1"/>
    <n v="3"/>
    <s v="Politechnika Gdańska"/>
    <n v="2020"/>
    <s v="tak"/>
    <s v="Robotyka"/>
    <s v="zgadzam się"/>
    <s v="raczej się zgadzam"/>
    <s v="zdecydowanie się zgadzam"/>
    <s v="zgadzam się"/>
    <s v="nie dotyczy"/>
    <s v="praca przed ukończeniem studió"/>
    <s v="w pracy 10% wiedzy wykorzystanej"/>
    <s v="stacjonarne (dzienne) studia 2 stopnia (magisterskie)"/>
    <m/>
    <m/>
    <s v="Tak (przejście do analogicznej części oceny dotyczącej drugiego podopiecznego)"/>
    <s v="Politechnika Gdańska"/>
    <n v="2013"/>
    <s v="tak"/>
    <s v="Matematyka"/>
    <s v="raczej się zgadzam"/>
    <s v="zgadzam się"/>
    <s v="raczej się zgadzam"/>
    <s v="raczej się zgadzam"/>
    <s v="raczej się zgadzam"/>
    <s v="praca przed ukończeniem studiów"/>
    <m/>
    <s v="stacjonarne (dzienne) studia 2 stopnia (magisterskie)"/>
    <m/>
    <s v="dodatkowy kurs pedagogiczny dający możliwość uczenia w szkole"/>
    <s v="Tak (przejście do analogicznej części oceny dotyczącej trzeciego podopiecznego)"/>
    <s v="Politechnika Gdańska"/>
    <n v="2016"/>
    <s v="tak"/>
    <s v="Inżynieria maszyn i urządzeń (ISCED '11 - 52)"/>
    <s v="ani się zgadzam, ani nie zgadzam"/>
    <s v="raczej się zgadzam"/>
    <s v="zgadzam się"/>
    <s v="zdecydowanie się zgadzam"/>
    <s v="zgadzam się"/>
    <s v="praca przed ukończeniem studiów"/>
    <s v="zwiększona wiedza techniczna"/>
    <s v="stacjonarne (dzienne) studia 2 stopnia (magisterskie)"/>
    <m/>
    <m/>
    <x v="0"/>
    <m/>
    <m/>
    <m/>
    <m/>
    <m/>
    <m/>
    <m/>
    <m/>
    <m/>
    <x v="0"/>
    <m/>
    <m/>
    <m/>
    <m/>
    <m/>
    <m/>
    <m/>
    <m/>
    <m/>
    <x v="0"/>
    <m/>
    <m/>
    <m/>
    <m/>
    <m/>
    <m/>
    <m/>
    <m/>
    <m/>
    <m/>
    <m/>
    <m/>
    <m/>
    <m/>
    <m/>
    <m/>
    <m/>
    <m/>
    <m/>
    <m/>
    <m/>
    <m/>
    <m/>
    <m/>
    <m/>
    <m/>
    <m/>
    <m/>
    <x v="0"/>
    <m/>
    <m/>
    <m/>
    <m/>
    <m/>
    <m/>
    <m/>
    <m/>
    <m/>
    <m/>
    <m/>
    <m/>
    <m/>
    <m/>
    <m/>
    <m/>
    <m/>
    <m/>
    <m/>
    <m/>
    <m/>
    <m/>
    <m/>
    <m/>
    <m/>
    <x v="0"/>
    <m/>
    <m/>
    <m/>
    <m/>
    <m/>
    <m/>
    <m/>
    <m/>
    <m/>
    <m/>
    <m/>
    <m/>
    <m/>
    <m/>
    <m/>
    <m/>
    <m/>
    <m/>
    <m/>
    <m/>
    <m/>
    <m/>
    <m/>
    <m/>
    <m/>
    <m/>
    <m/>
    <m/>
    <m/>
    <m/>
    <m/>
    <m/>
    <m/>
    <s v=" "/>
    <s v=" "/>
    <s v=" "/>
    <x v="1"/>
    <n v="1962"/>
    <s v="miasto wojewódzkie"/>
    <m/>
    <m/>
    <s v="studia doktoranckie"/>
    <s v="[03]"/>
  </r>
  <r>
    <n v="126"/>
    <n v="75"/>
    <n v="31"/>
    <s v="46.151.136.191"/>
    <s v="Link"/>
    <s v="http://m.facebook.com/"/>
    <m/>
    <m/>
    <m/>
    <s v="Zakończono"/>
    <s v="2020-10-28 17:15:12"/>
    <s v="2020-10-28 17:27:31"/>
    <n v="739"/>
    <n v="0"/>
    <x v="0"/>
    <x v="0"/>
    <m/>
    <m/>
    <m/>
    <m/>
    <m/>
    <m/>
    <m/>
    <m/>
    <m/>
    <m/>
    <m/>
    <m/>
    <m/>
    <m/>
    <m/>
    <x v="0"/>
    <s v="Politechnika Gdańska"/>
    <n v="2018"/>
    <s v="tak"/>
    <s v="Zarządzanie inżynierskie"/>
    <s v="ani się zgadzam, ani nie zgadzam"/>
    <s v="raczej się zgadzam"/>
    <s v="zdecydowanie się zgadzam"/>
    <s v="zgadzam się"/>
    <s v="nie dotyczy"/>
    <s v="praca przed zakończeniem studiów"/>
    <s v="powyżej 2000 zł, ale nie więcej niż 3000 zł"/>
    <s v="powyżej 4000 zł, ale nie więcej niż 5000 zł"/>
    <s v="Zaufanie ze strony pracodawcy"/>
    <s v="Nie mam zdania. Nic mnie nie zaskoczyło. "/>
    <s v="Za mało praktyki"/>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Nie wiem"/>
    <s v="Dobra opinia wśród pracodawców"/>
    <s v="Mało praktycznych zagadnień"/>
    <x v="1"/>
    <n v="1991"/>
    <s v="miasto wojewódzkie"/>
    <m/>
    <m/>
    <m/>
    <m/>
  </r>
  <r>
    <n v="141"/>
    <n v="85"/>
    <n v="34"/>
    <s v="31.11.238.245"/>
    <s v="Link"/>
    <m/>
    <m/>
    <m/>
    <m/>
    <s v="Zakończono"/>
    <s v="2020-12-15 07:39:28"/>
    <s v="2020-12-15 07:52:15"/>
    <n v="767"/>
    <n v="0"/>
    <x v="0"/>
    <x v="0"/>
    <m/>
    <m/>
    <m/>
    <m/>
    <m/>
    <m/>
    <m/>
    <m/>
    <m/>
    <m/>
    <m/>
    <m/>
    <m/>
    <m/>
    <m/>
    <x v="0"/>
    <s v="Politechnika Gdańska"/>
    <n v="2018"/>
    <s v="tak"/>
    <s v="Technologie Podwodne"/>
    <s v="zgadzam się"/>
    <s v="zgadzam się"/>
    <s v="raczej się nie zgadzam"/>
    <s v="nie zgadzam się"/>
    <s v="raczej się nie zgadzam"/>
    <n v="1"/>
    <s v="powyżej 2000 zł, ale nie więcej niż 3000 zł"/>
    <s v="powyżej 4000 zł, ale nie więcej niż 5000 zł"/>
    <s v="wiedza"/>
    <s v="warunki mieszkaniowe , ścisły umysł"/>
    <s v="nie dostrzegam"/>
    <s v="stacjonarne (dzienne) studia 2 stopnia (magisterskie)"/>
    <m/>
    <x v="0"/>
    <m/>
    <m/>
    <m/>
    <m/>
    <m/>
    <m/>
    <m/>
    <m/>
    <m/>
    <m/>
    <m/>
    <m/>
    <m/>
    <m/>
    <m/>
    <m/>
    <m/>
    <m/>
    <m/>
    <m/>
    <m/>
    <m/>
    <m/>
    <m/>
    <m/>
    <m/>
    <m/>
    <m/>
    <m/>
    <m/>
    <m/>
    <m/>
    <m/>
    <m/>
    <m/>
    <m/>
    <m/>
    <m/>
    <m/>
    <m/>
    <m/>
    <m/>
    <m/>
    <m/>
    <m/>
    <x v="0"/>
    <m/>
    <m/>
    <m/>
    <m/>
    <m/>
    <m/>
    <m/>
    <m/>
    <m/>
    <x v="0"/>
    <m/>
    <m/>
    <m/>
    <m/>
    <m/>
    <m/>
    <m/>
    <m/>
    <m/>
    <x v="0"/>
    <m/>
    <m/>
    <m/>
    <m/>
    <m/>
    <m/>
    <m/>
    <m/>
    <m/>
    <m/>
    <m/>
    <m/>
    <m/>
    <m/>
    <m/>
    <m/>
    <m/>
    <m/>
    <m/>
    <m/>
    <m/>
    <m/>
    <m/>
    <m/>
    <m/>
    <m/>
    <m/>
    <m/>
    <x v="0"/>
    <s v="Nie"/>
    <m/>
    <m/>
    <m/>
    <m/>
    <m/>
    <m/>
    <m/>
    <m/>
    <m/>
    <m/>
    <m/>
    <m/>
    <m/>
    <m/>
    <m/>
    <m/>
    <m/>
    <m/>
    <m/>
    <m/>
    <m/>
    <m/>
    <m/>
    <m/>
    <x v="0"/>
    <m/>
    <m/>
    <m/>
    <m/>
    <m/>
    <m/>
    <m/>
    <m/>
    <m/>
    <m/>
    <m/>
    <m/>
    <m/>
    <m/>
    <m/>
    <m/>
    <m/>
    <m/>
    <m/>
    <m/>
    <m/>
    <m/>
    <m/>
    <m/>
    <m/>
    <m/>
    <m/>
    <m/>
    <m/>
    <m/>
    <m/>
    <m/>
    <m/>
    <s v="poziom kształcenia"/>
    <s v="poziom kształcenia"/>
    <s v="nie dotyczy"/>
    <x v="1"/>
    <n v="1991"/>
    <s v="miasto gminne"/>
    <m/>
    <s v="inżynier Maszyn , Siłowni i Urządzeń Okrętowych"/>
    <s v="-"/>
    <m/>
  </r>
  <r>
    <n v="145"/>
    <n v="86"/>
    <n v="43"/>
    <s v="158.233.246.29"/>
    <s v="Link"/>
    <m/>
    <m/>
    <m/>
    <m/>
    <s v="Zakończono"/>
    <s v="2020-12-15 10:36:27"/>
    <s v="2020-12-15 10:45:03"/>
    <n v="516"/>
    <n v="0"/>
    <x v="0"/>
    <x v="0"/>
    <m/>
    <m/>
    <m/>
    <m/>
    <m/>
    <m/>
    <m/>
    <m/>
    <m/>
    <m/>
    <m/>
    <m/>
    <m/>
    <m/>
    <m/>
    <x v="0"/>
    <s v="Politechnika Gdańska"/>
    <n v="2007"/>
    <s v="tak"/>
    <s v="Telekomunikacja"/>
    <s v="raczej się zgadzam"/>
    <s v="raczej się zgadzam"/>
    <s v="zgadzam się"/>
    <s v="zdecydowanie się zgadzam"/>
    <s v="zdecydowanie się zgadzam"/>
    <s v=" praca przed ukończeniem studiów"/>
    <s v="powyżej 1000 zł, ale nie więcej niż 2000 zł"/>
    <s v="powyżej 5000 zł, ale nie więcej niż 6000 zł"/>
    <s v="siatka kontaktów związana z uczelnią jest cenna"/>
    <s v="tematy związane z moimi zainteresowaniami"/>
    <s v="niski poziom organizacji studiów, kiepski przepływ informacji, brak nowoczesnych rozwiązań (np. wykorzystanie internetu w procesie studiowania)"/>
    <s v="stacjonarne (dzienne) studia 2 stopnia (magisterskie)"/>
    <s v="stacjonarne, jednolite 5 letnie (mgr inż)"/>
    <x v="0"/>
    <m/>
    <m/>
    <m/>
    <m/>
    <m/>
    <m/>
    <m/>
    <m/>
    <m/>
    <m/>
    <m/>
    <m/>
    <m/>
    <m/>
    <m/>
    <m/>
    <m/>
    <m/>
    <m/>
    <m/>
    <m/>
    <m/>
    <m/>
    <m/>
    <m/>
    <m/>
    <m/>
    <m/>
    <m/>
    <m/>
    <m/>
    <m/>
    <m/>
    <m/>
    <m/>
    <m/>
    <m/>
    <m/>
    <m/>
    <m/>
    <m/>
    <m/>
    <m/>
    <m/>
    <m/>
    <x v="0"/>
    <m/>
    <m/>
    <m/>
    <m/>
    <m/>
    <m/>
    <m/>
    <m/>
    <m/>
    <x v="0"/>
    <m/>
    <m/>
    <m/>
    <m/>
    <m/>
    <m/>
    <m/>
    <m/>
    <m/>
    <x v="0"/>
    <m/>
    <m/>
    <m/>
    <m/>
    <m/>
    <m/>
    <m/>
    <m/>
    <m/>
    <m/>
    <m/>
    <m/>
    <m/>
    <m/>
    <m/>
    <m/>
    <m/>
    <m/>
    <m/>
    <m/>
    <m/>
    <m/>
    <m/>
    <m/>
    <m/>
    <m/>
    <m/>
    <m/>
    <x v="2"/>
    <s v="Tak"/>
    <s v="nie dotyczy"/>
    <s v="Politechnika Gdańska"/>
    <s v="nie zgadzam się"/>
    <s v="nie zgadzam się"/>
    <s v="ani się zgadzam, ani nie zgadzam"/>
    <s v="Tak"/>
    <s v="nie związane z uczelnią"/>
    <s v="inżynier infrastruktury IT, inżynier oprogramowania"/>
    <s v="Nie (przejście do kolejnej części badania)"/>
    <m/>
    <m/>
    <m/>
    <m/>
    <m/>
    <m/>
    <m/>
    <m/>
    <m/>
    <m/>
    <m/>
    <m/>
    <m/>
    <m/>
    <m/>
    <x v="0"/>
    <m/>
    <m/>
    <m/>
    <m/>
    <m/>
    <m/>
    <m/>
    <m/>
    <m/>
    <m/>
    <m/>
    <m/>
    <m/>
    <m/>
    <m/>
    <m/>
    <m/>
    <m/>
    <m/>
    <m/>
    <m/>
    <m/>
    <m/>
    <m/>
    <m/>
    <m/>
    <m/>
    <m/>
    <m/>
    <m/>
    <m/>
    <m/>
    <m/>
    <s v="renoma na rynku, nie związana z faktycznymi umiejętnościami absolwentó"/>
    <s v="otwarte i elastyczne podejście do studenta, aktualny program dydaktyczny"/>
    <s v="nieaktualny program edukacyjny"/>
    <x v="1"/>
    <n v="1982"/>
    <s v="miasto wojewódzkie"/>
    <m/>
    <s v="certyfikaty branżowe"/>
    <m/>
    <m/>
  </r>
  <r>
    <n v="156"/>
    <n v="90"/>
    <n v="32"/>
    <s v="158.233.246.27"/>
    <s v="Link"/>
    <m/>
    <m/>
    <m/>
    <m/>
    <s v="Zakończono"/>
    <s v="2020-12-16 08:07:04"/>
    <s v="2020-12-16 08:13:59"/>
    <n v="415"/>
    <n v="0"/>
    <x v="0"/>
    <x v="0"/>
    <m/>
    <m/>
    <m/>
    <m/>
    <m/>
    <m/>
    <m/>
    <m/>
    <m/>
    <m/>
    <m/>
    <m/>
    <m/>
    <m/>
    <m/>
    <x v="0"/>
    <s v="Politechnika Gdańska"/>
    <n v="2012"/>
    <s v="tak"/>
    <s v="Elektronika i Telekomunikacja"/>
    <s v="raczej się zgadzam"/>
    <s v="zgadzam się"/>
    <s v="zgadzam się"/>
    <s v="nie zgadzam się"/>
    <s v="nie zgadzam się"/>
    <s v=" praca przed ukończeniem studiów"/>
    <s v="powyżej 2000 zł, ale nie więcej niż 3000 zł"/>
    <s v="powyżej 3000 zł, ale nie więcej niż 4000 zł"/>
    <s v="techniczne podejście do problemów, analiza, umiejętności negocjacji"/>
    <s v="grupa wykładowa"/>
    <s v="bardzo dużo materiału i nauki"/>
    <m/>
    <s v="stacjonarne magisterskie jednolite (5 lat)"/>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ilość zajęć praktycznych"/>
    <s v="opinia w środowisku pracy o absolwentach"/>
    <s v="biurokracja"/>
    <x v="0"/>
    <n v="1985"/>
    <s v="miasto wojewódzkie"/>
    <m/>
    <s v="studia magisterskie uzupełniające na wydziale WZiE PG"/>
    <m/>
    <m/>
  </r>
  <r>
    <n v="187"/>
    <n v="106"/>
    <n v="33"/>
    <s v="89.64.113.101"/>
    <s v="Link"/>
    <m/>
    <m/>
    <m/>
    <m/>
    <s v="Zakończono"/>
    <s v="2020-12-18 15:32:24"/>
    <s v="2020-12-18 15:44:05"/>
    <n v="701"/>
    <n v="0"/>
    <x v="0"/>
    <x v="0"/>
    <m/>
    <m/>
    <m/>
    <m/>
    <m/>
    <m/>
    <m/>
    <m/>
    <m/>
    <m/>
    <m/>
    <m/>
    <m/>
    <m/>
    <m/>
    <x v="0"/>
    <s v="Politechnika Gdańska"/>
    <s v="Nie pamietam"/>
    <s v="tak"/>
    <s v="Inżynieria Środowska"/>
    <s v="raczej się zgadzam"/>
    <s v="raczej się zgadzam"/>
    <s v="ani się zgadzam, ani nie zgadzam"/>
    <s v="raczej się zgadzam"/>
    <s v="ani się zgadzam, ani nie zgadzam"/>
    <s v="praca przed ukończeniem studiów"/>
    <s v="powyżej 2000 zł, ale nie więcej niż 3000 zł"/>
    <s v="powyżej 2000 zł, ale nie więcej niż 3000 zł"/>
    <m/>
    <s v="Możliwość mieszkania a akademiku"/>
    <s v="Przedmioty na których co innego było na wykładzie a co innego na zaliczeniu"/>
    <s v="stacjonarne (dzienne) studia 2 stopnia (magisterskie)"/>
    <s v="Dzienne 1 i 2 stopnia łączn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Poziom kształcenia"/>
    <s v="Renoma"/>
    <s v="Jakoś prowadzenia niektórych wykładów"/>
    <x v="0"/>
    <n v="1985"/>
    <s v="miasto gminne"/>
    <m/>
    <s v="nie posiadam"/>
    <s v="Nie zdobywam"/>
    <m/>
  </r>
  <r>
    <n v="184"/>
    <n v="105"/>
    <n v="33"/>
    <s v="37.47.212.241"/>
    <s v="Link"/>
    <m/>
    <m/>
    <m/>
    <m/>
    <s v="Zakończono"/>
    <s v="2020-12-18 15:25:33"/>
    <s v="2020-12-18 15:44:12"/>
    <n v="1119"/>
    <n v="0"/>
    <x v="0"/>
    <x v="0"/>
    <m/>
    <m/>
    <m/>
    <m/>
    <m/>
    <m/>
    <m/>
    <m/>
    <m/>
    <m/>
    <m/>
    <m/>
    <m/>
    <m/>
    <m/>
    <x v="0"/>
    <s v="Politechnika Gdańska"/>
    <n v="1997"/>
    <s v="tak"/>
    <s v="Automatyka i Robotyka"/>
    <s v="zgadzam się"/>
    <s v="zgadzam się"/>
    <s v="zgadzam się"/>
    <s v="zgadzam się"/>
    <s v="zgadzam się"/>
    <s v="Praca przed ukonczeniem studiow"/>
    <s v="nie dotyczy"/>
    <s v="nie dotyczy"/>
    <s v="Szeroka wiedza"/>
    <s v="Dobra wspolpraca studentow, otwarci wykladowcy"/>
    <s v="Ubogie zaplecze dydaktyczne"/>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Kadra z wiedza praktyczna"/>
    <s v="Otwartosc na wiedze z roznych dziedzin"/>
    <s v="Brak zaplecza dydaktycznego"/>
    <x v="1"/>
    <n v="1972"/>
    <s v="wieś"/>
    <m/>
    <s v="Technikum mechaniczne"/>
    <s v="brak"/>
    <m/>
  </r>
  <r>
    <n v="183"/>
    <n v="104"/>
    <n v="32"/>
    <s v="188.114.87.10"/>
    <s v="Link"/>
    <m/>
    <m/>
    <m/>
    <m/>
    <s v="Zakończono"/>
    <s v="2020-12-18 15:18:54"/>
    <s v="2020-12-18 15:44:50"/>
    <n v="1556"/>
    <n v="0"/>
    <x v="0"/>
    <x v="0"/>
    <m/>
    <m/>
    <m/>
    <m/>
    <m/>
    <m/>
    <m/>
    <m/>
    <m/>
    <m/>
    <m/>
    <m/>
    <m/>
    <m/>
    <m/>
    <x v="0"/>
    <s v="Politechnika Gdańska"/>
    <n v="2018"/>
    <s v="tak"/>
    <s v="Informatyka"/>
    <s v="zgadzam się"/>
    <s v="raczej się zgadzam"/>
    <s v="zgadzam się"/>
    <s v="raczej się zgadzam"/>
    <s v="zdecydowanie się zgadzam"/>
    <s v="praca przed ukończeniem studiów"/>
    <s v="powyżej 3000 zł, ale nie więcej niż 4000 zł"/>
    <s v="powyżej 7000 zł, ale nie więcej niż 8000 zł"/>
    <s v="większa świadomość technlogiczna aktualnego świata, zadowolenie z osiągnięcia tytułu naukowego"/>
    <s v="zajęcia z ludźmi pracującymi nie tylko na uczelni, podejście bardziej jak do dorosłych osób w odróżnieniu do studiów stacjonarnych I stopnia, moja większa dojrzałość i chęć zdobywania wiedzy"/>
    <s v="Według mnie formuła &quot;wykładów&quot; jest niezbyt efektywnym sposobem na przyswojenie teorii"/>
    <s v="niestacjonarne (zaocz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ilość osób z darem do zainteresowania studentów nauką, rozwinięte koła naukowe, wyposażenie laboratoriów   "/>
    <s v="znaczące projekty naukowe"/>
    <s v="przestarzałe technologie używane na zajęciach "/>
    <x v="1"/>
    <n v="1994"/>
    <s v="wieś"/>
    <m/>
    <s v="Politechnika Gdańska, Automatyka i Robotyka I st. inżynierskie dzienne"/>
    <m/>
    <m/>
  </r>
  <r>
    <n v="195"/>
    <n v="111"/>
    <n v="32"/>
    <s v="37.248.209.90"/>
    <s v="Link"/>
    <s v="http://m.facebook.com/"/>
    <m/>
    <m/>
    <m/>
    <s v="Zakończono"/>
    <s v="2020-12-18 16:02:52"/>
    <s v="2020-12-18 16:09:18"/>
    <n v="386"/>
    <n v="0"/>
    <x v="0"/>
    <x v="0"/>
    <m/>
    <m/>
    <m/>
    <m/>
    <m/>
    <m/>
    <m/>
    <m/>
    <m/>
    <m/>
    <m/>
    <m/>
    <m/>
    <m/>
    <m/>
    <x v="0"/>
    <s v="Politechnika Gdańska"/>
    <n v="2016"/>
    <s v="tak"/>
    <s v="Elektrotechnika"/>
    <s v="raczej się zgadzam"/>
    <s v="ani się zgadzam, ani nie zgadzam"/>
    <s v="raczej się zgadzam"/>
    <s v="zgadzam się"/>
    <s v="nie zgadzam się"/>
    <s v="praca przed ukończeniem studiów"/>
    <s v="powyżej 3000 zł, ale nie więcej niż 4000 zł"/>
    <s v="powyżej 3000 zł, ale nie więcej niż 4000 zł"/>
    <s v="Odporność na stres."/>
    <s v="Perspektywa dobrej pracy i ludzie na studiach."/>
    <s v="Egzaminy, traktowanie studentów przez wykładowców w sposób lekceważący."/>
    <s v="stacjonarne (dzienne) studia 1 stopnia (licencjackie / inżynierskie)"/>
    <m/>
    <x v="0"/>
    <m/>
    <m/>
    <m/>
    <m/>
    <m/>
    <m/>
    <m/>
    <m/>
    <m/>
    <m/>
    <m/>
    <m/>
    <m/>
    <m/>
    <m/>
    <m/>
    <m/>
    <m/>
    <m/>
    <m/>
    <m/>
    <m/>
    <m/>
    <m/>
    <m/>
    <m/>
    <m/>
    <m/>
    <m/>
    <m/>
    <m/>
    <m/>
    <m/>
    <m/>
    <m/>
    <m/>
    <m/>
    <m/>
    <m/>
    <m/>
    <m/>
    <m/>
    <m/>
    <m/>
    <m/>
    <x v="0"/>
    <m/>
    <m/>
    <m/>
    <m/>
    <m/>
    <m/>
    <m/>
    <m/>
    <m/>
    <x v="0"/>
    <m/>
    <m/>
    <m/>
    <m/>
    <m/>
    <m/>
    <m/>
    <m/>
    <m/>
    <x v="0"/>
    <m/>
    <m/>
    <m/>
    <m/>
    <m/>
    <m/>
    <m/>
    <m/>
    <m/>
    <m/>
    <m/>
    <m/>
    <m/>
    <m/>
    <m/>
    <m/>
    <m/>
    <m/>
    <m/>
    <m/>
    <m/>
    <m/>
    <m/>
    <m/>
    <m/>
    <m/>
    <m/>
    <m/>
    <x v="0"/>
    <s v="Tak"/>
    <m/>
    <m/>
    <m/>
    <m/>
    <m/>
    <m/>
    <m/>
    <m/>
    <m/>
    <m/>
    <m/>
    <m/>
    <m/>
    <m/>
    <m/>
    <m/>
    <m/>
    <m/>
    <m/>
    <m/>
    <m/>
    <m/>
    <m/>
    <m/>
    <x v="0"/>
    <m/>
    <m/>
    <m/>
    <m/>
    <m/>
    <m/>
    <m/>
    <m/>
    <m/>
    <m/>
    <m/>
    <m/>
    <m/>
    <m/>
    <m/>
    <m/>
    <m/>
    <m/>
    <m/>
    <m/>
    <m/>
    <m/>
    <m/>
    <m/>
    <m/>
    <m/>
    <m/>
    <m/>
    <m/>
    <m/>
    <m/>
    <m/>
    <m/>
    <s v="Zarobki po studiach."/>
    <s v="Podejście do studentów."/>
    <s v="Podejście do studentów przez wykładowców."/>
    <x v="0"/>
    <n v="1993"/>
    <s v="miasto gminne"/>
    <m/>
    <m/>
    <m/>
    <m/>
  </r>
  <r>
    <n v="135"/>
    <n v="82"/>
    <n v="67"/>
    <s v="37.47.228.248"/>
    <s v="Link"/>
    <s v="https://ankietaplus.pl/ankiety/analiza/wyniki-zbiorcze/13308"/>
    <m/>
    <m/>
    <m/>
    <s v="Zakończono"/>
    <s v="2020-12-04 09:38:48"/>
    <s v="2020-12-04 10:14:15"/>
    <n v="2127"/>
    <n v="0"/>
    <x v="0"/>
    <x v="0"/>
    <m/>
    <m/>
    <m/>
    <m/>
    <m/>
    <m/>
    <m/>
    <m/>
    <m/>
    <m/>
    <m/>
    <m/>
    <m/>
    <m/>
    <m/>
    <x v="0"/>
    <s v="Politechnika Gdańska"/>
    <n v="1982"/>
    <s v="tak"/>
    <s v="budowa maszyn"/>
    <s v="zdecydowanie się zgadzam"/>
    <s v="zdecydowanie się zgadzam"/>
    <s v="zdecydowanie się zgadzam"/>
    <s v="zdecydowanie się zgadzam"/>
    <s v="zdecydowanie się zgadzam"/>
    <n v="0"/>
    <s v="powyżej 3000 zł, ale nie więcej niż 4000 zł"/>
    <s v="powyżej 5000 zł, ale nie więcej niż 6000 zł"/>
    <s v="Umiejętność budowania pozytywnych relacji, lepiej się dogadywać niż kłócić"/>
    <s v="ciągłość studiów, skrócone studia, duża intensywność; kompetentna dobra kadra; niezłościwi wykładowcy"/>
    <s v="brak"/>
    <m/>
    <s v="jednolite mgr-inż"/>
    <x v="1"/>
    <n v="1"/>
    <s v="SWPS"/>
    <n v="2011"/>
    <s v="nie"/>
    <s v="Psychologia"/>
    <s v="zdecydowanie się zgadzam"/>
    <s v="zdecydowanie się zgadzam"/>
    <s v="zdecydowanie się zgadzam"/>
    <s v="zdecydowanie się zgadzam"/>
    <s v="zdecydowanie się zgadzam"/>
    <s v="praca na już na studiach"/>
    <s v="uczelnia poszerzyła postrzeganie dziedziny w której zdobywała wiedzę - wiele zastosowań zdobytej wiedzy"/>
    <s v="stacjonarne (dzienne) studia 2 stopnia (magisterskie)"/>
    <m/>
    <s v="studia podyplomowe, robi doktorat"/>
    <s v="Nie (przejście do kolejnej części badania)"/>
    <m/>
    <m/>
    <m/>
    <m/>
    <m/>
    <m/>
    <m/>
    <m/>
    <m/>
    <m/>
    <m/>
    <m/>
    <m/>
    <m/>
    <m/>
    <m/>
    <m/>
    <m/>
    <m/>
    <m/>
    <m/>
    <m/>
    <m/>
    <m/>
    <m/>
    <m/>
    <m/>
    <m/>
    <m/>
    <x v="0"/>
    <m/>
    <m/>
    <m/>
    <m/>
    <m/>
    <m/>
    <m/>
    <m/>
    <m/>
    <x v="1"/>
    <s v="Politechnika Gdańska"/>
    <s v="Budowa Maszyn"/>
    <s v="zdecydowanie się zgadzam"/>
    <s v="zdecydowanie się zgadzam"/>
    <s v="zdecydowanie się zgadzam"/>
    <s v="zgadzam się"/>
    <s v="zdecydowanie się zgadzam"/>
    <s v="zdecydowanie się zgadzam"/>
    <s v="dodanie wiary w to, że polska gospodarka może się rozwinąć;"/>
    <x v="0"/>
    <m/>
    <m/>
    <m/>
    <m/>
    <m/>
    <m/>
    <m/>
    <m/>
    <m/>
    <m/>
    <m/>
    <m/>
    <m/>
    <m/>
    <m/>
    <m/>
    <m/>
    <m/>
    <m/>
    <m/>
    <m/>
    <m/>
    <m/>
    <m/>
    <m/>
    <m/>
    <m/>
    <m/>
    <x v="2"/>
    <s v="Tak"/>
    <n v="1"/>
    <s v="PG"/>
    <s v="zdecydowanie się zgadzam"/>
    <s v="zdecydowanie się zgadzam"/>
    <s v="ani się zgadzam, ani nie zgadzam"/>
    <s v="Tak"/>
    <s v="pracowitość, chęć rozwoju, umiejętność budowania relacji, umiejętność pracy w stresie i pod presją czasu"/>
    <s v="projektanci, nadzór, monterzy (serwis)"/>
    <s v="Nie (przejście do kolejnej części badania)"/>
    <m/>
    <m/>
    <m/>
    <m/>
    <m/>
    <m/>
    <m/>
    <m/>
    <m/>
    <m/>
    <m/>
    <m/>
    <m/>
    <m/>
    <m/>
    <x v="0"/>
    <m/>
    <m/>
    <m/>
    <m/>
    <m/>
    <m/>
    <m/>
    <m/>
    <m/>
    <m/>
    <m/>
    <m/>
    <m/>
    <m/>
    <m/>
    <m/>
    <m/>
    <m/>
    <m/>
    <m/>
    <m/>
    <m/>
    <m/>
    <m/>
    <m/>
    <m/>
    <m/>
    <m/>
    <m/>
    <m/>
    <m/>
    <m/>
    <m/>
    <s v="umiejętność współpracy przy budowaniu gospodarki"/>
    <s v="mentalność włądz uczelni nastawiona na współpracę, zrozumienie misji uczelni technicznej, któa ma pracowac dla gospodarki"/>
    <s v="brak zrozumienia potrzeb rozwojowych kraju z punktu widzenia rozwoju gospodarki"/>
    <x v="1"/>
    <s v="1956?"/>
    <s v="duże miasto powiatowe"/>
    <m/>
    <s v="doktorat, studium podyplomowe - podwyższanie trwałości maszyn"/>
    <s v="studia rolnicze"/>
    <m/>
  </r>
  <r>
    <n v="198"/>
    <n v="113"/>
    <n v="31"/>
    <s v="87.206.5.55"/>
    <s v="Link"/>
    <m/>
    <m/>
    <m/>
    <m/>
    <s v="Zakończono"/>
    <s v="2020-12-18 16:32:02"/>
    <s v="2020-12-18 16:39:27"/>
    <n v="445"/>
    <n v="0"/>
    <x v="0"/>
    <x v="0"/>
    <m/>
    <m/>
    <m/>
    <m/>
    <m/>
    <m/>
    <m/>
    <m/>
    <m/>
    <m/>
    <m/>
    <m/>
    <m/>
    <m/>
    <m/>
    <x v="0"/>
    <s v="Politechnika Gdańska"/>
    <n v="2014"/>
    <s v="tak"/>
    <s v="Informatyka"/>
    <s v="zdecydowanie się zgadzam"/>
    <s v="zdecydowanie się zgadzam"/>
    <s v="raczej się zgadzam"/>
    <s v="ani się zgadzam, ani nie zgadzam"/>
    <s v="ani się zgadzam, ani nie zgadzam"/>
    <s v="praca przed ukończeniem studiów"/>
    <s v="powyżej 4000 zł, ale nie więcej niż 5000 zł"/>
    <s v="powyżej 6000 zł, ale nie więcej niż 7000 zł"/>
    <s v="poszerzenie wiedzy"/>
    <s v="dostęp do nowych technologii"/>
    <s v="niektóre przedmioty nie związane z wybrany kierunkiem"/>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
    <s v="Dostęp do różnych programów, technologii"/>
    <s v="Papierologia"/>
    <x v="1"/>
    <n v="1984"/>
    <s v="duże miasto powiatowe"/>
    <m/>
    <m/>
    <m/>
    <m/>
  </r>
  <r>
    <n v="212"/>
    <n v="116"/>
    <n v="30"/>
    <s v="5.173.0.252"/>
    <s v="Link"/>
    <m/>
    <m/>
    <m/>
    <m/>
    <s v="Zakończono"/>
    <s v="2020-12-19 11:44:43"/>
    <s v="2020-12-19 11:55:08"/>
    <n v="625"/>
    <n v="0"/>
    <x v="0"/>
    <x v="0"/>
    <m/>
    <m/>
    <m/>
    <m/>
    <m/>
    <m/>
    <m/>
    <m/>
    <m/>
    <m/>
    <m/>
    <m/>
    <m/>
    <m/>
    <m/>
    <x v="0"/>
    <s v="Politechnika Gdańska"/>
    <n v="2009"/>
    <s v="tak"/>
    <s v="Informatyka"/>
    <s v="raczej się zgadzam"/>
    <s v="zgadzam się"/>
    <s v="zdecydowanie się zgadzam"/>
    <s v="zdecydowanie się zgadzam"/>
    <s v="zdecydowanie się zgadzam"/>
    <s v="praca przed ukończeniem studiów"/>
    <s v="powyżej 4000 zł, ale nie więcej niż 5000 zł"/>
    <s v="powyżej 5000 zł, ale nie więcej niż 6000 zł"/>
    <m/>
    <s v="Poziom nauki, atmosfera znajomych"/>
    <s v="Niektóre zajęcia były nudne/nieadekwatne/nieżyciowe"/>
    <m/>
    <s v="Jednolite 1 i 2 stopnia na raz (mgr inż.)"/>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Wysokie wymagania stawiane studentom i pracownikom jeżeli chodzi o poziom merytoryczny i kulturalny"/>
    <s v="Całościowe spojrzenie i zajęcie się studentami"/>
    <s v="Nielogiczny rozkład zajęć, brak szacunku do studentów"/>
    <x v="1"/>
    <n v="1984"/>
    <s v="miasto wojewódzkie"/>
    <m/>
    <m/>
    <m/>
    <m/>
  </r>
  <r>
    <n v="215"/>
    <n v="118"/>
    <n v="32"/>
    <s v="158.233.246.28"/>
    <s v="Link"/>
    <m/>
    <m/>
    <m/>
    <m/>
    <s v="Zakończono"/>
    <s v="2020-12-19 21:01:07"/>
    <s v="2020-12-19 21:19:56"/>
    <n v="1129"/>
    <n v="0"/>
    <x v="0"/>
    <x v="0"/>
    <m/>
    <m/>
    <m/>
    <m/>
    <m/>
    <m/>
    <m/>
    <m/>
    <m/>
    <m/>
    <m/>
    <m/>
    <m/>
    <m/>
    <m/>
    <x v="0"/>
    <s v="Politechnika Gdańska"/>
    <n v="2014"/>
    <s v="tak"/>
    <s v="Zarządzanie inżynierskie"/>
    <s v="raczej się zgadzam"/>
    <s v="zgadzam się"/>
    <s v="raczej się zgadzam"/>
    <s v="raczej się zgadzam"/>
    <s v="zgadzam się"/>
    <n v="1"/>
    <s v="powyżej 1000 zł, ale nie więcej niż 2000 zł"/>
    <s v="powyżej 3000 zł, ale nie więcej niż 4000 zł"/>
    <m/>
    <s v="towarzystwo"/>
    <s v="konieczność uczęszczania na wszystkie zajęcia"/>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doświadczona kadra, wysokie wymagania wobec studenta"/>
    <s v="elastyczność - indywidualne podejście do studenta"/>
    <s v="mało doświadczona kadra, która nie potrafi zachęcić studentów, brak praktyki w Biznesie wśród kadry nauczającej"/>
    <x v="0"/>
    <n v="1990"/>
    <s v="miasto wojewódzkie"/>
    <m/>
    <s v="SGH/ SP"/>
    <s v="WSAiB/ studia II st. + SP"/>
    <m/>
  </r>
  <r>
    <n v="218"/>
    <n v="120"/>
    <n v="31"/>
    <s v="37.47.226.179"/>
    <s v="Link"/>
    <s v="http://m.facebook.com/"/>
    <m/>
    <m/>
    <m/>
    <s v="Zakończono"/>
    <s v="2020-12-20 17:46:57"/>
    <s v="2020-12-20 17:54:42"/>
    <n v="465"/>
    <n v="0"/>
    <x v="0"/>
    <x v="0"/>
    <m/>
    <m/>
    <m/>
    <m/>
    <m/>
    <m/>
    <m/>
    <m/>
    <m/>
    <m/>
    <m/>
    <m/>
    <m/>
    <m/>
    <m/>
    <x v="0"/>
    <s v="Politechnika Gdańska"/>
    <n v="2016"/>
    <s v="tak"/>
    <s v="Inżynieria środowiska"/>
    <s v="nie zgadzam się"/>
    <s v="nie zgadzam się"/>
    <s v="zdecydowanie się nie zgadzam"/>
    <s v="zdecydowanie się nie zgadzam"/>
    <s v="zdecydowanie się nie zgadzam"/>
    <n v="34"/>
    <s v="do 1000 zł"/>
    <s v="do 1000 zł"/>
    <s v="Nauczenie się kombinatorstwa i jest się nikim"/>
    <s v="Koledzy i koleżanki z roku"/>
    <s v="Nieudcziwosc prowadzących, brak uczciwości w wykonywaniu projektów"/>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Te uczelnie, których nauczyciele akademiccy wyjeżdżają na dłuższe staże zagraniczne salepszee. "/>
    <s v="Nabycie umiejętności praktycznych"/>
    <s v="Brak uczciwości, brak samodzielności, przeładowana siatka godzin"/>
    <x v="0"/>
    <n v="2006"/>
    <s v="wieś"/>
    <m/>
    <m/>
    <m/>
    <m/>
  </r>
  <r>
    <n v="125"/>
    <n v="74"/>
    <n v="79"/>
    <s v="89.64.73.37"/>
    <s v="Link"/>
    <m/>
    <m/>
    <m/>
    <m/>
    <s v="Zakończono"/>
    <s v="2020-10-28 13:55:46"/>
    <s v="2020-10-28 14:12:08"/>
    <n v="982"/>
    <n v="0"/>
    <x v="0"/>
    <x v="0"/>
    <m/>
    <m/>
    <m/>
    <m/>
    <m/>
    <m/>
    <m/>
    <m/>
    <m/>
    <m/>
    <m/>
    <m/>
    <m/>
    <m/>
    <m/>
    <x v="0"/>
    <s v="Politechnika Gdańska"/>
    <n v="1978"/>
    <s v="nie"/>
    <s v="Fizyka techniczna (kierunek średniotechniczny, ale kończący się tytuł zawodowy magistra inzyniera"/>
    <s v="zdecydowanie się zgadzam"/>
    <s v="zdecydowanie się zgadzam"/>
    <s v="zdecydowanie się zgadzam"/>
    <s v="zgadzam się"/>
    <s v="zgadzam się"/>
    <s v="niezłocznie po uzyskaniu dyplomu"/>
    <s v="nie dotyczy"/>
    <s v="nie dotyczy"/>
    <s v="to były bardzo dobre studia, zgodne z moimi zainteresowaniami"/>
    <s v="świetni wykładowcy, elitarny kierunek kształcenia (30 studentów), atmosfera"/>
    <s v="nie dotyczy"/>
    <m/>
    <s v="5-letnie magisterskie"/>
    <x v="1"/>
    <n v="1"/>
    <s v="SWPS"/>
    <n v="2020"/>
    <s v="nie"/>
    <s v="Psychologia"/>
    <s v="nie dotyczy"/>
    <s v="nie dotyczy"/>
    <s v="nie dotyczy"/>
    <s v="nie dotyczy"/>
    <s v="nie dotyczy"/>
    <s v="pracowała w trakcie studiów"/>
    <s v="świetni wykładowcy"/>
    <s v="niestacjonarne (zaoczne) studia 2 stopnia (magisterskie)"/>
    <m/>
    <s v="PG/kierunek zarządzanie i marketing"/>
    <s v="Nie (przejście do kolejnej części badania)"/>
    <m/>
    <m/>
    <m/>
    <m/>
    <m/>
    <m/>
    <m/>
    <m/>
    <m/>
    <m/>
    <m/>
    <m/>
    <m/>
    <m/>
    <m/>
    <m/>
    <m/>
    <m/>
    <m/>
    <m/>
    <m/>
    <m/>
    <m/>
    <m/>
    <m/>
    <m/>
    <m/>
    <m/>
    <m/>
    <x v="0"/>
    <m/>
    <m/>
    <m/>
    <m/>
    <m/>
    <m/>
    <m/>
    <m/>
    <m/>
    <x v="1"/>
    <s v="Politechnika Gdańska"/>
    <s v="Wydział Zarządzania i Ekonomii"/>
    <s v="zdecydowanie się zgadzam"/>
    <s v="raczej się zgadzam"/>
    <s v="zgadzam się"/>
    <s v="zdecydowanie się zgadzam"/>
    <s v="zgadzam się"/>
    <s v="zgadzam się"/>
    <s v="kształtowanie otwartych postaw, przekazywanie solidnej wiedzy"/>
    <x v="1"/>
    <m/>
    <m/>
    <s v="Członek senatu"/>
    <m/>
    <s v="PG"/>
    <s v="zgadzam się"/>
    <s v="zgadzam się"/>
    <s v="zgadzam się"/>
    <s v="zgadzam się"/>
    <s v="raczej się zgadzam"/>
    <s v="raczej się zgadzam"/>
    <s v="raczej się zgadzam"/>
    <n v="25"/>
    <n v="10"/>
    <n v="0"/>
    <n v="10"/>
    <n v="25"/>
    <n v="15"/>
    <n v="15"/>
    <m/>
    <n v="10"/>
    <n v="10"/>
    <n v="0"/>
    <n v="10"/>
    <n v="50"/>
    <n v="10"/>
    <n v="10"/>
    <m/>
    <x v="0"/>
    <m/>
    <m/>
    <m/>
    <m/>
    <m/>
    <m/>
    <m/>
    <m/>
    <m/>
    <m/>
    <m/>
    <m/>
    <m/>
    <m/>
    <m/>
    <m/>
    <m/>
    <m/>
    <m/>
    <m/>
    <m/>
    <m/>
    <m/>
    <m/>
    <m/>
    <x v="0"/>
    <m/>
    <m/>
    <m/>
    <m/>
    <m/>
    <m/>
    <m/>
    <m/>
    <m/>
    <m/>
    <m/>
    <m/>
    <m/>
    <m/>
    <m/>
    <m/>
    <m/>
    <m/>
    <m/>
    <m/>
    <m/>
    <m/>
    <m/>
    <m/>
    <m/>
    <m/>
    <m/>
    <m/>
    <m/>
    <m/>
    <m/>
    <m/>
    <m/>
    <s v="studia są trudne, ale ciekawe; należne miejsce zajmuje trzecia misja, są uczelniami badawczymi"/>
    <s v="jestem dumny z pracy na PG"/>
    <s v="chciałbym, aby uczelnia była coraz bardziej otwarta na oczekiwania otoczenia i kreowała je"/>
    <x v="1"/>
    <s v="ankieta jest anonimowa"/>
    <s v="miasto wojewódzkie"/>
    <m/>
    <s v="stopnie naukowe dr i dr hab."/>
    <m/>
    <m/>
  </r>
  <r>
    <n v="231"/>
    <n v="124"/>
    <n v="31"/>
    <s v="205.201.55.77"/>
    <s v="Link"/>
    <s v="http://m.facebook.com/"/>
    <m/>
    <m/>
    <m/>
    <s v="Zakończono"/>
    <s v="2020-12-23 17:52:30"/>
    <s v="2020-12-23 18:02:37"/>
    <n v="607"/>
    <n v="0"/>
    <x v="0"/>
    <x v="0"/>
    <m/>
    <m/>
    <m/>
    <m/>
    <m/>
    <m/>
    <m/>
    <m/>
    <m/>
    <m/>
    <m/>
    <m/>
    <m/>
    <m/>
    <m/>
    <x v="0"/>
    <s v="Politechnika Gdańska"/>
    <n v="2015"/>
    <s v="nie"/>
    <s v="Matematyka"/>
    <s v="raczej się zgadzam"/>
    <s v="zgadzam się"/>
    <s v="zdecydowanie się zgadzam"/>
    <s v="ani się zgadzam, ani nie zgadzam"/>
    <s v="raczej się zgadzam"/>
    <s v="Pracę znalazłem podczas magisterki, której ostatecznie nie ukończyłem"/>
    <s v="powyżej 3000 zł, ale nie więcej niż 4000 zł"/>
    <s v="powyżej 4000 zł, ale nie więcej niż 5000 zł"/>
    <s v="Dość cenne znajomości oraz, przede wszystkim, sposób myślenia i podejście do rozwiązywania problemów"/>
    <s v="Lubiłem matematykę jako taką, podobała mi się jednoznaczność i obiektywność tego, czego się tam uczyłem"/>
    <s v="Wyłącznie moje wady, takie, jak lenistwo"/>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Nie wiem"/>
    <s v="Wiedza, którą umiem wykorzystać w praktyce"/>
    <s v="Jeśli już, to niechęć do bycia sprawdzanym i ocenianym"/>
    <x v="1"/>
    <n v="1991"/>
    <s v="duże miasto powiatowe"/>
    <m/>
    <m/>
    <m/>
    <m/>
  </r>
  <r>
    <n v="234"/>
    <n v="126"/>
    <n v="30"/>
    <s v="89.78.2.27"/>
    <s v="Link"/>
    <m/>
    <m/>
    <m/>
    <m/>
    <s v="Zakończono"/>
    <s v="2020-12-23 21:37:59"/>
    <s v="2020-12-23 21:49:19"/>
    <n v="680"/>
    <n v="0"/>
    <x v="0"/>
    <x v="0"/>
    <m/>
    <m/>
    <m/>
    <m/>
    <m/>
    <m/>
    <m/>
    <m/>
    <m/>
    <m/>
    <m/>
    <m/>
    <m/>
    <m/>
    <m/>
    <x v="0"/>
    <s v="Politechnika Gdańska"/>
    <n v="2016"/>
    <s v="tak"/>
    <s v="Mechanika i Budowa Maszyn"/>
    <s v="zgadzam się"/>
    <s v="zgadzam się"/>
    <s v="zgadzam się"/>
    <s v="raczej się nie zgadzam"/>
    <s v="zgadzam się"/>
    <s v="praca przed ukończeniem studiów"/>
    <s v="powyżej 2000 zł, ale nie więcej niż 3000 zł"/>
    <s v="powyżej 4000 zł, ale nie więcej niż 5000 zł"/>
    <m/>
    <s v="Dobre towarzystwo, ciekawe zajęcia"/>
    <s v="Niektóre przedmioty/zajęcia wydawały się niepotrzebne"/>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Wiedza wykladowców i sposób prowadzenia wykladów lub ćwiczeń"/>
    <s v="Zdobyta wiedza, możliwość jej wykorzystania w pracy"/>
    <s v="Za mala ilość zajęć praktycznych"/>
    <x v="0"/>
    <n v="1991"/>
    <s v="duże miasto powiatowe"/>
    <m/>
    <m/>
    <m/>
    <m/>
  </r>
  <r>
    <n v="82"/>
    <n v="47"/>
    <n v="28"/>
    <s v="31.2.121.252"/>
    <s v="Link"/>
    <m/>
    <m/>
    <m/>
    <m/>
    <s v="Zakończono"/>
    <s v="2020-06-03 21:29:49"/>
    <s v="2020-06-03 22:25:38"/>
    <n v="3349"/>
    <n v="0"/>
    <x v="0"/>
    <x v="0"/>
    <m/>
    <m/>
    <m/>
    <m/>
    <m/>
    <m/>
    <m/>
    <m/>
    <m/>
    <m/>
    <m/>
    <m/>
    <m/>
    <m/>
    <m/>
    <x v="1"/>
    <m/>
    <m/>
    <m/>
    <m/>
    <m/>
    <m/>
    <m/>
    <m/>
    <m/>
    <m/>
    <m/>
    <m/>
    <m/>
    <m/>
    <m/>
    <m/>
    <m/>
    <x v="0"/>
    <m/>
    <m/>
    <m/>
    <m/>
    <m/>
    <m/>
    <m/>
    <m/>
    <m/>
    <m/>
    <m/>
    <m/>
    <m/>
    <m/>
    <m/>
    <m/>
    <m/>
    <m/>
    <m/>
    <m/>
    <m/>
    <m/>
    <m/>
    <m/>
    <m/>
    <m/>
    <m/>
    <m/>
    <m/>
    <m/>
    <m/>
    <m/>
    <m/>
    <m/>
    <m/>
    <m/>
    <m/>
    <m/>
    <m/>
    <m/>
    <m/>
    <m/>
    <m/>
    <m/>
    <m/>
    <x v="0"/>
    <m/>
    <m/>
    <m/>
    <m/>
    <m/>
    <m/>
    <m/>
    <m/>
    <m/>
    <x v="0"/>
    <m/>
    <m/>
    <m/>
    <m/>
    <m/>
    <m/>
    <m/>
    <m/>
    <m/>
    <x v="0"/>
    <m/>
    <m/>
    <m/>
    <m/>
    <m/>
    <m/>
    <m/>
    <m/>
    <m/>
    <m/>
    <m/>
    <m/>
    <m/>
    <m/>
    <m/>
    <m/>
    <m/>
    <m/>
    <m/>
    <m/>
    <m/>
    <m/>
    <m/>
    <m/>
    <m/>
    <m/>
    <m/>
    <m/>
    <x v="2"/>
    <s v="Tak"/>
    <n v="1"/>
    <s v="Politechnika Gdańska"/>
    <s v="raczej się zgadzam"/>
    <s v="raczej się zgadzam"/>
    <s v="raczej się nie zgadzam"/>
    <s v="Tak"/>
    <s v="techniczne"/>
    <s v="konstruktorzy"/>
    <s v="Nie (przejście do kolejnej części badania)"/>
    <m/>
    <m/>
    <m/>
    <m/>
    <m/>
    <m/>
    <m/>
    <m/>
    <m/>
    <m/>
    <m/>
    <m/>
    <m/>
    <m/>
    <m/>
    <x v="0"/>
    <s v="nie dotyczy"/>
    <m/>
    <s v="nie dotyczy"/>
    <m/>
    <m/>
    <m/>
    <m/>
    <m/>
    <m/>
    <m/>
    <m/>
    <m/>
    <m/>
    <m/>
    <m/>
    <m/>
    <m/>
    <m/>
    <m/>
    <m/>
    <m/>
    <m/>
    <m/>
    <m/>
    <m/>
    <m/>
    <m/>
    <m/>
    <m/>
    <m/>
    <m/>
    <m/>
    <m/>
    <s v="forma prowadzenia zajęć; programy nauczania"/>
    <s v="obycie społeczne absolwentów"/>
    <s v="brak praktycznego podejścia absolwentów do rozwiązywania problemów"/>
    <x v="0"/>
    <n v="1977"/>
    <s v="duże miasto powiatowe"/>
    <m/>
    <s v="studia podyplomowe"/>
    <m/>
    <m/>
  </r>
  <r>
    <n v="236"/>
    <n v="128"/>
    <n v="34"/>
    <s v="109.206.213.146"/>
    <s v="Link"/>
    <s v="https://www.linkedin.com/"/>
    <m/>
    <m/>
    <m/>
    <s v="Zakończono"/>
    <s v="2020-12-24 07:44:53"/>
    <s v="2020-12-24 08:01:59"/>
    <n v="1026"/>
    <n v="0"/>
    <x v="0"/>
    <x v="0"/>
    <m/>
    <m/>
    <m/>
    <m/>
    <m/>
    <m/>
    <m/>
    <m/>
    <m/>
    <m/>
    <m/>
    <m/>
    <m/>
    <m/>
    <m/>
    <x v="0"/>
    <s v="Politechnika Gdańska"/>
    <n v="2011"/>
    <s v="tak"/>
    <s v="Zarządzanie i Marketing / Zarządzanie Systemami Produkcyjnymi"/>
    <s v="zgadzam się"/>
    <s v="raczej się zgadzam"/>
    <s v="zgadzam się"/>
    <s v="ani się zgadzam, ani nie zgadzam"/>
    <s v="zdecydowanie się zgadzam"/>
    <s v="praca przed ukończeniem studiów "/>
    <s v="powyżej 1000 zł, ale nie więcej niż 2000 zł"/>
    <s v="powyżej 5000 zł, ale nie więcej niż 6000 zł"/>
    <s v="Lepszy zmysł techniczny "/>
    <s v="Wykładowcy "/>
    <s v="Wybrane Zajęcia czasem nie zmieniane od lat, kiedy inne starały się iść z duchem czasu"/>
    <m/>
    <s v="Stacjonarne magistersko-inżynierskie 5-letn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Program - czy jest dopasowany do tego, czego będzie potrzebować za kilka lat rynek (trendwatching), a nie "/>
    <s v="Prestiż uczelni"/>
    <s v="Wciąż za mało praktycznych rzeczy, które realnie wykorzystałam w zawodzie"/>
    <x v="0"/>
    <n v="1987"/>
    <s v="miasto gminne"/>
    <m/>
    <s v="SWPS Warszawa, SWPS Poznań"/>
    <s v="Nie dotyczy "/>
    <s v="Pytania można byłoby prościej opisać / przystępniej :) "/>
  </r>
  <r>
    <n v="11"/>
    <n v="10"/>
    <n v="62"/>
    <s v="83.23.251.56"/>
    <s v="Link"/>
    <m/>
    <m/>
    <m/>
    <m/>
    <s v="Zakończono"/>
    <s v="2020-05-06 08:27:07"/>
    <s v="2020-05-06 08:50:31"/>
    <n v="1404"/>
    <n v="0"/>
    <x v="0"/>
    <x v="0"/>
    <m/>
    <m/>
    <m/>
    <m/>
    <m/>
    <m/>
    <m/>
    <m/>
    <m/>
    <m/>
    <m/>
    <m/>
    <m/>
    <m/>
    <m/>
    <x v="0"/>
    <s v="Politechnika Gdańska"/>
    <n v="1986"/>
    <s v="tak"/>
    <s v="Technologia Maszyn"/>
    <s v="zgadzam się"/>
    <s v="zgadzam się"/>
    <s v="raczej się zgadzam"/>
    <s v="ani się zgadzam, ani nie zgadzam"/>
    <s v="ani się zgadzam, ani nie zgadzam"/>
    <n v="2"/>
    <s v="powyżej 2000 zł, ale nie więcej niż 3000 zł"/>
    <s v="powyżej 3000 zł, ale nie więcej niż 4000 zł"/>
    <s v="Rozumienie istoty rożnych zjawisk "/>
    <s v="Wysoki poziom kompetencji kadry"/>
    <s v="Brak skonkretyzowanych zainteresowań na pierwszych 2 latach studiów"/>
    <s v="stacjonarne (dzienne) studia 2 stopnia (magisterskie)"/>
    <m/>
    <x v="1"/>
    <n v="1"/>
    <s v="Uniwersytet Gdański"/>
    <n v="2011"/>
    <s v="nie"/>
    <s v="Biotechnologia"/>
    <s v="zgadzam się"/>
    <s v="zgadzam się"/>
    <s v="zdecydowanie się zgadzam"/>
    <s v="zdecydowanie się zgadzam"/>
    <s v="zdecydowanie się zgadzam"/>
    <n v="1"/>
    <s v="Dobre perspektywy rozwoju zawodowego, stabilność zatrudnienia"/>
    <s v="stacjonarne (dzienne) studia 2 stopnia (magisterskie)"/>
    <m/>
    <s v="Studia doktoranckie 2015"/>
    <s v="Nie (przejście do kolejnej części badania)"/>
    <m/>
    <m/>
    <m/>
    <m/>
    <m/>
    <m/>
    <m/>
    <m/>
    <m/>
    <m/>
    <m/>
    <m/>
    <m/>
    <m/>
    <m/>
    <m/>
    <m/>
    <m/>
    <m/>
    <m/>
    <m/>
    <m/>
    <m/>
    <m/>
    <m/>
    <m/>
    <m/>
    <m/>
    <m/>
    <x v="0"/>
    <m/>
    <m/>
    <m/>
    <m/>
    <m/>
    <m/>
    <m/>
    <m/>
    <m/>
    <x v="1"/>
    <s v="Politechnika Gdańska"/>
    <s v="Wydział Zarządzania i Ekonomii"/>
    <s v="zgadzam się"/>
    <s v="zgadzam się"/>
    <s v="raczej się zgadzam"/>
    <s v="zgadzam się"/>
    <s v="zgadzam się"/>
    <s v="zgadzam się"/>
    <s v="Wiarygodność, rzetelność kształcenia i dobry poziom badań naukowych"/>
    <x v="0"/>
    <m/>
    <m/>
    <m/>
    <m/>
    <m/>
    <m/>
    <m/>
    <m/>
    <m/>
    <m/>
    <m/>
    <m/>
    <m/>
    <m/>
    <m/>
    <m/>
    <m/>
    <m/>
    <m/>
    <m/>
    <m/>
    <m/>
    <m/>
    <m/>
    <m/>
    <m/>
    <m/>
    <m/>
    <x v="0"/>
    <s v="Nie"/>
    <s v="nie dotyczy"/>
    <m/>
    <m/>
    <m/>
    <m/>
    <m/>
    <m/>
    <m/>
    <m/>
    <m/>
    <m/>
    <m/>
    <m/>
    <m/>
    <m/>
    <m/>
    <m/>
    <m/>
    <m/>
    <m/>
    <m/>
    <m/>
    <m/>
    <m/>
    <x v="0"/>
    <s v="nie dotyczy"/>
    <m/>
    <s v="nie dotyczy"/>
    <m/>
    <m/>
    <m/>
    <m/>
    <m/>
    <m/>
    <m/>
    <m/>
    <m/>
    <m/>
    <m/>
    <m/>
    <m/>
    <m/>
    <m/>
    <m/>
    <m/>
    <m/>
    <m/>
    <m/>
    <m/>
    <m/>
    <m/>
    <m/>
    <m/>
    <m/>
    <m/>
    <m/>
    <m/>
    <m/>
    <s v="Dorobek i wiarygodność w ujęciu historycznym"/>
    <s v="szeroka oferta kierunków kształcenia, wysokie kwalifikacje kadry, kontakty z otoczeniem społeczno gospodarczym "/>
    <s v="zatory komunikacyjne, &quot;silosowość struktur zarządzania&quot;, podziały na grupy (kasty) pracowników, brak szacunku do opinii innych osób w zakresie podejmowania kluczowych decyzji  "/>
    <x v="1"/>
    <n v="1963"/>
    <s v="miasto wojewódzkie"/>
    <s v="Gdańsk"/>
    <s v="dr hab n. ekonomicznych dr nauk technicznych, magister inżynier mechanik"/>
    <s v="jw"/>
    <m/>
  </r>
  <r>
    <n v="245"/>
    <n v="131"/>
    <n v="32"/>
    <s v="188.147.123.202"/>
    <s v="Link"/>
    <s v="https://poczta.o2.pl/d/"/>
    <m/>
    <m/>
    <m/>
    <s v="Zakończono"/>
    <s v="2021-01-10 23:52:12"/>
    <s v="2021-01-11 00:00:36"/>
    <n v="504"/>
    <n v="0"/>
    <x v="0"/>
    <x v="0"/>
    <m/>
    <m/>
    <m/>
    <m/>
    <m/>
    <m/>
    <m/>
    <m/>
    <m/>
    <m/>
    <m/>
    <m/>
    <m/>
    <m/>
    <m/>
    <x v="0"/>
    <s v="Politechnika Gdańska"/>
    <n v="2003"/>
    <s v="tak"/>
    <s v="Biotechnologia"/>
    <s v="zgadzam się"/>
    <s v="zgadzam się"/>
    <s v="raczej się zgadzam"/>
    <s v="ani się zgadzam, ani nie zgadzam"/>
    <s v="ani się zgadzam, ani nie zgadzam"/>
    <s v="praca przed ukończeniem studiów"/>
    <s v="do 1000 zł"/>
    <s v="powyżej 1000 zł, ale nie więcej niż 2000 zł"/>
    <s v="laboratoria, praktyczne doświadczenie"/>
    <s v="lubienie większości przedmiotów"/>
    <s v="dużo godzin"/>
    <s v="stacjonarne (dzienne) studia 2 stopnia (magisterskie)"/>
    <s v="5-letn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dobra pozycja absolwentów na rynku pracy"/>
    <s v="prestiż uczelni"/>
    <s v="program nauczania nieskorelowany z zapotrzebowaniem na rynku pracy"/>
    <x v="0"/>
    <n v="1979"/>
    <s v="miasto wojewódzkie"/>
    <m/>
    <m/>
    <m/>
    <m/>
  </r>
  <r>
    <n v="74"/>
    <n v="40"/>
    <n v="46"/>
    <s v="153.19.40.3"/>
    <s v="Link"/>
    <m/>
    <m/>
    <m/>
    <m/>
    <s v="Zakończono"/>
    <s v="2020-05-20 11:42:44"/>
    <s v="2020-05-20 11:48:25"/>
    <n v="341"/>
    <n v="0"/>
    <x v="0"/>
    <x v="0"/>
    <m/>
    <m/>
    <m/>
    <m/>
    <m/>
    <m/>
    <m/>
    <m/>
    <m/>
    <m/>
    <m/>
    <m/>
    <m/>
    <m/>
    <m/>
    <x v="0"/>
    <s v="Uniwersytet Gdański"/>
    <n v="2007"/>
    <s v="nie"/>
    <s v="Politologia"/>
    <s v="nie zgadzam się"/>
    <s v="zdecydowanie się nie zgadzam"/>
    <s v="raczej się nie zgadzam"/>
    <s v="raczej się zgadzam"/>
    <s v="zgadzam się"/>
    <s v="praca przed ukończeniem studiów"/>
    <s v="powyżej 2000 zł, ale nie więcej niż 3000 zł"/>
    <s v="powyżej 3000 zł, ale nie więcej niż 4000 zł"/>
    <s v="otwartość umysłu"/>
    <s v="inni ludzie, wykładowcy, kontakty"/>
    <s v="lokalizacja, wykładowcy, tematyka, organizacja studiów"/>
    <s v="stacjonarne (dzienne) studia 1 stopnia (licencjackie / inżynierskie)"/>
    <m/>
    <x v="0"/>
    <m/>
    <m/>
    <m/>
    <m/>
    <m/>
    <m/>
    <m/>
    <m/>
    <m/>
    <m/>
    <m/>
    <m/>
    <m/>
    <m/>
    <m/>
    <m/>
    <m/>
    <m/>
    <m/>
    <m/>
    <m/>
    <m/>
    <m/>
    <m/>
    <m/>
    <m/>
    <m/>
    <m/>
    <m/>
    <m/>
    <m/>
    <m/>
    <m/>
    <m/>
    <m/>
    <m/>
    <m/>
    <m/>
    <m/>
    <m/>
    <m/>
    <m/>
    <m/>
    <m/>
    <m/>
    <x v="1"/>
    <s v="Politechnika Gdańska"/>
    <s v="Centrala"/>
    <s v="zgadzam się"/>
    <s v="zgadzam się"/>
    <s v="zdecydowanie się zgadzam"/>
    <s v="zdecydowanie się zgadzam"/>
    <s v="zgadzam się"/>
    <s v="zgadzam się"/>
    <s v="prestiż, tradycja akademicka"/>
    <x v="0"/>
    <m/>
    <m/>
    <m/>
    <m/>
    <m/>
    <m/>
    <m/>
    <m/>
    <m/>
    <x v="0"/>
    <m/>
    <m/>
    <m/>
    <m/>
    <m/>
    <m/>
    <m/>
    <m/>
    <m/>
    <m/>
    <m/>
    <m/>
    <m/>
    <m/>
    <m/>
    <m/>
    <m/>
    <m/>
    <m/>
    <m/>
    <m/>
    <m/>
    <m/>
    <m/>
    <m/>
    <m/>
    <m/>
    <m/>
    <x v="0"/>
    <s v="Tak"/>
    <s v="nie dotyczy"/>
    <m/>
    <m/>
    <m/>
    <m/>
    <m/>
    <m/>
    <m/>
    <m/>
    <m/>
    <m/>
    <m/>
    <m/>
    <m/>
    <m/>
    <m/>
    <m/>
    <m/>
    <m/>
    <m/>
    <m/>
    <m/>
    <m/>
    <m/>
    <x v="0"/>
    <s v="nie dotyczy"/>
    <m/>
    <s v="nie dotyczy"/>
    <m/>
    <m/>
    <m/>
    <m/>
    <m/>
    <m/>
    <m/>
    <m/>
    <m/>
    <m/>
    <m/>
    <m/>
    <m/>
    <m/>
    <m/>
    <m/>
    <m/>
    <m/>
    <m/>
    <m/>
    <m/>
    <m/>
    <m/>
    <m/>
    <m/>
    <m/>
    <m/>
    <m/>
    <m/>
    <m/>
    <s v="kadra, infrastruktura"/>
    <s v="jakość kształcenia"/>
    <s v="lokalizacja, infrastruktura"/>
    <x v="1"/>
    <n v="1983"/>
    <s v="duże miasto powiatowe"/>
    <m/>
    <s v="Dr"/>
    <s v="-"/>
    <m/>
  </r>
  <r>
    <n v="261"/>
    <n v="138"/>
    <n v="61"/>
    <s v="5.173.8.81"/>
    <s v="Link"/>
    <m/>
    <m/>
    <m/>
    <m/>
    <s v="Zakończono"/>
    <s v="2022-08-15 10:49:03"/>
    <s v="2022-08-15 10:59:19"/>
    <n v="616"/>
    <n v="0"/>
    <x v="0"/>
    <x v="0"/>
    <m/>
    <m/>
    <m/>
    <m/>
    <m/>
    <m/>
    <m/>
    <m/>
    <m/>
    <m/>
    <m/>
    <m/>
    <m/>
    <m/>
    <m/>
    <x v="0"/>
    <s v="Uniwersytet Gdański"/>
    <n v="1992"/>
    <s v="nie"/>
    <s v="Historia"/>
    <s v="zgadzam się"/>
    <s v="zdecydowanie się zgadzam"/>
    <s v="zgadzam się"/>
    <s v="ani się zgadzam, ani nie zgadzam"/>
    <s v="raczej się zgadzam"/>
    <n v="0"/>
    <s v="powyżej 1000 zł, ale nie więcej niż 2000 zł"/>
    <s v="powyżej 2000 zł, ale nie więcej niż 3000 zł"/>
    <s v="poszerzenie horyzontów, kontakt ze środowiskiem zawodowym"/>
    <s v=" "/>
    <s v=" "/>
    <s v="stacjonarne (dzienne) studia 2 stopnia (magisterskie)"/>
    <s v="jednolite magisterskie"/>
    <x v="1"/>
    <n v="1"/>
    <s v="Uniwersytet Jagielloński"/>
    <n v="2019"/>
    <s v="nie"/>
    <s v="Filologia polska"/>
    <s v="zdecydowanie się zgadzam"/>
    <s v="zdecydowanie się zgadzam"/>
    <s v="zdecydowanie się zgadzam"/>
    <s v="zdecydowanie się zgadzam"/>
    <s v="nie dotyczy"/>
    <s v="praca jeszcze przed ukończeniem studiów"/>
    <s v="kształtowanie poglądów; kontakty w środowisku zawodowym"/>
    <s v="stacjonarne (dzienne) studia 2 stopnia (magisterskie)"/>
    <m/>
    <s v="Podyplomowe - logopedia"/>
    <s v="Nie (przejście do kolejnej części badania)"/>
    <m/>
    <m/>
    <m/>
    <m/>
    <m/>
    <m/>
    <m/>
    <m/>
    <m/>
    <m/>
    <m/>
    <m/>
    <m/>
    <m/>
    <m/>
    <m/>
    <m/>
    <m/>
    <m/>
    <m/>
    <m/>
    <m/>
    <m/>
    <m/>
    <m/>
    <m/>
    <m/>
    <m/>
    <m/>
    <x v="0"/>
    <m/>
    <m/>
    <m/>
    <m/>
    <m/>
    <m/>
    <m/>
    <m/>
    <m/>
    <x v="0"/>
    <m/>
    <m/>
    <m/>
    <m/>
    <m/>
    <m/>
    <m/>
    <m/>
    <m/>
    <x v="0"/>
    <m/>
    <m/>
    <m/>
    <m/>
    <m/>
    <m/>
    <m/>
    <m/>
    <m/>
    <m/>
    <m/>
    <m/>
    <m/>
    <m/>
    <m/>
    <m/>
    <m/>
    <m/>
    <m/>
    <m/>
    <m/>
    <m/>
    <m/>
    <m/>
    <m/>
    <m/>
    <m/>
    <m/>
    <x v="0"/>
    <m/>
    <m/>
    <m/>
    <m/>
    <m/>
    <m/>
    <m/>
    <m/>
    <m/>
    <m/>
    <m/>
    <m/>
    <m/>
    <m/>
    <m/>
    <m/>
    <m/>
    <m/>
    <m/>
    <m/>
    <m/>
    <m/>
    <m/>
    <m/>
    <m/>
    <x v="2"/>
    <s v="przedstawiciel władz gminy"/>
    <s v="Rada gminy Czersk"/>
    <n v="1"/>
    <s v="Politechnika Gdańska"/>
    <s v="zgadzam się"/>
    <s v="zgadzam się"/>
    <s v="zdecydowanie się zgadzam"/>
    <s v="zdecydowanie się zgadzam"/>
    <s v="nie dotyczy"/>
    <s v="nie dotyczy"/>
    <s v="zdecydowanie się zgadzam"/>
    <m/>
    <m/>
    <s v="Nie (przejście do kolejnej części badania)"/>
    <m/>
    <m/>
    <m/>
    <m/>
    <m/>
    <m/>
    <m/>
    <m/>
    <m/>
    <m/>
    <m/>
    <m/>
    <m/>
    <m/>
    <m/>
    <m/>
    <m/>
    <m/>
    <m/>
    <s v=" "/>
    <s v=" "/>
    <s v=" "/>
    <x v="1"/>
    <n v="1968"/>
    <s v="miasto gminne"/>
    <m/>
    <s v="Podyplomowe - Zarządzanie"/>
    <m/>
    <s v="[A02]"/>
  </r>
  <r>
    <n v="1"/>
    <n v="1"/>
    <n v="34"/>
    <s v="37.47.232.142"/>
    <s v="Link"/>
    <m/>
    <m/>
    <m/>
    <m/>
    <s v="Zakończono"/>
    <s v="2020-04-20 14:55:16"/>
    <s v="2020-04-21 09:13:07"/>
    <n v="65871"/>
    <n v="0"/>
    <x v="0"/>
    <x v="0"/>
    <m/>
    <m/>
    <m/>
    <m/>
    <m/>
    <m/>
    <m/>
    <m/>
    <m/>
    <m/>
    <m/>
    <m/>
    <m/>
    <m/>
    <m/>
    <x v="0"/>
    <s v="Politechnika Gdańska "/>
    <m/>
    <s v="tak"/>
    <s v="Biotechnologia"/>
    <s v="raczej się nie zgadzam"/>
    <s v="raczej się nie zgadzam"/>
    <s v="zdecydowanie się nie zgadzam"/>
    <s v="zdecydowanie się nie zgadzam"/>
    <s v="zdecydowanie się nie zgadzam"/>
    <s v="1 miesiąc "/>
    <s v="powyżej 1000 zł, ale nie więcej niż 2000 zł"/>
    <s v="nie dotyczy"/>
    <s v="Znajomość ogólnej wiedzy chemicznej i biologicznej pozwalająca być świadomym konsumentem i lepiej dbać o zdrowie"/>
    <s v="współpraca z innymi studentami, wspólne szukanie rozwiązań "/>
    <s v="Stosunek wykładowców do studentów "/>
    <m/>
    <s v="Stacjonarne jednolite mgr inżynier"/>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Nie wiem nie mam porównania "/>
    <s v="Zaangażowanie i rzetelne podejście do nauczania przez kadrę "/>
    <s v="Przeszycia osobiste i losowość zdawalności egzaminów "/>
    <x v="0"/>
    <n v="1987"/>
    <s v="miasto wojewódzkie"/>
    <m/>
    <s v="Brak"/>
    <s v="brak"/>
    <s v="Trochę słabe jest przełamywanie przez te wszystkie ankiety... może dałoby się Robić jedna najpierw z pytaniem jako kto możesz wypełnić ta ankietę z wielokrotnym wyborem i potem tylko te zaznaczone przelecieć ... kocham Cie"/>
  </r>
  <r>
    <n v="211"/>
    <n v="115"/>
    <n v="35"/>
    <s v="89.64.126.173"/>
    <s v="Link"/>
    <m/>
    <m/>
    <m/>
    <m/>
    <s v="Zakończono"/>
    <s v="2020-12-19 09:07:09"/>
    <s v="2020-12-19 09:25:41"/>
    <n v="1112"/>
    <n v="0"/>
    <x v="0"/>
    <x v="0"/>
    <m/>
    <m/>
    <m/>
    <m/>
    <m/>
    <m/>
    <m/>
    <m/>
    <m/>
    <m/>
    <m/>
    <m/>
    <m/>
    <m/>
    <m/>
    <x v="0"/>
    <s v="Politechnika Gdańska "/>
    <n v="2001"/>
    <s v="tak"/>
    <s v="Telekomunikacja"/>
    <s v="zgadzam się"/>
    <s v="zgadzam się"/>
    <s v="zgadzam się"/>
    <s v="raczej się zgadzam"/>
    <s v="raczej się zgadzam"/>
    <s v="Praca przed ukończeniem 2-go kierunku studiów. Ok 8 miesięcy po ukończeniu studiow podstawowowych."/>
    <s v="powyżej 1000 zł, ale nie więcej niż 2000 zł"/>
    <s v="powyżej 2000 zł, ale nie więcej niż 3000 zł"/>
    <s v="Poszerzenie horyzontów, zwłaszcza technicznych."/>
    <s v="Interesujące przedmioty, możliwość wymiany doświadczeń, wiedzy z innymi studentami. "/>
    <s v="Bardzo uciążliwe zaliczanie trudnych przedmiotów. Frustrujace, długotrwałe, zaniżające samoocenę. Zazwyczaj te przedmioty były złe wykładane lub bez niezbędnego przygotowania na wczesniejsCzych latach studiów lub poprzednich etapach edukacji.   "/>
    <s v="stacjonarne (dzienne) studia 2 stopnia (magisterskie)"/>
    <s v="Stacjonarne, dzienne studia magisterskie z tytułem inżyniera, 5 letn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Zbyt ogólne pytanie. Mógłbym pisać przez kilka stron."/>
    <s v="Efekty jej działalności: to kim jestem i co wiem, oraz znani mi absolwenci."/>
    <s v="Bardzo duży wysiłek i stres związany ze studiowaniem przez większość semestrów.."/>
    <x v="1"/>
    <n v="1976"/>
    <s v="miasto wojewódzkie"/>
    <m/>
    <s v="2-letnie uzupełniające, magisterskie studia Zarządzania na PG."/>
    <s v="Doradca rodzinny - nauczyciel metod Naturalnego Planowania Rodziny"/>
    <s v="Ankieta do drobnej korekty po zebraniu pilotażowej ilości odpowiedzi."/>
  </r>
  <r>
    <n v="233"/>
    <n v="125"/>
    <n v="44"/>
    <s v="46.151.137.185"/>
    <s v="Link"/>
    <s v="http://m.facebook.com/"/>
    <m/>
    <m/>
    <m/>
    <s v="Zakończono"/>
    <s v="2020-12-23 20:20:18"/>
    <s v="2020-12-23 20:30:45"/>
    <n v="627"/>
    <n v="0"/>
    <x v="0"/>
    <x v="0"/>
    <m/>
    <m/>
    <m/>
    <m/>
    <m/>
    <m/>
    <m/>
    <m/>
    <m/>
    <m/>
    <m/>
    <m/>
    <m/>
    <m/>
    <m/>
    <x v="0"/>
    <s v="Politechnika Gdańska "/>
    <n v="2011"/>
    <s v="tak"/>
    <s v="Zarządzanie i marketing "/>
    <s v="zdecydowanie się zgadzam"/>
    <s v="zdecydowanie się zgadzam"/>
    <s v="zdecydowanie się zgadzam"/>
    <s v="ani się zgadzam, ani nie zgadzam"/>
    <s v="zgadzam się"/>
    <s v="6 mcy"/>
    <s v="powyżej 1000 zł, ale nie więcej niż 2000 zł"/>
    <s v="powyżej 3000 zł, ale nie więcej niż 4000 zł"/>
    <s v="Rozwiązywanie problemów, wykorzystanie technicznej wiedzy - praca w firmie produkcyjnej, bardzo dobra znajomość Office, zarządzanie zespołem i zadaniami, odporność na stres"/>
    <s v="Praktyczne wykorzystanie, trudne zadania, praca w zespole i indywidualnie"/>
    <s v="Okienka, czasami słabe wyklady- wina prowadzacych"/>
    <s v="stacjonarne (dzienne) studia 2 stopnia (magisterskie)"/>
    <s v="Mgr-inż- dzienne"/>
    <x v="0"/>
    <m/>
    <m/>
    <m/>
    <m/>
    <m/>
    <m/>
    <m/>
    <m/>
    <m/>
    <m/>
    <m/>
    <m/>
    <m/>
    <m/>
    <m/>
    <m/>
    <m/>
    <m/>
    <m/>
    <m/>
    <m/>
    <m/>
    <m/>
    <m/>
    <m/>
    <m/>
    <m/>
    <m/>
    <m/>
    <m/>
    <m/>
    <m/>
    <m/>
    <m/>
    <m/>
    <m/>
    <m/>
    <m/>
    <m/>
    <m/>
    <m/>
    <m/>
    <m/>
    <m/>
    <m/>
    <x v="0"/>
    <m/>
    <m/>
    <m/>
    <m/>
    <m/>
    <m/>
    <m/>
    <m/>
    <m/>
    <x v="0"/>
    <m/>
    <m/>
    <m/>
    <m/>
    <m/>
    <m/>
    <m/>
    <m/>
    <m/>
    <x v="0"/>
    <m/>
    <m/>
    <m/>
    <m/>
    <m/>
    <m/>
    <m/>
    <m/>
    <m/>
    <m/>
    <m/>
    <m/>
    <m/>
    <m/>
    <m/>
    <m/>
    <m/>
    <m/>
    <m/>
    <m/>
    <m/>
    <m/>
    <m/>
    <m/>
    <m/>
    <m/>
    <m/>
    <m/>
    <x v="2"/>
    <s v="Nie"/>
    <s v="nie dotyczy"/>
    <s v="Nd"/>
    <s v="nie dotyczy"/>
    <s v="nie dotyczy"/>
    <s v="nie dotyczy"/>
    <s v="Nie"/>
    <s v="Nd"/>
    <s v="Nd"/>
    <s v="Nie (przejście do kolejnej części badania)"/>
    <m/>
    <m/>
    <m/>
    <m/>
    <m/>
    <m/>
    <m/>
    <m/>
    <m/>
    <m/>
    <m/>
    <m/>
    <m/>
    <m/>
    <m/>
    <x v="0"/>
    <m/>
    <m/>
    <m/>
    <m/>
    <m/>
    <m/>
    <m/>
    <m/>
    <m/>
    <m/>
    <m/>
    <m/>
    <m/>
    <m/>
    <m/>
    <m/>
    <m/>
    <m/>
    <m/>
    <m/>
    <m/>
    <m/>
    <m/>
    <m/>
    <m/>
    <m/>
    <m/>
    <m/>
    <m/>
    <m/>
    <m/>
    <m/>
    <m/>
    <s v="Nd"/>
    <s v="Nd"/>
    <s v="Nd"/>
    <x v="0"/>
    <n v="1987"/>
    <s v="miasto gminne"/>
    <m/>
    <s v="Nd"/>
    <s v="Nd"/>
    <m/>
  </r>
  <r>
    <n v="13"/>
    <n v="12"/>
    <n v="35"/>
    <s v="109.207.157.128"/>
    <s v="Link"/>
    <m/>
    <m/>
    <m/>
    <m/>
    <s v="Zakończono"/>
    <s v="2020-05-09 12:30:41"/>
    <s v="2020-05-25 13:50:14"/>
    <n v="1387173"/>
    <n v="0"/>
    <x v="0"/>
    <x v="0"/>
    <m/>
    <m/>
    <m/>
    <m/>
    <m/>
    <m/>
    <m/>
    <m/>
    <m/>
    <m/>
    <m/>
    <m/>
    <m/>
    <m/>
    <m/>
    <x v="0"/>
    <s v="Politechnika Gdańska"/>
    <n v="2011"/>
    <s v="tak"/>
    <s v="zarządzanie"/>
    <s v="zdecydowanie się zgadzam"/>
    <s v="zdecydowanie się zgadzam"/>
    <s v="zgadzam się"/>
    <s v="raczej się zgadzam"/>
    <s v="zdecydowanie się zgadzam"/>
    <s v="Pracowałem już w czasie studiów"/>
    <s v="powyżej 2000 zł, ale nie więcej niż 3000 zł"/>
    <s v="powyżej 4000 zł, ale nie więcej niż 5000 zł"/>
    <s v="Efektem kształcenia jest szeroki zakres ogólnej wiedzy &quot;biznesowej&quot; i kompetencji zarówno technicznych jak i społecznych."/>
    <s v="szeroki zakres tematyczny studiów"/>
    <s v="zbyt wiele mało kreatywnych zajęć (np. dość &quot;szablonowe&quot; projekty)"/>
    <s v="stacjonarne (dzienne) studia 2 stopnia (magisterskie)"/>
    <s v="stacjonarne magistersko-inżynierskie"/>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W przypadku uczelni technicznych unikatowa wiedza + nastawienie na rynek i praktykę"/>
    <s v="dostosowanie treści studiów (szerokości i poziomu wiedzy) do własnych horyzontów zawodowych"/>
    <s v="zbyt dużo obowiązków w trakcie studiów"/>
    <x v="1"/>
    <n v="1987"/>
    <s v="nieduże miasto powiatowe"/>
    <m/>
    <s v="socjologia licencjat + III stopień"/>
    <s v="w trakcie pisania doktoratu"/>
    <m/>
  </r>
  <r>
    <n v="91"/>
    <n v="55"/>
    <n v="77"/>
    <s v="83.23.232.192"/>
    <s v="Link"/>
    <m/>
    <m/>
    <m/>
    <m/>
    <s v="Zakończono"/>
    <s v="2020-06-28 09:50:26"/>
    <s v="2020-06-29 07:07:15"/>
    <n v="76609"/>
    <n v="0"/>
    <x v="0"/>
    <x v="0"/>
    <m/>
    <m/>
    <m/>
    <m/>
    <m/>
    <m/>
    <m/>
    <m/>
    <m/>
    <m/>
    <m/>
    <m/>
    <m/>
    <m/>
    <m/>
    <x v="0"/>
    <s v="Uniwersytet Gdański"/>
    <n v="1980"/>
    <s v="nie"/>
    <s v="filologia angielska"/>
    <s v="zdecydowanie się zgadzam"/>
    <s v="zdecydowanie się zgadzam"/>
    <s v="zgadzam się"/>
    <s v="raczej się nie zgadzam"/>
    <s v="raczej się nie zgadzam"/>
    <s v="12 miesięcy"/>
    <s v="powyżej 2000 zł, ale nie więcej niż 3000 zł"/>
    <s v="powyżej 2000 zł, ale nie więcej niż 3000 zł"/>
    <s v="wieksza róznorodność kierunków i oferowanych zajęć"/>
    <s v="znakomici wykladowcy"/>
    <s v="brak dostępu do dobrych publikacji/zbiorów bibliotecznych"/>
    <s v="stacjonarne (dzienne) studia 2 stopnia (magisterskie)"/>
    <m/>
    <x v="1"/>
    <n v="2"/>
    <s v="Uniwersytet Gdański"/>
    <n v="2009"/>
    <s v="nie"/>
    <s v="Politologia"/>
    <s v="zdecydowanie się zgadzam"/>
    <s v="zdecydowanie się zgadzam"/>
    <s v="zdecydowanie się zgadzam"/>
    <s v="raczej się nie zgadzam"/>
    <s v="raczej się nie zgadzam"/>
    <s v="12 miesiecy"/>
    <s v="rozwój intelektualny"/>
    <s v="stacjonarne (dzienne) studia 2 stopnia (magisterskie)"/>
    <m/>
    <s v="psychologia"/>
    <s v="Nie (przejście do kolejnej części badania)"/>
    <m/>
    <m/>
    <m/>
    <m/>
    <m/>
    <m/>
    <m/>
    <m/>
    <m/>
    <m/>
    <m/>
    <m/>
    <m/>
    <m/>
    <m/>
    <m/>
    <m/>
    <m/>
    <m/>
    <m/>
    <m/>
    <m/>
    <m/>
    <m/>
    <m/>
    <m/>
    <m/>
    <m/>
    <m/>
    <x v="1"/>
    <s v="Uniwersytet Gdański"/>
    <s v="Wydział Filologiczny"/>
    <s v="zdecydowanie się zgadzam"/>
    <s v="raczej się zgadzam"/>
    <s v="raczej się nie zgadzam"/>
    <s v="zdecydowanie się zgadzam"/>
    <s v="zdecydowanie się zgadzam"/>
    <s v="zdecydowanie się zgadzam"/>
    <s v="rozwój umiejętności społecznych"/>
    <x v="1"/>
    <s v="Uniwersytet Gdański"/>
    <s v="Wydział Filologiczny"/>
    <s v="zdecydowanie się zgadzam"/>
    <s v="raczej się zgadzam"/>
    <s v="raczej się nie zgadzam"/>
    <s v="zdecydowanie się zgadzam"/>
    <s v="zdecydowanie się zgadzam"/>
    <s v="zgadzam się"/>
    <s v="możliwość rozwoju społecznego"/>
    <x v="0"/>
    <m/>
    <m/>
    <m/>
    <m/>
    <m/>
    <m/>
    <m/>
    <m/>
    <m/>
    <m/>
    <m/>
    <m/>
    <m/>
    <m/>
    <m/>
    <m/>
    <m/>
    <m/>
    <m/>
    <m/>
    <m/>
    <m/>
    <m/>
    <m/>
    <m/>
    <m/>
    <m/>
    <m/>
    <x v="2"/>
    <s v="Nie"/>
    <n v="1"/>
    <s v="Uniwersytet Gdański"/>
    <s v="zdecydowanie się zgadzam"/>
    <s v="zdecydowanie się zgadzam"/>
    <s v="nie zgadzam się"/>
    <s v="Nie"/>
    <s v="umiejętność pracy naukowej"/>
    <s v="dydaktyka, publikacje naukowe"/>
    <s v="Nie (przejście do kolejnej części badania)"/>
    <m/>
    <m/>
    <m/>
    <m/>
    <m/>
    <m/>
    <m/>
    <m/>
    <m/>
    <m/>
    <m/>
    <m/>
    <m/>
    <m/>
    <m/>
    <x v="0"/>
    <s v="nie dotyczy"/>
    <m/>
    <s v="nie dotyczy"/>
    <m/>
    <m/>
    <m/>
    <m/>
    <m/>
    <m/>
    <m/>
    <m/>
    <m/>
    <m/>
    <m/>
    <m/>
    <m/>
    <m/>
    <m/>
    <m/>
    <m/>
    <m/>
    <m/>
    <m/>
    <m/>
    <m/>
    <m/>
    <m/>
    <m/>
    <m/>
    <m/>
    <m/>
    <m/>
    <m/>
    <s v="publikacje pracowników w renomowanych czasopismach naukowych"/>
    <s v="możliwość indywidualnego rozwoju i autonomia pracy"/>
    <s v="małe zarobki i konieczność pracy dodatkowej w innych uczelniach"/>
    <x v="0"/>
    <n v="1957"/>
    <s v="miasto wojewódzkie"/>
    <m/>
    <s v="dr hab."/>
    <m/>
    <m/>
  </r>
  <r>
    <n v="95"/>
    <n v="58"/>
    <n v="19"/>
    <s v="37.47.232.179"/>
    <s v="Link"/>
    <s v="https://ankietaplus.pl/ankiety/analiza/statystyki/13308"/>
    <m/>
    <m/>
    <m/>
    <s v="Zakończono"/>
    <s v="2020-07-26 00:10:40"/>
    <s v="2020-07-26 00:18:16"/>
    <n v="456"/>
    <n v="0"/>
    <x v="0"/>
    <x v="0"/>
    <m/>
    <m/>
    <m/>
    <m/>
    <m/>
    <m/>
    <m/>
    <m/>
    <m/>
    <m/>
    <m/>
    <m/>
    <m/>
    <m/>
    <m/>
    <x v="1"/>
    <m/>
    <m/>
    <m/>
    <m/>
    <m/>
    <m/>
    <m/>
    <m/>
    <m/>
    <m/>
    <m/>
    <m/>
    <m/>
    <m/>
    <m/>
    <m/>
    <m/>
    <x v="0"/>
    <m/>
    <m/>
    <m/>
    <m/>
    <m/>
    <m/>
    <m/>
    <m/>
    <m/>
    <m/>
    <m/>
    <m/>
    <m/>
    <m/>
    <m/>
    <m/>
    <m/>
    <m/>
    <m/>
    <m/>
    <m/>
    <m/>
    <m/>
    <m/>
    <m/>
    <m/>
    <m/>
    <m/>
    <m/>
    <m/>
    <m/>
    <m/>
    <m/>
    <m/>
    <m/>
    <m/>
    <m/>
    <m/>
    <m/>
    <m/>
    <m/>
    <m/>
    <m/>
    <m/>
    <m/>
    <x v="0"/>
    <m/>
    <m/>
    <m/>
    <m/>
    <m/>
    <m/>
    <m/>
    <m/>
    <m/>
    <x v="0"/>
    <m/>
    <m/>
    <m/>
    <m/>
    <m/>
    <m/>
    <m/>
    <m/>
    <m/>
    <x v="0"/>
    <m/>
    <m/>
    <m/>
    <m/>
    <m/>
    <m/>
    <m/>
    <m/>
    <m/>
    <m/>
    <m/>
    <m/>
    <m/>
    <m/>
    <m/>
    <m/>
    <m/>
    <m/>
    <m/>
    <m/>
    <m/>
    <m/>
    <m/>
    <m/>
    <m/>
    <m/>
    <m/>
    <m/>
    <x v="0"/>
    <s v="Tak"/>
    <m/>
    <m/>
    <m/>
    <m/>
    <m/>
    <m/>
    <m/>
    <m/>
    <m/>
    <m/>
    <m/>
    <m/>
    <m/>
    <m/>
    <m/>
    <m/>
    <m/>
    <m/>
    <m/>
    <m/>
    <m/>
    <m/>
    <m/>
    <m/>
    <x v="0"/>
    <s v="nie dotyczy"/>
    <m/>
    <m/>
    <m/>
    <m/>
    <m/>
    <m/>
    <m/>
    <m/>
    <m/>
    <m/>
    <m/>
    <m/>
    <m/>
    <m/>
    <m/>
    <m/>
    <m/>
    <m/>
    <m/>
    <m/>
    <m/>
    <m/>
    <m/>
    <m/>
    <m/>
    <m/>
    <m/>
    <m/>
    <m/>
    <m/>
    <m/>
    <m/>
    <s v="ciekawe wykłady; efekty kształcenie są bardzo zależne od zaangażowania ucznia"/>
    <s v="dobra atmosfera wśród grupy studentów"/>
    <s v="organizacja; realizacja nieprzydatnych przedmiotów; brak praktyk; niedostosowanie oferty do rynku pracy; "/>
    <x v="1"/>
    <n v="1992"/>
    <s v="miasto wojewódzkie"/>
    <m/>
    <s v="Technik informatyk"/>
    <s v="Licencjat"/>
    <m/>
  </r>
  <r>
    <n v="110"/>
    <n v="65"/>
    <n v="35"/>
    <s v="37.47.226.16"/>
    <s v="Link"/>
    <s v="https://mail.yahoo.com/"/>
    <m/>
    <m/>
    <m/>
    <s v="Zakończono"/>
    <s v="2020-08-24 14:42:23"/>
    <s v="2020-08-24 15:01:50"/>
    <n v="1167"/>
    <n v="0"/>
    <x v="0"/>
    <x v="0"/>
    <m/>
    <m/>
    <m/>
    <m/>
    <m/>
    <m/>
    <m/>
    <m/>
    <m/>
    <m/>
    <m/>
    <m/>
    <m/>
    <m/>
    <m/>
    <x v="0"/>
    <s v="Politechnika Krakowska, Politechnika Gdańska "/>
    <s v="1 stopień 2007 (PK), 2 stopień (PG)"/>
    <s v="tak"/>
    <s v="Mechanika i budowa maszyn "/>
    <s v="raczej się nie zgadzam"/>
    <s v="ani się zgadzam, ani nie zgadzam"/>
    <s v="nie zgadzam się"/>
    <s v="zdecydowanie się nie zgadzam"/>
    <s v="zdecydowanie się nie zgadzam"/>
    <n v="5"/>
    <s v="powyżej 2000 zł, ale nie więcej niż 3000 zł"/>
    <s v="powyżej 2000 zł, ale nie więcej niż 3000 zł"/>
    <m/>
    <s v="Brak "/>
    <s v="pobieżny sposób przekazywania informacji, brak dostępu do narzędzi, nieistotne przedmioty nie mające żadnego wplywu na naukę chyba że pod kątem marnowania czasu"/>
    <s v="niestacjonarne (zaoczne) studia 1 stopnia (licencjackie / inżynierskie)"/>
    <s v="Niestacjonarne 1 i 2 stopnia"/>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Poziom wiedzy i sposób przekazywania przez prowadzących, otwartość pracowników placówek na innowacyjność i rozwój "/>
    <s v="J.w."/>
    <s v="Brak zaangażowania prowadzących, słaby poziom wiedzy pod kątem nowości technicznych oraz stosowanych aktualnych rozwiązań  i "/>
    <x v="1"/>
    <n v="1982"/>
    <s v="nieduże miasto powiatowe"/>
    <m/>
    <m/>
    <m/>
    <m/>
  </r>
  <r>
    <n v="159"/>
    <n v="92"/>
    <n v="33"/>
    <s v="158.233.246.4"/>
    <s v="Link"/>
    <m/>
    <m/>
    <m/>
    <m/>
    <s v="Zakończono"/>
    <s v="2020-12-16 09:13:59"/>
    <s v="2020-12-16 09:30:46"/>
    <n v="1007"/>
    <n v="0"/>
    <x v="0"/>
    <x v="0"/>
    <m/>
    <m/>
    <m/>
    <m/>
    <m/>
    <m/>
    <m/>
    <m/>
    <m/>
    <m/>
    <m/>
    <m/>
    <m/>
    <m/>
    <m/>
    <x v="0"/>
    <s v="Politechnika Łódzka"/>
    <n v="2006"/>
    <s v="nie"/>
    <s v="Matematyka Stosowana"/>
    <s v="zdecydowanie się zgadzam"/>
    <s v="zdecydowanie się zgadzam"/>
    <s v="zdecydowanie się zgadzam"/>
    <s v="zgadzam się"/>
    <s v="zdecydowanie się zgadzam"/>
    <s v="4 miesiące"/>
    <s v="powyżej 1000 zł, ale nie więcej niż 2000 zł"/>
    <s v="powyżej 3000 zł, ale nie więcej niż 4000 zł"/>
    <s v="Wiedza, umiejętność logicznego myślenia, rozwój osobowości"/>
    <s v="Tematyka zajęć, dobry kontakt z wykładowcami, jasne i przejrzyste zasady"/>
    <s v="Nie było takich"/>
    <m/>
    <s v="Stacjonarne jednolite studia magistersk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Poziom nauczania, atmosfera na uczelni (mobilizowanie do zdobywania wiedzy i samokształcenia, tworzenie atmosfery naukowej)"/>
    <s v="Odpowiadałam już na to pytanie wcześniej"/>
    <s v="Brak"/>
    <x v="0"/>
    <n v="1983"/>
    <s v="miasto wojewódzkie"/>
    <m/>
    <s v="kurs trenerski"/>
    <s v="Nie dotyczy"/>
    <m/>
  </r>
  <r>
    <n v="162"/>
    <n v="93"/>
    <n v="31"/>
    <s v="158.233.246.26"/>
    <s v="Link"/>
    <m/>
    <m/>
    <m/>
    <m/>
    <s v="Zakończono"/>
    <s v="2020-12-16 12:41:27"/>
    <s v="2020-12-16 12:49:37"/>
    <n v="490"/>
    <n v="0"/>
    <x v="0"/>
    <x v="0"/>
    <m/>
    <m/>
    <m/>
    <m/>
    <m/>
    <m/>
    <m/>
    <m/>
    <m/>
    <m/>
    <m/>
    <m/>
    <m/>
    <m/>
    <m/>
    <x v="0"/>
    <s v="Politechnika Łódzka"/>
    <n v="2006"/>
    <s v="tak"/>
    <s v="Informatyka"/>
    <s v="zgadzam się"/>
    <s v="zgadzam się"/>
    <s v="zdecydowanie się zgadzam"/>
    <s v="zgadzam się"/>
    <s v="zgadzam się"/>
    <s v="praca przed ukończeniem studiów"/>
    <s v="powyżej 4000 zł, ale nie więcej niż 5000 zł"/>
    <s v="powyżej 6000 zł, ale nie więcej niż 7000 zł"/>
    <s v="systematyczne podejście do rozwiązywania problemów"/>
    <s v="zajęcia praktyczne, znajomi"/>
    <s v="przedmioty nie związane bezpośrednio z pracą"/>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Kładzenie nacisku na praktyczne wykorzystanie wiedzy"/>
    <s v="Dostęp do zaawansowanego sprzętu i kadry potrafiącej przekazać wiedzę"/>
    <s v="Czasami przestarzały program i cześć kadry nie potrafiąca przekazać wiedzy"/>
    <x v="1"/>
    <n v="1982"/>
    <s v="miasto wojewódzkie"/>
    <m/>
    <m/>
    <m/>
    <m/>
  </r>
  <r>
    <n v="115"/>
    <n v="69"/>
    <n v="32"/>
    <s v="5.173.43.199"/>
    <s v="Link"/>
    <m/>
    <m/>
    <m/>
    <m/>
    <s v="Zakończono"/>
    <s v="2020-09-14 10:33:36"/>
    <s v="2020-09-14 10:53:42"/>
    <n v="1206"/>
    <n v="0"/>
    <x v="0"/>
    <x v="0"/>
    <m/>
    <m/>
    <m/>
    <m/>
    <m/>
    <m/>
    <m/>
    <m/>
    <m/>
    <m/>
    <m/>
    <m/>
    <m/>
    <m/>
    <m/>
    <x v="0"/>
    <s v="Politechnika Warszawska"/>
    <n v="2004"/>
    <s v="tak"/>
    <s v="Architektura"/>
    <s v="raczej się zgadzam"/>
    <s v="raczej się zgadzam"/>
    <s v="zgadzam się"/>
    <s v="ani się zgadzam, ani nie zgadzam"/>
    <s v="zgadzam się"/>
    <s v="praca przed ukończeniem studiów"/>
    <s v="powyżej 2000 zł, ale nie więcej niż 3000 zł"/>
    <s v="powyżej 4000 zł, ale nie więcej niż 5000 zł"/>
    <s v="ogólna znajomość zagadnień z wielu dziedzin inżynierskich i sztuk"/>
    <s v="Wykładowcy praktycy"/>
    <s v="wykładowcy &quot;z przypadku&quot; i problemy z zapisami na bardziej cenione zajęcia"/>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Kadra, ludzie z pasją, prawdziwi naukowcy a jednocześnie praktycy"/>
    <s v="kierunek dał szeroką wiedzę z wielu dziedzin - do ew. pogłębienia w przypadku wyboru specjalizacji"/>
    <s v="było mało możliwości do odbywania praktyk w ramach studiów."/>
    <x v="0"/>
    <n v="1976"/>
    <s v="miasto wojewódzkie"/>
    <m/>
    <m/>
    <m/>
    <m/>
  </r>
  <r>
    <n v="117"/>
    <n v="70"/>
    <n v="30"/>
    <s v="185.56.174.2"/>
    <s v="Link"/>
    <m/>
    <m/>
    <m/>
    <m/>
    <s v="Zakończono"/>
    <s v="2020-09-16 09:37:11"/>
    <s v="2020-09-16 09:43:09"/>
    <n v="358"/>
    <n v="0"/>
    <x v="0"/>
    <x v="0"/>
    <m/>
    <m/>
    <m/>
    <m/>
    <m/>
    <m/>
    <m/>
    <m/>
    <m/>
    <m/>
    <m/>
    <m/>
    <m/>
    <m/>
    <m/>
    <x v="0"/>
    <s v="Politechnika Warszawska"/>
    <n v="2018"/>
    <s v="tak"/>
    <s v="Architektura"/>
    <s v="zgadzam się"/>
    <s v="ani się zgadzam, ani nie zgadzam"/>
    <s v="raczej się zgadzam"/>
    <s v="zgadzam się"/>
    <s v="nie dotyczy"/>
    <n v="1"/>
    <s v="powyżej 3000 zł, ale nie więcej niż 4000 zł"/>
    <s v="nie dotyczy"/>
    <m/>
    <s v="Możliwość wyboru zajęć "/>
    <s v="Część prowadzących była niekompetentna/nie zaangażowana"/>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zaangażowanie kadry, elastyczność programu"/>
    <s v="zdobycie (częściowej) wiedzy i tytułu"/>
    <s v="część kadry nie zainteresowana przekazaniem wiedzy i samodoksztalcaniem, słabo wyposażone sale / zaplecze dla studentów typu modelarnie. pokoje wspólnej pracy"/>
    <x v="0"/>
    <n v="1991"/>
    <s v="miasto wojewódzkie"/>
    <m/>
    <m/>
    <m/>
    <m/>
  </r>
  <r>
    <n v="119"/>
    <s v="BRAK"/>
    <n v="16"/>
    <s v="185.56.174.2"/>
    <s v="Link"/>
    <m/>
    <m/>
    <m/>
    <m/>
    <s v="W trakcie"/>
    <s v="2020-09-16 09:47:58"/>
    <s v="2020-09-16 09:47:58"/>
    <n v="0"/>
    <n v="0"/>
    <x v="0"/>
    <x v="0"/>
    <m/>
    <m/>
    <m/>
    <m/>
    <m/>
    <m/>
    <m/>
    <m/>
    <m/>
    <m/>
    <m/>
    <m/>
    <m/>
    <m/>
    <m/>
    <x v="0"/>
    <s v="Politechnika Warszawska"/>
    <n v="2001"/>
    <s v="tak"/>
    <s v="Architektura"/>
    <s v="raczej się zgadzam"/>
    <s v="raczej się zgadzam"/>
    <s v="ani się zgadzam, ani nie zgadzam"/>
    <s v="raczej się zgadzam"/>
    <s v="ani się zgadzam, ani nie zgadzam"/>
    <n v="1"/>
    <s v="powyżej 2000 zł, ale nie więcej niż 3000 zł"/>
    <s v="powyżej 3000 zł, ale nie więcej niż 4000 zł"/>
    <m/>
    <m/>
    <m/>
    <s v="stacjonarne (dzienne) studia 1 stopnia (licencjackie / inżynierskie)"/>
    <m/>
    <x v="2"/>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r>
    <n v="2"/>
    <n v="2"/>
    <n v="95"/>
    <s v="31.179.150.134"/>
    <s v="Link"/>
    <m/>
    <m/>
    <m/>
    <m/>
    <s v="Zakończono"/>
    <s v="2020-04-30 13:28:06"/>
    <s v="2020-04-30 13:54:19"/>
    <n v="1573"/>
    <n v="0"/>
    <x v="0"/>
    <x v="0"/>
    <m/>
    <m/>
    <m/>
    <m/>
    <m/>
    <m/>
    <m/>
    <m/>
    <m/>
    <m/>
    <m/>
    <m/>
    <m/>
    <m/>
    <m/>
    <x v="0"/>
    <s v="Akademia Muzyczna w Gdańsku"/>
    <n v="1986"/>
    <s v="nie"/>
    <s v="Wydział Instrumentalny - skrzypce"/>
    <s v="zgadzam się"/>
    <s v="zgadzam się"/>
    <s v="zgadzam się"/>
    <s v="ani się zgadzam, ani nie zgadzam"/>
    <s v="zgadzam się"/>
    <n v="3"/>
    <s v="do 1000 zł"/>
    <s v="powyżej 3000 zł, ale nie więcej niż 4000 zł"/>
    <s v="wrażliwość na sztukę i rozumienie problemów środowiska artystów"/>
    <s v="studiowałem kierunek zgodny z moją pasją"/>
    <s v="trudności lokalowe/brak sal do ćwiczenia"/>
    <s v="stacjonarne (dzienne) studia 2 stopnia (magisterskie)"/>
    <s v="jednolite studia magisterskie"/>
    <x v="1"/>
    <n v="2"/>
    <s v="Uniwersytet Warszawski"/>
    <n v="2013"/>
    <s v="nie"/>
    <s v="Prawo"/>
    <s v="raczej się zgadzam"/>
    <s v="zgadzam się"/>
    <s v="zgadzam się"/>
    <s v="zgadzam się"/>
    <s v="zgadzam się"/>
    <s v="jeszcze przed ukończeniem"/>
    <s v="umiejętność ścisłego (prawniczego) rozumowania"/>
    <s v="stacjonarne (dzienne) studia 2 stopnia (magisterskie)"/>
    <m/>
    <s v="SGH Zarządzanie i Marketing - studia podyplomowe"/>
    <s v="Tak (przejście do analogicznej części oceny dotyczącej drugiego podopiecznego)"/>
    <s v="Szkoła Główna Handlowa w Warszawie"/>
    <n v="2015"/>
    <s v="nie"/>
    <s v="Rachunkowość i Finanse"/>
    <s v="zgadzam się"/>
    <s v="zdecydowanie się zgadzam"/>
    <s v="zgadzam się"/>
    <s v="zgadzam się"/>
    <s v="zgadzam się"/>
    <s v="Jeszcze przed ukończeniem studiów"/>
    <s v="Opinia o uczelni jest pomocna w znalezieniu dobrej pracy"/>
    <s v="stacjonarne (dzienne) studia 1 stopnia (licencjackie / inżynierskie)"/>
    <m/>
    <m/>
    <s v="Nie (przejście do kolejnej części badania)"/>
    <m/>
    <m/>
    <m/>
    <m/>
    <m/>
    <m/>
    <m/>
    <m/>
    <m/>
    <m/>
    <m/>
    <m/>
    <m/>
    <m/>
    <x v="0"/>
    <m/>
    <m/>
    <m/>
    <m/>
    <m/>
    <m/>
    <m/>
    <m/>
    <m/>
    <x v="0"/>
    <m/>
    <m/>
    <m/>
    <m/>
    <m/>
    <m/>
    <m/>
    <m/>
    <m/>
    <x v="1"/>
    <m/>
    <m/>
    <m/>
    <s v="Członek rady uczelni"/>
    <s v="Akademia Muzyczna im. S.Moniuszki w Gdańsku"/>
    <s v="raczej się zgadzam"/>
    <s v="zgadzam się"/>
    <s v="ani się zgadzam, ani nie zgadzam"/>
    <s v="ani się zgadzam, ani nie zgadzam"/>
    <s v="raczej się zgadzam"/>
    <s v="raczej się zgadzam"/>
    <s v="zgadzam się"/>
    <n v="25"/>
    <n v="25"/>
    <n v="2"/>
    <n v="5"/>
    <n v="8"/>
    <n v="25"/>
    <n v="10"/>
    <m/>
    <n v="20"/>
    <n v="20"/>
    <n v="1"/>
    <n v="4"/>
    <n v="25"/>
    <n v="25"/>
    <n v="5"/>
    <m/>
    <x v="2"/>
    <s v="Tak"/>
    <n v="1"/>
    <s v="SGGW"/>
    <s v="zgadzam się"/>
    <s v="zgadzam się"/>
    <s v="ani się zgadzam, ani nie zgadzam"/>
    <s v="Nie"/>
    <s v="Znajomość branży i dokładność w wykonywaniu pracy"/>
    <s v="inżynierskie, kreślarskie, nadzór na budowie"/>
    <s v="Nie (przejście do kolejnej części badania)"/>
    <m/>
    <m/>
    <m/>
    <m/>
    <m/>
    <m/>
    <m/>
    <m/>
    <m/>
    <m/>
    <m/>
    <m/>
    <m/>
    <m/>
    <m/>
    <x v="0"/>
    <s v="nie dotyczy"/>
    <m/>
    <m/>
    <m/>
    <m/>
    <m/>
    <m/>
    <m/>
    <m/>
    <m/>
    <m/>
    <m/>
    <m/>
    <m/>
    <m/>
    <m/>
    <m/>
    <m/>
    <m/>
    <m/>
    <m/>
    <m/>
    <m/>
    <m/>
    <m/>
    <m/>
    <m/>
    <m/>
    <m/>
    <m/>
    <m/>
    <m/>
    <m/>
    <s v="poziom kadry pedagogicznej"/>
    <s v="wyniesiona wiedza"/>
    <s v="stosunek do pracy pracownika"/>
    <x v="1"/>
    <n v="1961"/>
    <s v="miasto wojewódzkie"/>
    <m/>
    <s v="Podyplomowe SGH"/>
    <m/>
    <m/>
  </r>
  <r>
    <n v="8"/>
    <n v="8"/>
    <n v="58"/>
    <s v="94.172.217.53"/>
    <s v="Link"/>
    <m/>
    <m/>
    <m/>
    <m/>
    <s v="Zakończono"/>
    <s v="2020-05-04 18:33:10"/>
    <s v="2020-05-04 18:45:58"/>
    <n v="768"/>
    <n v="0"/>
    <x v="0"/>
    <x v="0"/>
    <m/>
    <m/>
    <m/>
    <m/>
    <m/>
    <m/>
    <m/>
    <m/>
    <m/>
    <m/>
    <m/>
    <m/>
    <m/>
    <m/>
    <m/>
    <x v="0"/>
    <s v="Uniwersytet Warszawski"/>
    <n v="1973"/>
    <s v="nie"/>
    <s v="Fuzyka"/>
    <s v="zdecydowanie się zgadzam"/>
    <s v="zdecydowanie się zgadzam"/>
    <s v="zgadzam się"/>
    <s v="zdecydowanie się nie zgadzam"/>
    <s v="zdecydowanie się nie zgadzam"/>
    <n v="0"/>
    <s v="do 1000 zł"/>
    <s v="do 1000 zł"/>
    <s v="Znajomość matematyki i fizyki, kreatywność w rozwiązywaniu problemów. "/>
    <s v="Satysfakcja z wysokiego poziomu studiów, reputacja uczelni, dobra atmosfera w relacjach z kolegami i kadrą. "/>
    <s v="Trudność zagadnień, słabe przygotowanie z liceum"/>
    <s v="stacjonarne (dzienne) studia 1 stopnia (licencjackie / inżynierskie)"/>
    <m/>
    <x v="1"/>
    <n v="3"/>
    <s v="Uniwersytet Warszawski"/>
    <s v="Nie wiem"/>
    <s v="nie"/>
    <s v="Politologia "/>
    <s v="zdecydowanie się zgadzam"/>
    <s v="zdecydowanie się zgadzam"/>
    <s v="nie zgadzam się"/>
    <s v="nie zgadzam się"/>
    <s v="nie zgadzam się"/>
    <n v="0"/>
    <s v="Reputacja, wysoki poziom nauczania, "/>
    <s v="stacjonarne (dzienne) studia 1 stopnia (licencjackie / inżynierskie)"/>
    <m/>
    <m/>
    <s v="Nie (przejście do kolejnej części badania)"/>
    <m/>
    <m/>
    <m/>
    <m/>
    <m/>
    <m/>
    <m/>
    <m/>
    <m/>
    <m/>
    <m/>
    <m/>
    <m/>
    <m/>
    <m/>
    <m/>
    <m/>
    <m/>
    <m/>
    <m/>
    <m/>
    <m/>
    <m/>
    <m/>
    <m/>
    <m/>
    <m/>
    <m/>
    <m/>
    <x v="0"/>
    <m/>
    <m/>
    <m/>
    <m/>
    <m/>
    <m/>
    <m/>
    <m/>
    <m/>
    <x v="1"/>
    <s v="SGH"/>
    <s v="Kolegium Analiz Ekonomicznych"/>
    <s v="zgadzam się"/>
    <s v="zgadzam się"/>
    <s v="zgadzam się"/>
    <s v="zgadzam się"/>
    <s v="zgadzam się"/>
    <s v="zgadzam się"/>
    <s v="Orientacja na rozwiązywanie problemów, postawa otwartości, szacunek dla warsztatu zawodowego "/>
    <x v="0"/>
    <m/>
    <m/>
    <m/>
    <m/>
    <m/>
    <m/>
    <m/>
    <m/>
    <m/>
    <m/>
    <m/>
    <m/>
    <m/>
    <m/>
    <m/>
    <m/>
    <m/>
    <m/>
    <m/>
    <m/>
    <m/>
    <m/>
    <m/>
    <m/>
    <m/>
    <m/>
    <m/>
    <m/>
    <x v="0"/>
    <s v="Nie"/>
    <s v="nie dotyczy"/>
    <m/>
    <m/>
    <m/>
    <m/>
    <m/>
    <m/>
    <m/>
    <m/>
    <m/>
    <m/>
    <m/>
    <m/>
    <m/>
    <m/>
    <m/>
    <m/>
    <m/>
    <m/>
    <m/>
    <m/>
    <m/>
    <m/>
    <m/>
    <x v="0"/>
    <s v="nie dotyczy"/>
    <m/>
    <s v="nie dotyczy"/>
    <m/>
    <m/>
    <m/>
    <m/>
    <m/>
    <m/>
    <m/>
    <m/>
    <m/>
    <m/>
    <m/>
    <m/>
    <m/>
    <m/>
    <m/>
    <m/>
    <m/>
    <m/>
    <m/>
    <m/>
    <m/>
    <m/>
    <m/>
    <m/>
    <m/>
    <m/>
    <m/>
    <m/>
    <m/>
    <m/>
    <s v="jakość badań, jakość kształcenia, sprawne zarządzanie"/>
    <s v="dobra infrastruktura dydaktyczna, dobre przygotowanie studentów, rosnące docenianie wartości osiągnięć naukowych, "/>
    <s v="mierne umiejętności władz akademickich "/>
    <x v="1"/>
    <n v="1950"/>
    <s v="miasto wojewódzkie"/>
    <m/>
    <m/>
    <m/>
    <m/>
  </r>
  <r>
    <n v="84"/>
    <n v="49"/>
    <n v="49"/>
    <s v="5.173.165.128"/>
    <s v="Link"/>
    <m/>
    <m/>
    <m/>
    <m/>
    <s v="Zakończono"/>
    <s v="2020-06-06 23:24:32"/>
    <s v="2020-06-06 23:47:01"/>
    <n v="1349"/>
    <n v="0"/>
    <x v="0"/>
    <x v="1"/>
    <s v="SGGW"/>
    <s v="nie"/>
    <s v="Rolnictwo dla absolwentów kierunków nierolniczych "/>
    <s v="raczej się zgadzam"/>
    <s v="raczej się zgadzam"/>
    <s v="ani się zgadzam, ani nie zgadzam"/>
    <s v="założenie własnej firmy"/>
    <s v="do 1000 zł"/>
    <s v="powyżej 5000 zł, ale nie więcej niż 6000 zł"/>
    <s v="Uzyskanie uprawnień do posiadania ziemii "/>
    <s v="dogodne formy prowadzenia zajęć, bliskość uczelni "/>
    <s v="brak jasnej komunikacji oraz zdolności interpersonalnych u części wykładowców"/>
    <m/>
    <s v="Podyplomowe"/>
    <n v="2"/>
    <x v="0"/>
    <s v="SGH"/>
    <n v="2019"/>
    <s v="nie"/>
    <s v="finanse i rachunkowość "/>
    <s v="zgadzam się"/>
    <s v="zgadzam się"/>
    <s v="zdecydowanie się zgadzam"/>
    <s v="ani się zgadzam, ani nie zgadzam"/>
    <s v="zgadzam się"/>
    <s v="praca przed zakończeniem studiów "/>
    <s v="powyżej 2000 zł, ale nie więcej niż 3000 zł"/>
    <s v="powyżej 5000 zł, ale nie więcej niż 6000 zł"/>
    <s v="dyplomdobrze wygląda w CV, wysokie kompetencje językowe "/>
    <s v="kompetencja wykładowców, kadra z dużym doświadczeniem praktycznym "/>
    <s v="niewielka ilość zajęć praktycznych/ćwiczeń"/>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studenci, którzy decydują się na uczelnię przyjść, kadra, kontakty uczelni z biznesem "/>
    <s v="możliwości uczelni do stworzenia pomostu pomiędzy studiami a pracą, dostosowanie treści do potrzenych na rynku kompetencji"/>
    <s v="niski poziom zajęć, brak możlwiości rozwoju umiejętności praktycznych, niewłasciwej jakości kadra "/>
    <x v="1"/>
    <n v="1991"/>
    <s v="miasto gminne"/>
    <s v="Czersk"/>
    <s v="licencjat - studia pedagogiczne "/>
    <s v="brak"/>
    <m/>
  </r>
  <r>
    <n v="137"/>
    <n v="83"/>
    <n v="43"/>
    <s v="158.233.246.27"/>
    <s v="Link"/>
    <m/>
    <m/>
    <m/>
    <m/>
    <s v="Zakończono"/>
    <s v="2020-12-09 16:26:10"/>
    <s v="2020-12-23 16:11:37"/>
    <n v="1208727"/>
    <n v="0"/>
    <x v="0"/>
    <x v="0"/>
    <m/>
    <m/>
    <m/>
    <m/>
    <m/>
    <m/>
    <m/>
    <m/>
    <m/>
    <m/>
    <m/>
    <m/>
    <m/>
    <m/>
    <m/>
    <x v="0"/>
    <s v="SWPS"/>
    <n v="2012"/>
    <s v="nie"/>
    <s v="Psychologia"/>
    <s v="raczej się zgadzam"/>
    <s v="ani się zgadzam, ani nie zgadzam"/>
    <s v="raczej się zgadzam"/>
    <s v="ani się zgadzam, ani nie zgadzam"/>
    <s v="raczej się nie zgadzam"/>
    <s v="praca przed ukończeniem studiów"/>
    <s v="nie dotyczy"/>
    <s v="nie dotyczy"/>
    <s v="szersza perspektywa na świat,  ukształtowanie postaw i fundamentalnych umiejętności"/>
    <s v="tematy zajęć, wykładowcy, organizacja zajęć"/>
    <s v="wykładowcy, duża ilość zajęć i wiedzy do przyswojenia w krótkim czasie"/>
    <s v="niestacjonarne (zaoczne) studia 1 stopnia (licencjackie / inżynierskie)"/>
    <m/>
    <x v="0"/>
    <m/>
    <m/>
    <m/>
    <m/>
    <m/>
    <m/>
    <m/>
    <m/>
    <m/>
    <m/>
    <m/>
    <m/>
    <m/>
    <m/>
    <m/>
    <m/>
    <m/>
    <m/>
    <m/>
    <m/>
    <m/>
    <m/>
    <m/>
    <m/>
    <m/>
    <m/>
    <m/>
    <m/>
    <m/>
    <m/>
    <m/>
    <m/>
    <m/>
    <m/>
    <m/>
    <m/>
    <m/>
    <m/>
    <m/>
    <m/>
    <m/>
    <m/>
    <m/>
    <m/>
    <m/>
    <x v="0"/>
    <m/>
    <m/>
    <m/>
    <m/>
    <m/>
    <m/>
    <m/>
    <m/>
    <m/>
    <x v="0"/>
    <m/>
    <m/>
    <m/>
    <m/>
    <m/>
    <m/>
    <m/>
    <m/>
    <m/>
    <x v="0"/>
    <m/>
    <m/>
    <m/>
    <m/>
    <m/>
    <m/>
    <m/>
    <m/>
    <m/>
    <m/>
    <m/>
    <m/>
    <m/>
    <m/>
    <m/>
    <m/>
    <m/>
    <m/>
    <m/>
    <m/>
    <m/>
    <m/>
    <m/>
    <m/>
    <m/>
    <m/>
    <m/>
    <m/>
    <x v="2"/>
    <s v="Tak"/>
    <s v="nie dotyczy"/>
    <s v="Politechnika Gdańska"/>
    <s v="raczej się zgadzam"/>
    <s v="ani się zgadzam, ani nie zgadzam"/>
    <s v="raczej się nie zgadzam"/>
    <s v="Tak"/>
    <s v="trundo powiedzieć, liczą się umiejetności miekkie, konkretna znajomość technologii, doświadczenie "/>
    <s v="zależnie od doświadczenia, najcześciej specjalistyczne stanowiska techniczne"/>
    <s v="Nie (przejście do kolejnej części badania)"/>
    <m/>
    <m/>
    <m/>
    <m/>
    <m/>
    <m/>
    <m/>
    <m/>
    <m/>
    <m/>
    <m/>
    <m/>
    <m/>
    <m/>
    <m/>
    <x v="0"/>
    <m/>
    <m/>
    <m/>
    <m/>
    <m/>
    <m/>
    <m/>
    <m/>
    <m/>
    <m/>
    <m/>
    <m/>
    <m/>
    <m/>
    <m/>
    <m/>
    <m/>
    <m/>
    <m/>
    <m/>
    <m/>
    <m/>
    <m/>
    <m/>
    <m/>
    <m/>
    <m/>
    <m/>
    <m/>
    <m/>
    <m/>
    <m/>
    <m/>
    <s v="jakość kształcenia, przygotowanie do zawodu, konkretne kompetencje techniczne, wiedza, przygotowanie do wejścia na rynek pracy"/>
    <s v="przekazywanie adekwatnej wiedzy, dobry poziom kształcenia, znajomość oczekiwań pracodawców"/>
    <s v="przestarzałe programy nauczania, brak przystosowania do realiów rynkowych, slaby poziom merytoryczny absolwentów"/>
    <x v="1"/>
    <n v="1987"/>
    <s v="nieduże miasto powiatowe"/>
    <m/>
    <s v="ukończone szkolenia/kursy ,  studia podyplomowe"/>
    <s v="szkolenia, certyfikaty, kursy, samodzielna nauka"/>
    <m/>
  </r>
  <r>
    <n v="111"/>
    <n v="66"/>
    <n v="37"/>
    <s v="31.0.40.119"/>
    <s v="Link"/>
    <m/>
    <m/>
    <m/>
    <m/>
    <s v="Zakończono"/>
    <s v="2020-08-26 21:36:47"/>
    <s v="2020-08-26 22:09:45"/>
    <n v="1978"/>
    <n v="0"/>
    <x v="0"/>
    <x v="0"/>
    <m/>
    <m/>
    <m/>
    <m/>
    <m/>
    <m/>
    <m/>
    <m/>
    <m/>
    <m/>
    <m/>
    <m/>
    <m/>
    <m/>
    <m/>
    <x v="0"/>
    <s v="SWPS"/>
    <n v="2009"/>
    <s v="nie"/>
    <s v="Psychologia"/>
    <s v="zgadzam się"/>
    <s v="raczej się zgadzam"/>
    <s v="zdecydowanie się zgadzam"/>
    <s v="raczej się zgadzam"/>
    <s v="zgadzam się"/>
    <s v="W miesiącu ukończenia studiów"/>
    <s v="powyżej 2000 zł, ale nie więcej niż 3000 zł"/>
    <s v="powyżej 3000 zł, ale nie więcej niż 4000 zł"/>
    <s v="Szeroka wiedza, możliwość pomocy"/>
    <s v="Ciekawe wykłady i zajęcia z praktykami"/>
    <s v="Brak stałych grup na zajeciach"/>
    <s v="niestacjonarne (zaoczne) studia 2 stopnia (magisterskie)"/>
    <s v="Psychologia"/>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Organizacja studiów, ciekawe zajęcia, nastawienie prostudenckie"/>
    <s v="Możliwość ciekawej pracy "/>
    <s v="Zajęcia w wielu różnych grupach przez co brak silnych znajomosci z okresu studiów "/>
    <x v="1"/>
    <n v="1978"/>
    <s v="miasto wojewódzkie"/>
    <m/>
    <s v="Szkolenia i kursy paychoterapeutyczne"/>
    <m/>
    <m/>
  </r>
  <r>
    <n v="179"/>
    <n v="101"/>
    <n v="42"/>
    <s v="212.237.134.195"/>
    <s v="Link"/>
    <m/>
    <m/>
    <m/>
    <m/>
    <s v="Zakończono"/>
    <s v="2020-12-18 13:27:06"/>
    <s v="2020-12-18 14:11:51"/>
    <n v="2685"/>
    <n v="0"/>
    <x v="0"/>
    <x v="0"/>
    <m/>
    <m/>
    <m/>
    <m/>
    <m/>
    <m/>
    <m/>
    <m/>
    <m/>
    <m/>
    <m/>
    <m/>
    <m/>
    <m/>
    <m/>
    <x v="0"/>
    <s v="University of Suffolk "/>
    <n v="1996"/>
    <s v="nie"/>
    <s v="BA Business Admin"/>
    <s v="raczej się zgadzam"/>
    <s v="ani się zgadzam, ani nie zgadzam"/>
    <s v="raczej się zgadzam"/>
    <s v="raczej się zgadzam"/>
    <s v="ani się zgadzam, ani nie zgadzam"/>
    <s v="2 months "/>
    <s v="powyżej 10.000 zł"/>
    <s v="powyżej 10.000 zł"/>
    <s v="Good base knowledge. "/>
    <s v="Good social atmosphere "/>
    <s v="Too much socialising "/>
    <s v="stacjonarne (dzienne) studia 1 stopnia (licencjackie / inżynierskie)"/>
    <m/>
    <x v="0"/>
    <m/>
    <m/>
    <m/>
    <m/>
    <m/>
    <m/>
    <m/>
    <m/>
    <m/>
    <m/>
    <m/>
    <m/>
    <m/>
    <m/>
    <m/>
    <m/>
    <m/>
    <m/>
    <m/>
    <m/>
    <m/>
    <m/>
    <m/>
    <m/>
    <m/>
    <m/>
    <m/>
    <m/>
    <m/>
    <m/>
    <m/>
    <m/>
    <m/>
    <m/>
    <m/>
    <m/>
    <m/>
    <m/>
    <m/>
    <m/>
    <m/>
    <m/>
    <m/>
    <m/>
    <m/>
    <x v="0"/>
    <m/>
    <m/>
    <m/>
    <m/>
    <m/>
    <m/>
    <m/>
    <m/>
    <m/>
    <x v="0"/>
    <m/>
    <m/>
    <m/>
    <m/>
    <m/>
    <m/>
    <m/>
    <m/>
    <m/>
    <x v="0"/>
    <m/>
    <m/>
    <m/>
    <m/>
    <m/>
    <m/>
    <m/>
    <m/>
    <m/>
    <m/>
    <m/>
    <m/>
    <m/>
    <m/>
    <m/>
    <m/>
    <m/>
    <m/>
    <m/>
    <m/>
    <m/>
    <m/>
    <m/>
    <m/>
    <m/>
    <m/>
    <m/>
    <m/>
    <x v="2"/>
    <s v="Nie"/>
    <n v="1"/>
    <s v="Suffolk university "/>
    <s v="zgadzam się"/>
    <s v="raczej się zgadzam"/>
    <s v="raczej się zgadzam"/>
    <s v="Tak"/>
    <s v="Finance "/>
    <s v="Technology in finance"/>
    <s v="Nie (przejście do kolejnej części badania)"/>
    <m/>
    <m/>
    <m/>
    <m/>
    <m/>
    <m/>
    <m/>
    <m/>
    <m/>
    <m/>
    <m/>
    <m/>
    <m/>
    <m/>
    <m/>
    <x v="0"/>
    <m/>
    <m/>
    <m/>
    <m/>
    <m/>
    <m/>
    <m/>
    <m/>
    <m/>
    <m/>
    <m/>
    <m/>
    <m/>
    <m/>
    <m/>
    <m/>
    <m/>
    <m/>
    <m/>
    <m/>
    <m/>
    <m/>
    <m/>
    <m/>
    <m/>
    <m/>
    <m/>
    <m/>
    <m/>
    <m/>
    <m/>
    <m/>
    <m/>
    <s v="Student culture. Teaching staff"/>
    <s v="Teaching staff"/>
    <s v="Bad scheduling "/>
    <x v="1"/>
    <n v="1974"/>
    <s v="duże miasto powiatowe"/>
    <m/>
    <s v="ITIL masters"/>
    <m/>
    <m/>
  </r>
  <r>
    <n v="102"/>
    <n v="63"/>
    <n v="44"/>
    <s v="5.173.136.227"/>
    <s v="Link"/>
    <s v="https://poczta.wp.pl/k/"/>
    <m/>
    <m/>
    <m/>
    <s v="Zakończono"/>
    <s v="2020-08-22 17:39:42"/>
    <s v="2020-08-22 22:39:55"/>
    <n v="18013"/>
    <n v="0"/>
    <x v="0"/>
    <x v="0"/>
    <m/>
    <m/>
    <m/>
    <m/>
    <m/>
    <m/>
    <m/>
    <m/>
    <m/>
    <m/>
    <m/>
    <m/>
    <m/>
    <m/>
    <m/>
    <x v="0"/>
    <s v="Uniwersytet Adama Mickiewicza w Poznaniu"/>
    <n v="1996"/>
    <s v="nie"/>
    <s v="fizyka"/>
    <s v="zgadzam się"/>
    <s v="zgadzam się"/>
    <s v="raczej się zgadzam"/>
    <s v="zdecydowanie się nie zgadzam"/>
    <s v="nie zgadzam się"/>
    <n v="1"/>
    <s v="powyżej 1000 zł, ale nie więcej niż 2000 zł"/>
    <s v="powyżej 3000 zł, ale nie więcej niż 4000 zł"/>
    <s v="bezsensowna produkcja absolwentów"/>
    <s v="wykładowcy"/>
    <s v="-"/>
    <s v="stacjonarne (dzienne) studia 2 stopnia (magisterskie)"/>
    <s v="5 letnie"/>
    <x v="0"/>
    <m/>
    <m/>
    <m/>
    <m/>
    <m/>
    <m/>
    <m/>
    <m/>
    <m/>
    <m/>
    <m/>
    <m/>
    <m/>
    <m/>
    <m/>
    <m/>
    <m/>
    <m/>
    <m/>
    <m/>
    <m/>
    <m/>
    <m/>
    <m/>
    <m/>
    <m/>
    <m/>
    <m/>
    <m/>
    <m/>
    <m/>
    <m/>
    <m/>
    <m/>
    <m/>
    <m/>
    <m/>
    <m/>
    <m/>
    <m/>
    <m/>
    <m/>
    <m/>
    <m/>
    <m/>
    <x v="0"/>
    <m/>
    <m/>
    <m/>
    <m/>
    <m/>
    <m/>
    <m/>
    <m/>
    <m/>
    <x v="0"/>
    <m/>
    <m/>
    <m/>
    <m/>
    <m/>
    <m/>
    <m/>
    <m/>
    <m/>
    <x v="0"/>
    <m/>
    <m/>
    <m/>
    <m/>
    <m/>
    <m/>
    <m/>
    <m/>
    <m/>
    <m/>
    <m/>
    <m/>
    <m/>
    <m/>
    <m/>
    <m/>
    <m/>
    <m/>
    <m/>
    <m/>
    <m/>
    <m/>
    <m/>
    <m/>
    <m/>
    <m/>
    <m/>
    <m/>
    <x v="2"/>
    <s v="Tak"/>
    <s v="nie dotyczy"/>
    <s v="uam"/>
    <s v="nie zgadzam się"/>
    <s v="nie zgadzam się"/>
    <s v="ani się zgadzam, ani nie zgadzam"/>
    <s v="Tak"/>
    <s v="osobowosc"/>
    <s v="wykonują"/>
    <s v="Nie (przejście do kolejnej części badania)"/>
    <m/>
    <m/>
    <m/>
    <m/>
    <m/>
    <m/>
    <m/>
    <m/>
    <m/>
    <m/>
    <m/>
    <m/>
    <m/>
    <m/>
    <m/>
    <x v="0"/>
    <s v="nie dotyczy"/>
    <m/>
    <s v="nie dotyczy"/>
    <m/>
    <m/>
    <m/>
    <m/>
    <m/>
    <m/>
    <m/>
    <m/>
    <m/>
    <m/>
    <m/>
    <m/>
    <m/>
    <m/>
    <m/>
    <m/>
    <m/>
    <m/>
    <m/>
    <m/>
    <m/>
    <m/>
    <m/>
    <m/>
    <m/>
    <m/>
    <m/>
    <m/>
    <m/>
    <m/>
    <s v="ilosc studentow"/>
    <s v="osobowosc"/>
    <s v="ilosc studentow"/>
    <x v="1"/>
    <n v="1966"/>
    <s v="miasto wojewódzkie"/>
    <m/>
    <m/>
    <m/>
    <m/>
  </r>
  <r>
    <n v="45"/>
    <n v="28"/>
    <n v="34"/>
    <s v="109.207.109.47"/>
    <s v="Link"/>
    <s v="https://www.facebook.com/"/>
    <m/>
    <m/>
    <m/>
    <s v="Zakończono"/>
    <s v="2020-05-16 17:47:17"/>
    <s v="2020-05-16 18:01:13"/>
    <n v="836"/>
    <n v="0"/>
    <x v="0"/>
    <x v="0"/>
    <m/>
    <m/>
    <m/>
    <m/>
    <m/>
    <m/>
    <m/>
    <m/>
    <m/>
    <m/>
    <m/>
    <m/>
    <m/>
    <m/>
    <m/>
    <x v="0"/>
    <s v="Uniwersytet Ekonomiczny w Katowicach"/>
    <n v="2019"/>
    <s v="nie"/>
    <s v="Ekonomia"/>
    <s v="raczej się zgadzam"/>
    <s v="raczej się zgadzam"/>
    <s v="nie zgadzam się"/>
    <s v="ani się zgadzam, ani nie zgadzam"/>
    <s v="raczej się zgadzam"/>
    <s v="praca przed ukończeniem studiów"/>
    <s v="nie dotyczy"/>
    <s v="nie dotyczy"/>
    <s v="większa wiedza ekonomiczna"/>
    <s v="ciekawe zajęcia, oparte na życiowych przykładach"/>
    <s v="wykłady dyktowane z kartki lub przentacji"/>
    <s v="niestacjonarne (zaocz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kadra naukowa (doświadczeni wykładowcy)"/>
    <s v="dobra praca"/>
    <s v="brak bezpośrednich korzyści finansowych w związku z ukończeniem studiów"/>
    <x v="0"/>
    <n v="1994"/>
    <s v="wieś"/>
    <m/>
    <s v="Tytuł Licencjata na Uniwersytecie Śląskim"/>
    <s v="brak"/>
    <m/>
  </r>
  <r>
    <n v="169"/>
    <n v="97"/>
    <n v="33"/>
    <s v="158.233.246.26"/>
    <s v="Link"/>
    <m/>
    <m/>
    <m/>
    <m/>
    <s v="Zakończono"/>
    <s v="2020-12-18 11:24:25"/>
    <s v="2020-12-18 11:32:40"/>
    <n v="495"/>
    <n v="0"/>
    <x v="0"/>
    <x v="0"/>
    <m/>
    <m/>
    <m/>
    <m/>
    <m/>
    <m/>
    <m/>
    <m/>
    <m/>
    <m/>
    <m/>
    <m/>
    <m/>
    <m/>
    <m/>
    <x v="0"/>
    <s v="Uniwersytet Ekonomiczny w Poznaniu"/>
    <m/>
    <s v="nie"/>
    <s v="Międzynarodowe Stosunki Gospodarcze i Polityczne"/>
    <s v="zdecydowanie się zgadzam"/>
    <s v="zdecydowanie się zgadzam"/>
    <s v="ani się zgadzam, ani nie zgadzam"/>
    <s v="raczej się zgadzam"/>
    <s v="raczej się zgadzam"/>
    <s v="w trakcie ostatniego roku studiów"/>
    <s v="nie dotyczy"/>
    <s v="nie dotyczy"/>
    <s v="interdyscyplinarne spojrzenie na realizowane projekty"/>
    <s v="tematyka, poziom merytoryczny, poziom kadry naukowej, osadzenie przekazywanej wiedzy w realiach biznesowych"/>
    <s v="NA"/>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jakość i zawartość merytoryczna programów, poziom kadry"/>
    <s v="jakość i zawartość merytoryczna programów, poziom kadry"/>
    <s v="NA"/>
    <x v="0"/>
    <s v="NA"/>
    <s v="duże miasto powiatowe"/>
    <m/>
    <s v="studia podyplomowe z rachunkowości"/>
    <s v="NA"/>
    <s v="NA"/>
  </r>
  <r>
    <n v="30"/>
    <n v="21"/>
    <n v="46"/>
    <s v="192.166.202.46"/>
    <s v="Link"/>
    <m/>
    <m/>
    <m/>
    <m/>
    <s v="Zakończono"/>
    <s v="2020-05-16 15:39:07"/>
    <s v="2020-05-16 17:32:39"/>
    <n v="6812"/>
    <n v="0"/>
    <x v="0"/>
    <x v="0"/>
    <m/>
    <m/>
    <m/>
    <m/>
    <m/>
    <m/>
    <m/>
    <m/>
    <m/>
    <m/>
    <m/>
    <m/>
    <m/>
    <m/>
    <m/>
    <x v="0"/>
    <s v="Uniwersytet Jagielloński"/>
    <n v="2019"/>
    <s v="nie"/>
    <s v="filologia polska"/>
    <s v="zgadzam się"/>
    <s v="zgadzam się"/>
    <s v="zdecydowanie się zgadzam"/>
    <s v="zdecydowanie się zgadzam"/>
    <s v="nie dotyczy"/>
    <s v="praca przed ukończeniem studiów"/>
    <s v="powyżej 4000 zł, ale nie więcej niż 5000 zł"/>
    <s v="nie dotyczy"/>
    <s v="zupełna zmiana myślenia o świecie, poszerzenie horyzontów, nabranie szeregu umiejętności charakteryzujących filologa: formułowania myśli, pogłębionego czytania, sprawnego tworzenia i redagowania tekstów."/>
    <s v="elastyczny program studiów, dobrze wybrany kierunek, ciekawe zajęcia i wykłady, możliwości rozwoju na uczelni poza zajęciami"/>
    <s v="olbrzymi materiał - przede wszystkim lekturowy, czasami gorszy prowadzący (np. prowadzący wykłady zamiast ćwiczeń)"/>
    <s v="stacjonarne (dzienne) studia 2 stopnia (magisterskie)"/>
    <m/>
    <x v="0"/>
    <m/>
    <m/>
    <m/>
    <m/>
    <m/>
    <m/>
    <m/>
    <m/>
    <m/>
    <m/>
    <m/>
    <m/>
    <m/>
    <m/>
    <m/>
    <m/>
    <m/>
    <m/>
    <m/>
    <m/>
    <m/>
    <m/>
    <m/>
    <m/>
    <m/>
    <m/>
    <m/>
    <m/>
    <m/>
    <m/>
    <m/>
    <m/>
    <m/>
    <m/>
    <m/>
    <m/>
    <m/>
    <m/>
    <m/>
    <m/>
    <m/>
    <m/>
    <m/>
    <m/>
    <m/>
    <x v="1"/>
    <s v="Uniwersytet Jagielloński"/>
    <s v="Biuro Prasowe"/>
    <s v="zdecydowanie się zgadzam"/>
    <s v="zdecydowanie się zgadzam"/>
    <s v="zdecydowanie się zgadzam"/>
    <s v="zgadzam się"/>
    <s v="zgadzam się"/>
    <s v="zgadzam się"/>
    <s v="Możliwość uczenia się poprzez pracę w doświadczonych zespołach, możliwość współpracy międzynarodowej i z dużymi partnerami"/>
    <x v="0"/>
    <m/>
    <m/>
    <m/>
    <m/>
    <m/>
    <m/>
    <m/>
    <m/>
    <m/>
    <x v="0"/>
    <m/>
    <m/>
    <m/>
    <m/>
    <m/>
    <m/>
    <m/>
    <m/>
    <m/>
    <m/>
    <m/>
    <m/>
    <m/>
    <m/>
    <m/>
    <m/>
    <m/>
    <m/>
    <m/>
    <m/>
    <m/>
    <m/>
    <m/>
    <m/>
    <m/>
    <m/>
    <m/>
    <m/>
    <x v="0"/>
    <s v="Nie"/>
    <s v="nie dotyczy"/>
    <m/>
    <m/>
    <m/>
    <m/>
    <m/>
    <m/>
    <m/>
    <m/>
    <m/>
    <m/>
    <m/>
    <m/>
    <m/>
    <m/>
    <m/>
    <m/>
    <m/>
    <m/>
    <m/>
    <m/>
    <m/>
    <m/>
    <m/>
    <x v="0"/>
    <s v="nie dotyczy"/>
    <m/>
    <s v="nie dotyczy"/>
    <m/>
    <m/>
    <m/>
    <m/>
    <m/>
    <m/>
    <m/>
    <m/>
    <m/>
    <m/>
    <m/>
    <m/>
    <m/>
    <m/>
    <m/>
    <m/>
    <m/>
    <m/>
    <m/>
    <m/>
    <m/>
    <m/>
    <m/>
    <m/>
    <m/>
    <m/>
    <m/>
    <m/>
    <m/>
    <m/>
    <s v="dobór kadry, za prestiżem często idą finanse na badania naukowe, a więc jakość i ilośc badań naukowych"/>
    <s v="poczucie i wielokrotne zawodowe dowody uzyskania dobrego wykształcenia oraz fakt otrzymania pracy dzięki działalności podjętej na studiach"/>
    <s v="mocne zhierarchizowanie uczelni utrudniające czasem działalność poza zajęciami i uzyskanie odpowiedniego wsparcia"/>
    <x v="0"/>
    <n v="1994"/>
    <s v="miasto gminne"/>
    <m/>
    <s v="dyplom studiów podyplomowych"/>
    <s v="kolejne studia podyplomowe"/>
    <m/>
  </r>
  <r>
    <n v="77"/>
    <n v="43"/>
    <n v="33"/>
    <s v="37.47.198.130"/>
    <s v="Link"/>
    <s v="https://ankietaplus.pl/ankiety/analiza/statystyki/13308"/>
    <m/>
    <m/>
    <m/>
    <s v="Zakończono"/>
    <s v="2020-05-24 13:14:21"/>
    <s v="2020-05-24 13:19:54"/>
    <n v="333"/>
    <n v="0"/>
    <x v="0"/>
    <x v="0"/>
    <m/>
    <m/>
    <m/>
    <m/>
    <m/>
    <m/>
    <m/>
    <m/>
    <m/>
    <m/>
    <m/>
    <m/>
    <m/>
    <m/>
    <m/>
    <x v="0"/>
    <s v="Uniwersytet Gdański"/>
    <n v="2012"/>
    <s v="nie"/>
    <s v="Dziennikarstwo i komunikacja społeczna"/>
    <s v="ani się zgadzam, ani nie zgadzam"/>
    <s v="ani się zgadzam, ani nie zgadzam"/>
    <s v="zdecydowanie się nie zgadzam"/>
    <s v="zdecydowanie się nie zgadzam"/>
    <s v="raczej się nie zgadzam"/>
    <n v="3"/>
    <s v="powyżej 1000 zł, ale nie więcej niż 2000 zł"/>
    <s v="powyżej 2000 zł, ale nie więcej niż 3000 zł"/>
    <s v="brak"/>
    <s v="dobra atmosfera"/>
    <s v="brak organizacji (brak informacji o odwoływanych zajęciach); złe warunki lokalowe; "/>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kwalifikacje kadry nauczającej; ilość godzin praktyk; możliwość odbywania staży; dobra atmosfera"/>
    <s v="oferta edukacyjne, zajęcia praktyczne; możliwość zdobycia dodatkowych kwalifikacji podczas studiów (np. przygotowanie pedagogiczne); wyjazdy na obozy (np. narciarskie); możliwość udziału w projektach badawczych; "/>
    <s v="organizacja; realizacja nieprzydatnych przedmiotów; brak praktyk; niedostosowanie oferty do rynku pracy; "/>
    <x v="1"/>
    <n v="1987"/>
    <s v="miasto wojewódzkie"/>
    <m/>
    <s v="Administracja, Politologia, Marketing internetowy"/>
    <m/>
    <m/>
  </r>
  <r>
    <n v="105"/>
    <n v="64"/>
    <n v="35"/>
    <s v="31.60.243.153"/>
    <s v="Link"/>
    <m/>
    <m/>
    <m/>
    <m/>
    <s v="Zakończono"/>
    <s v="2020-08-23 21:05:52"/>
    <s v="2020-08-23 21:27:25"/>
    <n v="1293"/>
    <n v="0"/>
    <x v="0"/>
    <x v="0"/>
    <m/>
    <m/>
    <m/>
    <m/>
    <m/>
    <m/>
    <m/>
    <m/>
    <m/>
    <m/>
    <m/>
    <m/>
    <m/>
    <m/>
    <m/>
    <x v="0"/>
    <s v="Uniwersytet Gdański"/>
    <n v="2003"/>
    <s v="nie"/>
    <s v="Finanse i bankowosc"/>
    <s v="raczej się nie zgadzam"/>
    <s v="raczej się nie zgadzam"/>
    <s v="raczej się nie zgadzam"/>
    <s v="nie zgadzam się"/>
    <s v="nie dotyczy"/>
    <s v="Praca w innej branży po około roku"/>
    <s v="powyżej 1000 zł, ale nie więcej niż 2000 zł"/>
    <s v="powyżej 1000 zł, ale nie więcej niż 2000 zł"/>
    <m/>
    <s v="Samodzielność,  brak aspektów naukowych "/>
    <s v="Nietrafiony wybór studiów "/>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Nie wiem"/>
    <s v="Stopień przygotowania absolwenta do pracy"/>
    <s v="Oderwanie teorii od praktyki, nieumiejętność wykształcenia przyszłego dobrego pracownika"/>
    <x v="0"/>
    <n v="1980"/>
    <s v="wieś"/>
    <m/>
    <s v="Kolegium kształcenia nauczycieli języków obcycb"/>
    <m/>
    <m/>
  </r>
  <r>
    <n v="158"/>
    <n v="91"/>
    <n v="32"/>
    <s v="158.233.246.28"/>
    <s v="Link"/>
    <m/>
    <m/>
    <m/>
    <m/>
    <s v="Zakończono"/>
    <s v="2020-12-16 08:20:22"/>
    <s v="2020-12-16 08:25:47"/>
    <n v="325"/>
    <n v="0"/>
    <x v="0"/>
    <x v="0"/>
    <m/>
    <m/>
    <m/>
    <m/>
    <m/>
    <m/>
    <m/>
    <m/>
    <m/>
    <m/>
    <m/>
    <m/>
    <m/>
    <m/>
    <m/>
    <x v="0"/>
    <s v="Uniwersytet Gdański"/>
    <n v="2013"/>
    <s v="nie"/>
    <s v="Filologia romańska"/>
    <s v="raczej się nie zgadzam"/>
    <s v="raczej się nie zgadzam"/>
    <s v="raczej się zgadzam"/>
    <s v="ani się zgadzam, ani nie zgadzam"/>
    <s v="ani się zgadzam, ani nie zgadzam"/>
    <n v="3"/>
    <s v="powyżej 1000 zł, ale nie więcej niż 2000 zł"/>
    <s v="powyżej 3000 zł, ale nie więcej niż 4000 zł"/>
    <s v="umiejetnosci jezykowe"/>
    <s v="poznawani ludzie oraz ogolny klimat &quot;studiowania&quot;"/>
    <s v="arachiczne przedmioty nie przydatne w zyciu po uczelni"/>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dostosowanie sie do rynku pracy"/>
    <s v="dobor przedmiotow oraz kadraksztalcaca"/>
    <s v="slaba kadra oraz zle wykladane przedmioty"/>
    <x v="0"/>
    <n v="1984"/>
    <s v="duże miasto powiatowe"/>
    <m/>
    <s v="podyplomowe"/>
    <m/>
    <m/>
  </r>
  <r>
    <n v="203"/>
    <s v="BRAK"/>
    <n v="21"/>
    <s v="188.147.68.194"/>
    <s v="Link"/>
    <m/>
    <m/>
    <m/>
    <m/>
    <s v="W trakcie"/>
    <s v="2020-12-18 17:56:43"/>
    <s v="2020-12-18 17:56:43"/>
    <n v="0"/>
    <n v="0"/>
    <x v="0"/>
    <x v="0"/>
    <m/>
    <m/>
    <m/>
    <m/>
    <m/>
    <m/>
    <m/>
    <m/>
    <m/>
    <m/>
    <m/>
    <m/>
    <m/>
    <m/>
    <m/>
    <x v="0"/>
    <s v="Politechnika Koszalinska"/>
    <n v="2011"/>
    <s v="nie"/>
    <s v="Ekonomia"/>
    <s v="zdecydowanie się zgadzam"/>
    <s v="zgadzam się"/>
    <s v="zdecydowanie się zgadzam"/>
    <s v="zdecydowanie się zgadzam"/>
    <s v="zdecydowanie się zgadzam"/>
    <n v="2"/>
    <s v="powyżej 1000 zł, ale nie więcej niż 2000 zł"/>
    <s v="powyżej 3000 zł, ale nie więcej niż 4000 zł"/>
    <s v="Wartości moralne, "/>
    <s v="Przyjazna atmosfera, rzetelni profesorowie, dostęp do publikacji"/>
    <s v="Sprawy organizacyjne"/>
    <s v="stacjonarne (dzienne) studia 2 stopnia (magisterskie)"/>
    <m/>
    <x v="0"/>
    <m/>
    <m/>
    <m/>
    <m/>
    <m/>
    <m/>
    <m/>
    <m/>
    <m/>
    <m/>
    <m/>
    <m/>
    <m/>
    <m/>
    <m/>
    <m/>
    <m/>
    <m/>
    <m/>
    <m/>
    <m/>
    <m/>
    <m/>
    <m/>
    <m/>
    <m/>
    <m/>
    <m/>
    <m/>
    <m/>
    <m/>
    <m/>
    <m/>
    <m/>
    <m/>
    <m/>
    <m/>
    <m/>
    <m/>
    <m/>
    <m/>
    <m/>
    <m/>
    <m/>
    <m/>
    <x v="0"/>
    <m/>
    <m/>
    <m/>
    <m/>
    <m/>
    <m/>
    <m/>
    <m/>
    <m/>
    <x v="2"/>
    <m/>
    <m/>
    <m/>
    <m/>
    <m/>
    <m/>
    <m/>
    <m/>
    <m/>
    <x v="2"/>
    <m/>
    <m/>
    <m/>
    <m/>
    <m/>
    <m/>
    <m/>
    <m/>
    <m/>
    <m/>
    <m/>
    <m/>
    <m/>
    <m/>
    <m/>
    <m/>
    <m/>
    <m/>
    <m/>
    <m/>
    <m/>
    <m/>
    <m/>
    <m/>
    <m/>
    <m/>
    <m/>
    <m/>
    <x v="1"/>
    <m/>
    <m/>
    <m/>
    <m/>
    <m/>
    <m/>
    <m/>
    <m/>
    <m/>
    <m/>
    <m/>
    <m/>
    <m/>
    <m/>
    <m/>
    <m/>
    <m/>
    <m/>
    <m/>
    <m/>
    <m/>
    <m/>
    <m/>
    <m/>
    <m/>
    <x v="1"/>
    <m/>
    <m/>
    <m/>
    <m/>
    <m/>
    <m/>
    <m/>
    <m/>
    <m/>
    <m/>
    <m/>
    <m/>
    <m/>
    <m/>
    <m/>
    <m/>
    <m/>
    <m/>
    <m/>
    <m/>
    <m/>
    <m/>
    <m/>
    <m/>
    <m/>
    <m/>
    <m/>
    <m/>
    <m/>
    <m/>
    <m/>
    <m/>
    <m/>
    <m/>
    <m/>
    <m/>
    <x v="2"/>
    <m/>
    <m/>
    <m/>
    <m/>
    <m/>
    <m/>
  </r>
  <r>
    <n v="235"/>
    <n v="127"/>
    <n v="33"/>
    <s v="178.235.180.207"/>
    <s v="Link"/>
    <s v="http://m.facebook.com/"/>
    <m/>
    <m/>
    <m/>
    <s v="Zakończono"/>
    <s v="2020-12-23 23:08:34"/>
    <s v="2020-12-23 23:19:24"/>
    <n v="650"/>
    <n v="0"/>
    <x v="0"/>
    <x v="0"/>
    <m/>
    <m/>
    <m/>
    <m/>
    <m/>
    <m/>
    <m/>
    <m/>
    <m/>
    <m/>
    <m/>
    <m/>
    <m/>
    <m/>
    <m/>
    <x v="0"/>
    <s v="Uniwersytet Gdański"/>
    <n v="2009"/>
    <s v="nie"/>
    <s v="Chemia"/>
    <s v="raczej się zgadzam"/>
    <s v="ani się zgadzam, ani nie zgadzam"/>
    <s v="nie zgadzam się"/>
    <s v="nie zgadzam się"/>
    <s v="raczej się nie zgadzam"/>
    <n v="9"/>
    <s v="powyżej 1000 zł, ale nie więcej niż 2000 zł"/>
    <s v="powyżej 3000 zł, ale nie więcej niż 4000 zł"/>
    <s v="Żadnych ; nie pracuje w zawodzie"/>
    <s v="Sam fakt studiowania, poznawania"/>
    <s v="Trudności w dogadaniu się z promotorami"/>
    <m/>
    <s v="5 letnie magistersk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Zatrudnienie po studiach, wyniesione konkretne umiejętności"/>
    <s v="Dobra atmosfera, która sprzyja rozwojowi"/>
    <s v="Brak powyższego"/>
    <x v="0"/>
    <n v="1985"/>
    <s v="miasto wojewódzkie"/>
    <m/>
    <s v="Brak"/>
    <s v="Beak"/>
    <m/>
  </r>
  <r>
    <n v="93"/>
    <n v="56"/>
    <n v="46"/>
    <s v="176.221.122.237"/>
    <s v="Link"/>
    <m/>
    <m/>
    <m/>
    <m/>
    <s v="Zakończono"/>
    <s v="2020-07-23 09:43:23"/>
    <s v="2020-07-23 09:50:54"/>
    <n v="451"/>
    <n v="0"/>
    <x v="0"/>
    <x v="0"/>
    <m/>
    <m/>
    <m/>
    <m/>
    <m/>
    <m/>
    <m/>
    <m/>
    <m/>
    <m/>
    <m/>
    <m/>
    <m/>
    <m/>
    <m/>
    <x v="0"/>
    <s v="Uniwersytet Gdański"/>
    <n v="2004"/>
    <s v="nie"/>
    <s v="Informatyka z Ekonometrią"/>
    <s v="zgadzam się"/>
    <s v="zgadzam się"/>
    <s v="zgadzam się"/>
    <s v="zgadzam się"/>
    <s v="zdecydowanie się zgadzam"/>
    <s v="praca przed ukończeniem studiów"/>
    <s v="powyżej 2000 zł, ale nie więcej niż 3000 zł"/>
    <s v="powyżej 8000 zł, ale nie więcej niż 9000 zł"/>
    <s v="ogolna wiedza z obszaru IT"/>
    <s v="wyklady zwiazane z konkretnimi umiejetnosciami - programowanim, bazami danych, sieciami itp."/>
    <s v="masa niepotrzebnych przedmiotów tzw &quot;ogolnych&quot;"/>
    <s v="stacjonarne (dzienne) studia 2 stopnia (magisterskie)"/>
    <m/>
    <x v="0"/>
    <m/>
    <m/>
    <m/>
    <m/>
    <m/>
    <m/>
    <m/>
    <m/>
    <m/>
    <m/>
    <m/>
    <m/>
    <m/>
    <m/>
    <m/>
    <m/>
    <m/>
    <m/>
    <m/>
    <m/>
    <m/>
    <m/>
    <m/>
    <m/>
    <m/>
    <m/>
    <m/>
    <m/>
    <m/>
    <m/>
    <m/>
    <m/>
    <m/>
    <m/>
    <m/>
    <m/>
    <m/>
    <m/>
    <m/>
    <m/>
    <m/>
    <m/>
    <m/>
    <m/>
    <m/>
    <x v="0"/>
    <m/>
    <m/>
    <m/>
    <m/>
    <m/>
    <m/>
    <m/>
    <m/>
    <m/>
    <x v="0"/>
    <m/>
    <m/>
    <m/>
    <m/>
    <m/>
    <m/>
    <m/>
    <m/>
    <m/>
    <x v="0"/>
    <m/>
    <m/>
    <m/>
    <m/>
    <m/>
    <m/>
    <m/>
    <m/>
    <m/>
    <m/>
    <m/>
    <m/>
    <m/>
    <m/>
    <m/>
    <m/>
    <m/>
    <m/>
    <m/>
    <m/>
    <m/>
    <m/>
    <m/>
    <m/>
    <m/>
    <m/>
    <m/>
    <m/>
    <x v="2"/>
    <s v="Tak"/>
    <n v="1"/>
    <s v="PG"/>
    <s v="zdecydowanie się zgadzam"/>
    <s v="zdecydowanie się zgadzam"/>
    <s v="zdecydowanie się zgadzam"/>
    <s v="Tak"/>
    <s v="programowanie, sieci, administrowanie systemami"/>
    <s v="testerzy, programisci"/>
    <s v="Nie (przejście do kolejnej części badania)"/>
    <m/>
    <m/>
    <m/>
    <m/>
    <m/>
    <m/>
    <m/>
    <m/>
    <m/>
    <m/>
    <m/>
    <m/>
    <m/>
    <m/>
    <m/>
    <x v="0"/>
    <s v="nie dotyczy"/>
    <m/>
    <s v="nie dotyczy"/>
    <m/>
    <m/>
    <m/>
    <m/>
    <m/>
    <m/>
    <m/>
    <m/>
    <m/>
    <m/>
    <m/>
    <m/>
    <m/>
    <m/>
    <m/>
    <m/>
    <m/>
    <m/>
    <m/>
    <m/>
    <m/>
    <m/>
    <m/>
    <m/>
    <m/>
    <m/>
    <m/>
    <m/>
    <m/>
    <m/>
    <s v="program nauczania oparty o uczenie praktycznych umiejetnosci np programowanie"/>
    <s v=" uczenie praktycznych umiejetnosci np programowanie"/>
    <s v="zbyt duza ilosc wykladów ogolnych, teoretycznych"/>
    <x v="1"/>
    <n v="1984"/>
    <s v="miasto wojewódzkie"/>
    <s v="Gdynia"/>
    <s v="wyższe IT"/>
    <s v="wyższe Ekonimia"/>
    <m/>
  </r>
  <r>
    <n v="87"/>
    <n v="52"/>
    <n v="45"/>
    <s v="81.190.56.54"/>
    <s v="Link"/>
    <s v="https://ankietaplus.pl/ankiety/analiza/wyniki-pojedyncze/13308"/>
    <m/>
    <m/>
    <m/>
    <s v="Zakończono"/>
    <s v="2020-06-08 02:53:31"/>
    <s v="2020-06-08 03:20:06"/>
    <n v="1595"/>
    <n v="0"/>
    <x v="0"/>
    <x v="0"/>
    <m/>
    <m/>
    <m/>
    <m/>
    <m/>
    <m/>
    <m/>
    <m/>
    <m/>
    <m/>
    <m/>
    <m/>
    <m/>
    <m/>
    <m/>
    <x v="0"/>
    <s v="Politechnika Gdańska"/>
    <n v="1975"/>
    <s v="tak"/>
    <s v="budownictwo"/>
    <s v="zgadzam się"/>
    <s v="raczej się zgadzam"/>
    <s v="raczej się nie zgadzam"/>
    <s v="zdecydowanie się zgadzam"/>
    <s v="zdecydowanie się zgadzam"/>
    <s v="praca przed zakończeniem studiów"/>
    <s v="powyżej 10.000 zł"/>
    <s v="powyżej 10.000 zł"/>
    <s v="swoboda pracy ze względu na lepsze (szersze) wykształcenie"/>
    <s v="-"/>
    <s v="-"/>
    <s v="niestacjonarne (zaoczne) studia 1 stopnia (licencjackie / inżynierskie)"/>
    <m/>
    <x v="1"/>
    <n v="1"/>
    <s v="Wyższa Szkoła Rolnicza w Olsztynie"/>
    <n v="2002"/>
    <s v="tak"/>
    <s v="Geodezja"/>
    <s v="zgadzam się"/>
    <s v="zgadzam się"/>
    <s v="zgadzam się"/>
    <s v="nie zgadzam się"/>
    <s v="raczej się nie zgadzam"/>
    <n v="3"/>
    <m/>
    <s v="stacjonarne (dzienne) studia 2 stopnia (magisterskie)"/>
    <m/>
    <m/>
    <s v="Nie (przejście do kolejnej części badania)"/>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
    <s v="-"/>
    <s v="-"/>
    <x v="1"/>
    <n v="1950"/>
    <s v="miasto wojewódzkie"/>
    <m/>
    <m/>
    <m/>
    <m/>
  </r>
  <r>
    <n v="17"/>
    <n v="16"/>
    <n v="33"/>
    <s v="5.173.220.204"/>
    <s v="Link"/>
    <s v="http://m.facebook.com/"/>
    <m/>
    <m/>
    <m/>
    <s v="Zakończono"/>
    <s v="2020-05-13 21:23:39"/>
    <s v="2020-05-13 21:49:13"/>
    <n v="1534"/>
    <n v="0"/>
    <x v="0"/>
    <x v="0"/>
    <m/>
    <m/>
    <m/>
    <m/>
    <m/>
    <m/>
    <m/>
    <m/>
    <m/>
    <m/>
    <m/>
    <m/>
    <m/>
    <m/>
    <m/>
    <x v="0"/>
    <s v="Uniwersytet Gdański"/>
    <n v="2011"/>
    <s v="nie"/>
    <s v="Chemia biologiczna "/>
    <s v="ani się zgadzam, ani nie zgadzam"/>
    <s v="nie zgadzam się"/>
    <s v="zdecydowanie się nie zgadzam"/>
    <s v="zdecydowanie się nie zgadzam"/>
    <s v="zdecydowanie się nie zgadzam"/>
    <n v="4"/>
    <s v="powyżej 1000 zł, ale nie więcej niż 2000 zł"/>
    <s v="powyżej 1000 zł, ale nie więcej niż 2000 zł"/>
    <s v="Umiejętność pracy w zespole "/>
    <s v="Duza ilość zajęć praktycznych, laboratoryjnych"/>
    <s v="Nie logiczny rozklad zajęć "/>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Współpraca z pracodawcami "/>
    <s v="Praktyki studenckie "/>
    <s v="Program edukacyjny nie dostosowany do potrzeb rynku pracy "/>
    <x v="0"/>
    <n v="1987"/>
    <s v="miasto wojewódzkie"/>
    <m/>
    <s v="Policealne, podyplomowe "/>
    <m/>
    <m/>
  </r>
  <r>
    <n v="75"/>
    <n v="41"/>
    <n v="51"/>
    <s v="155.133.45.58"/>
    <s v="Link"/>
    <s v="https://poczta.interia.pl/"/>
    <m/>
    <m/>
    <m/>
    <s v="Zakończono"/>
    <s v="2020-05-21 20:01:36"/>
    <s v="2020-05-21 20:09:43"/>
    <n v="487"/>
    <n v="0"/>
    <x v="0"/>
    <x v="1"/>
    <s v="Akademia Muzyczna im. Stanisława Moniuszki w Gdańsku"/>
    <s v="nie"/>
    <s v="Kompozycja"/>
    <s v="nie zgadzam się"/>
    <s v="zdecydowanie się nie zgadzam"/>
    <s v="nie zgadzam się"/>
    <s v="założenie własnej firmy"/>
    <s v="powyżej 5000 zł, ale nie więcej niż 6000 zł"/>
    <s v="powyżej 10.000 zł"/>
    <s v="satysfakcja zawodowa, spełnienie artystyczne"/>
    <s v="porozumienie z pedagogiem"/>
    <s v="rywalizacja, niska jakość kształcenia"/>
    <s v="stacjonarne (dzienne) studia 2 stopnia (magisterskie)"/>
    <m/>
    <n v="2"/>
    <x v="0"/>
    <s v="Uniwersytet Gdański"/>
    <n v="2012"/>
    <s v="nie"/>
    <s v="Filologia Angielska"/>
    <s v="nie zgadzam się"/>
    <s v="nie zgadzam się"/>
    <s v="nie zgadzam się"/>
    <s v="zdecydowanie się nie zgadzam"/>
    <s v="nie zgadzam się"/>
    <s v="praca przed ukończeniem studiów"/>
    <s v="powyżej 2000 zł, ale nie więcej niż 3000 zł"/>
    <s v="powyżej 3000 zł, ale nie więcej niż 4000 zł"/>
    <s v="znajomość języka obcego"/>
    <s v="towarzystwo"/>
    <s v="niska jakość kształcenia, biurokracja"/>
    <s v="niestacjonarne (zaocz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jakość kształcenia, nastawienie pedagogów"/>
    <s v="zdolność do satysfakcjonującej pracy w zawodzie"/>
    <s v="nieporozumienie z pedagogiem, zacofanie uczelni"/>
    <x v="1"/>
    <n v="1990"/>
    <s v="miasto wojewódzkie"/>
    <m/>
    <s v="studia podyplomowe w zakresie biznesu"/>
    <s v="zagraniczne studium w zakresie kompozycji, studia magisterskie (zarządzanie przedsiębiorstwem)"/>
    <m/>
  </r>
  <r>
    <n v="85"/>
    <n v="50"/>
    <n v="34"/>
    <s v="81.190.56.54"/>
    <s v="Link"/>
    <s v="https://ankietaplus.pl/ankiety/analiza/wyniki-pojedyncze/13308"/>
    <m/>
    <m/>
    <m/>
    <s v="Zakończono"/>
    <s v="2020-06-08 01:21:10"/>
    <s v="2020-06-08 01:54:01"/>
    <n v="1971"/>
    <n v="0"/>
    <x v="0"/>
    <x v="0"/>
    <m/>
    <m/>
    <m/>
    <m/>
    <m/>
    <m/>
    <m/>
    <m/>
    <m/>
    <m/>
    <m/>
    <m/>
    <m/>
    <m/>
    <m/>
    <x v="0"/>
    <s v="Uniwersytet Gdański"/>
    <n v="2012"/>
    <s v="nie"/>
    <s v="historia"/>
    <s v="zgadzam się"/>
    <s v="raczej się zgadzam"/>
    <s v="raczej się nie zgadzam"/>
    <s v="nie zgadzam się"/>
    <s v="ani się zgadzam, ani nie zgadzam"/>
    <n v="2"/>
    <s v="powyżej 1000 zł, ale nie więcej niż 2000 zł"/>
    <s v="powyżej 3000 zł, ale nie więcej niż 4000 zł"/>
    <s v="poprawa"/>
    <s v="-"/>
    <s v="-"/>
    <s v="stacjonarne (dzienne) studia 2 stopnia (magisterskie)"/>
    <s v="jednolite"/>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
    <s v="-"/>
    <s v="-"/>
    <x v="1"/>
    <n v="1988"/>
    <s v="nieduże miasto powiatowe"/>
    <m/>
    <m/>
    <s v="doktorat - ekonomia"/>
    <m/>
  </r>
  <r>
    <n v="118"/>
    <s v="BRAK"/>
    <n v="18"/>
    <s v="185.56.174.2"/>
    <s v="Link"/>
    <m/>
    <m/>
    <m/>
    <m/>
    <s v="W trakcie"/>
    <s v="2020-09-16 09:39:01"/>
    <s v="2020-09-16 09:39:01"/>
    <n v="0"/>
    <n v="0"/>
    <x v="0"/>
    <x v="1"/>
    <s v="Politechnika Warszawska"/>
    <s v="tak"/>
    <s v="Architektura"/>
    <s v="zgadzam się"/>
    <s v="raczej się zgadzam"/>
    <s v="zdecydowanie się nie zgadzam"/>
    <n v="12"/>
    <s v="powyżej 2000 zł, ale nie więcej niż 3000 zł"/>
    <s v="powyżej 7000 zł, ale nie więcej niż 8000 zł"/>
    <s v="Wiedzy"/>
    <s v="Warunki studiowania"/>
    <s v="Złe warunki studiowania"/>
    <s v="stacjonarne (dzienne) studia 1 stopnia (licencjackie / inżynierskie)"/>
    <m/>
    <n v="7"/>
    <x v="1"/>
    <m/>
    <m/>
    <m/>
    <m/>
    <m/>
    <m/>
    <m/>
    <m/>
    <m/>
    <m/>
    <m/>
    <m/>
    <m/>
    <m/>
    <m/>
    <m/>
    <m/>
    <x v="0"/>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r>
    <n v="114"/>
    <n v="68"/>
    <n v="41"/>
    <s v="91.231.25.170"/>
    <s v="Link"/>
    <m/>
    <m/>
    <m/>
    <m/>
    <s v="Zakończono"/>
    <s v="2020-09-07 11:17:46"/>
    <s v="2020-09-07 11:32:08"/>
    <n v="862"/>
    <n v="0"/>
    <x v="0"/>
    <x v="0"/>
    <m/>
    <m/>
    <m/>
    <m/>
    <m/>
    <m/>
    <m/>
    <m/>
    <m/>
    <m/>
    <m/>
    <m/>
    <m/>
    <m/>
    <m/>
    <x v="0"/>
    <s v="Uniwersytet Gdański"/>
    <n v="2007"/>
    <s v="nie"/>
    <s v="Zarządzanie"/>
    <s v="ani się zgadzam, ani nie zgadzam"/>
    <s v="ani się zgadzam, ani nie zgadzam"/>
    <s v="zgadzam się"/>
    <s v="raczej się zgadzam"/>
    <s v="zgadzam się"/>
    <s v="praca przed ukończeniem studiów"/>
    <s v="powyżej 1000 zł, ale nie więcej niż 2000 zł"/>
    <s v="powyżej 2000 zł, ale nie więcej niż 3000 zł"/>
    <m/>
    <s v="studia zaoczne umożliwiające pracę zawodową"/>
    <s v="w tamtym okresie zbyt mały nacisk na pracę z komuperem"/>
    <s v="niestacjonarne (zaoczne) studia 2 stopnia (magisterskie)"/>
    <m/>
    <x v="0"/>
    <m/>
    <m/>
    <m/>
    <m/>
    <m/>
    <m/>
    <m/>
    <m/>
    <m/>
    <m/>
    <m/>
    <m/>
    <m/>
    <m/>
    <m/>
    <m/>
    <m/>
    <m/>
    <m/>
    <m/>
    <m/>
    <m/>
    <m/>
    <m/>
    <m/>
    <m/>
    <m/>
    <m/>
    <m/>
    <m/>
    <m/>
    <m/>
    <m/>
    <m/>
    <m/>
    <m/>
    <m/>
    <m/>
    <m/>
    <m/>
    <m/>
    <m/>
    <m/>
    <m/>
    <m/>
    <x v="0"/>
    <m/>
    <m/>
    <m/>
    <m/>
    <m/>
    <m/>
    <m/>
    <m/>
    <m/>
    <x v="0"/>
    <m/>
    <m/>
    <m/>
    <m/>
    <m/>
    <m/>
    <m/>
    <m/>
    <m/>
    <x v="0"/>
    <m/>
    <m/>
    <m/>
    <m/>
    <m/>
    <m/>
    <m/>
    <m/>
    <m/>
    <m/>
    <m/>
    <m/>
    <m/>
    <m/>
    <m/>
    <m/>
    <m/>
    <m/>
    <m/>
    <m/>
    <m/>
    <m/>
    <m/>
    <m/>
    <m/>
    <m/>
    <m/>
    <m/>
    <x v="0"/>
    <s v="Tak"/>
    <s v="nie dotyczy"/>
    <s v="Uniwerystet Gdański"/>
    <s v="ani się zgadzam, ani nie zgadzam"/>
    <s v="ani się zgadzam, ani nie zgadzam"/>
    <s v="ani się zgadzam, ani nie zgadzam"/>
    <s v="Tak"/>
    <m/>
    <s v="jjj"/>
    <s v="Nie (przejście do kolejnej części badania)"/>
    <m/>
    <m/>
    <m/>
    <m/>
    <m/>
    <m/>
    <m/>
    <m/>
    <m/>
    <m/>
    <m/>
    <m/>
    <m/>
    <m/>
    <m/>
    <x v="0"/>
    <s v="nie dotyczy"/>
    <m/>
    <s v="nie dotyczy"/>
    <m/>
    <m/>
    <m/>
    <m/>
    <m/>
    <m/>
    <m/>
    <m/>
    <m/>
    <m/>
    <m/>
    <m/>
    <m/>
    <m/>
    <m/>
    <m/>
    <m/>
    <m/>
    <m/>
    <m/>
    <m/>
    <m/>
    <m/>
    <m/>
    <m/>
    <m/>
    <m/>
    <m/>
    <m/>
    <m/>
    <s v="Przedewszystkim nacisk na umiejętności i wiedzę praktyczną"/>
    <s v="Nauka oparta na praktyce zawodowej, praca nad projektami. Taka wiedza jest przydatna w późniejszej.pracy"/>
    <s v="Niekompetentna kadra"/>
    <x v="0"/>
    <n v="1982"/>
    <s v="miasto wojewódzkie"/>
    <m/>
    <m/>
    <m/>
    <m/>
  </r>
  <r>
    <n v="128"/>
    <n v="77"/>
    <n v="43"/>
    <s v="31.0.81.71"/>
    <s v="Link"/>
    <m/>
    <m/>
    <m/>
    <m/>
    <s v="Zakończono"/>
    <s v="2020-11-03 12:54:11"/>
    <s v="2020-11-03 13:05:09"/>
    <n v="658"/>
    <n v="0"/>
    <x v="0"/>
    <x v="0"/>
    <m/>
    <m/>
    <m/>
    <m/>
    <m/>
    <m/>
    <m/>
    <m/>
    <m/>
    <m/>
    <m/>
    <m/>
    <m/>
    <m/>
    <m/>
    <x v="1"/>
    <m/>
    <m/>
    <m/>
    <m/>
    <m/>
    <m/>
    <m/>
    <m/>
    <m/>
    <m/>
    <m/>
    <m/>
    <m/>
    <m/>
    <m/>
    <m/>
    <m/>
    <x v="0"/>
    <m/>
    <m/>
    <m/>
    <m/>
    <m/>
    <m/>
    <m/>
    <m/>
    <m/>
    <m/>
    <m/>
    <m/>
    <m/>
    <m/>
    <m/>
    <m/>
    <m/>
    <m/>
    <m/>
    <m/>
    <m/>
    <m/>
    <m/>
    <m/>
    <m/>
    <m/>
    <m/>
    <m/>
    <m/>
    <m/>
    <m/>
    <m/>
    <m/>
    <m/>
    <m/>
    <m/>
    <m/>
    <m/>
    <m/>
    <m/>
    <m/>
    <m/>
    <m/>
    <m/>
    <m/>
    <x v="0"/>
    <m/>
    <m/>
    <m/>
    <m/>
    <m/>
    <m/>
    <m/>
    <m/>
    <m/>
    <x v="1"/>
    <s v="Politechnika Gdańska"/>
    <s v="Wydział Zarządzania i Ekonomii"/>
    <s v="raczej się zgadzam"/>
    <s v="raczej się zgadzam"/>
    <s v="zgadzam się"/>
    <s v="zgadzam się"/>
    <s v="zgadzam się"/>
    <s v="zdecydowanie się zgadzam"/>
    <s v="Kontakty, rozwój umiejętności interpersonalnych"/>
    <x v="0"/>
    <m/>
    <m/>
    <m/>
    <m/>
    <m/>
    <m/>
    <m/>
    <m/>
    <m/>
    <m/>
    <m/>
    <m/>
    <m/>
    <m/>
    <m/>
    <m/>
    <m/>
    <m/>
    <m/>
    <m/>
    <m/>
    <m/>
    <m/>
    <m/>
    <m/>
    <m/>
    <m/>
    <m/>
    <x v="2"/>
    <s v="Tak"/>
    <n v="2"/>
    <s v="Politechnika Gdańska"/>
    <s v="zdecydowanie się zgadzam"/>
    <s v="zdecydowanie się zgadzam"/>
    <s v="zdecydowanie się zgadzam"/>
    <s v="Tak"/>
    <s v="Analityczne myślenie, zmysł inżynierski"/>
    <s v="biurowa"/>
    <s v="Tak (przejście do analogicznej części oceny dotyczącej drugiej uczelni)"/>
    <s v="Uniwersytet Gdański"/>
    <s v="raczej się nie zgadzam"/>
    <s v="nie zgadzam się"/>
    <s v="zdecydowanie się nie zgadzam"/>
    <s v="Tak"/>
    <s v="Samodzielność"/>
    <s v="Praca biurowa"/>
    <s v="Nie (przejście do kolejnej części badania)"/>
    <m/>
    <m/>
    <m/>
    <m/>
    <m/>
    <m/>
    <m/>
    <x v="0"/>
    <m/>
    <m/>
    <m/>
    <m/>
    <m/>
    <m/>
    <m/>
    <m/>
    <m/>
    <m/>
    <m/>
    <m/>
    <m/>
    <m/>
    <m/>
    <m/>
    <m/>
    <m/>
    <m/>
    <m/>
    <m/>
    <m/>
    <m/>
    <m/>
    <m/>
    <m/>
    <m/>
    <m/>
    <m/>
    <m/>
    <m/>
    <m/>
    <m/>
    <s v="Kierunki studiów, nauka inżynierskosci, wsparcie rozwoju studentów"/>
    <s v="Dobry kontakt, wsparcie merytoryczne"/>
    <s v="Rozległa struktura organizacyjna, która utrudnia kontakt z odpowiednią osobą"/>
    <x v="1"/>
    <n v="1987"/>
    <s v="miasto wojewódzkie"/>
    <m/>
    <s v="Politechnika Gdańska"/>
    <m/>
    <m/>
  </r>
  <r>
    <n v="127"/>
    <n v="76"/>
    <n v="42"/>
    <s v="188.147.101.204"/>
    <s v="Link"/>
    <m/>
    <m/>
    <m/>
    <m/>
    <s v="Zakończono"/>
    <s v="2020-11-02 12:33:43"/>
    <s v="2020-11-02 13:01:39"/>
    <n v="1676"/>
    <n v="0"/>
    <x v="0"/>
    <x v="0"/>
    <m/>
    <m/>
    <m/>
    <m/>
    <m/>
    <m/>
    <m/>
    <m/>
    <m/>
    <m/>
    <m/>
    <m/>
    <m/>
    <m/>
    <m/>
    <x v="0"/>
    <s v="Uniwersytet Gdański"/>
    <n v="1998"/>
    <s v="nie"/>
    <s v="Zarządzanie, Finanse i Bankowość"/>
    <s v="raczej się zgadzam"/>
    <s v="ani się zgadzam, ani nie zgadzam"/>
    <s v="ani się zgadzam, ani nie zgadzam"/>
    <s v="nie zgadzam się"/>
    <s v="ani się zgadzam, ani nie zgadzam"/>
    <n v="0"/>
    <s v="powyżej 1000 zł, ale nie więcej niż 2000 zł"/>
    <s v="powyżej 2000 zł, ale nie więcej niż 3000 zł"/>
    <s v="nic"/>
    <s v="nic"/>
    <s v="mała kompetencja nauczycieli"/>
    <s v="stacjonarne (dzienne) studia 2 stopnia (magisterskie)"/>
    <m/>
    <x v="0"/>
    <m/>
    <m/>
    <m/>
    <m/>
    <m/>
    <m/>
    <m/>
    <m/>
    <m/>
    <m/>
    <m/>
    <m/>
    <m/>
    <m/>
    <m/>
    <m/>
    <m/>
    <m/>
    <m/>
    <m/>
    <m/>
    <m/>
    <m/>
    <m/>
    <m/>
    <m/>
    <m/>
    <m/>
    <m/>
    <m/>
    <m/>
    <m/>
    <m/>
    <m/>
    <m/>
    <m/>
    <m/>
    <m/>
    <m/>
    <m/>
    <m/>
    <m/>
    <m/>
    <m/>
    <m/>
    <x v="0"/>
    <m/>
    <m/>
    <m/>
    <m/>
    <m/>
    <m/>
    <m/>
    <m/>
    <m/>
    <x v="0"/>
    <m/>
    <m/>
    <m/>
    <m/>
    <m/>
    <m/>
    <m/>
    <m/>
    <m/>
    <x v="0"/>
    <m/>
    <m/>
    <m/>
    <m/>
    <m/>
    <m/>
    <m/>
    <m/>
    <m/>
    <m/>
    <m/>
    <m/>
    <m/>
    <m/>
    <m/>
    <m/>
    <m/>
    <m/>
    <m/>
    <m/>
    <m/>
    <m/>
    <m/>
    <m/>
    <m/>
    <m/>
    <m/>
    <m/>
    <x v="2"/>
    <s v="Nie"/>
    <s v="nie dotyczy"/>
    <s v="nie dotyczy"/>
    <s v="ani się zgadzam, ani nie zgadzam"/>
    <s v="ani się zgadzam, ani nie zgadzam"/>
    <s v="ani się zgadzam, ani nie zgadzam"/>
    <s v="Tak"/>
    <s v="nie dotyczy"/>
    <s v="nie dotyczy"/>
    <s v="Nie (przejście do kolejnej części badania)"/>
    <m/>
    <m/>
    <m/>
    <m/>
    <m/>
    <m/>
    <m/>
    <m/>
    <m/>
    <m/>
    <m/>
    <m/>
    <m/>
    <m/>
    <m/>
    <x v="0"/>
    <m/>
    <m/>
    <m/>
    <m/>
    <m/>
    <m/>
    <m/>
    <m/>
    <m/>
    <m/>
    <m/>
    <m/>
    <m/>
    <m/>
    <m/>
    <m/>
    <m/>
    <m/>
    <m/>
    <m/>
    <m/>
    <m/>
    <m/>
    <m/>
    <m/>
    <m/>
    <m/>
    <m/>
    <m/>
    <m/>
    <m/>
    <m/>
    <m/>
    <s v="poziom kadry nauczycielskiej"/>
    <s v="możliwość uczenia sie od &quot;mistrzów&quot; w danej dziedzinie"/>
    <s v="poziom kadry nauczycielskiej"/>
    <x v="1"/>
    <n v="1974"/>
    <s v="miasto wojewódzkie"/>
    <s v="Gdańsk"/>
    <m/>
    <m/>
    <m/>
  </r>
  <r>
    <n v="131"/>
    <n v="80"/>
    <n v="35"/>
    <s v="88.156.64.30"/>
    <s v="Link"/>
    <m/>
    <m/>
    <m/>
    <m/>
    <s v="Zakończono"/>
    <s v="2020-11-20 08:49:34"/>
    <s v="2020-11-20 08:55:30"/>
    <n v="356"/>
    <n v="0"/>
    <x v="0"/>
    <x v="0"/>
    <m/>
    <m/>
    <m/>
    <m/>
    <m/>
    <m/>
    <m/>
    <m/>
    <m/>
    <m/>
    <m/>
    <m/>
    <m/>
    <m/>
    <m/>
    <x v="0"/>
    <s v="Uniwersytet Gdański"/>
    <n v="1997"/>
    <s v="nie"/>
    <s v="Prawo"/>
    <s v="raczej się nie zgadzam"/>
    <s v="raczej się nie zgadzam"/>
    <s v="raczej się zgadzam"/>
    <s v="raczej się zgadzam"/>
    <s v="raczej się zgadzam"/>
    <n v="1"/>
    <s v="powyżej 1000 zł, ale nie więcej niż 2000 zł"/>
    <s v="powyżej 1000 zł, ale nie więcej niż 2000 zł"/>
    <s v="kontakty personalne, korzystne postrzeganie kierunku przez pracowdawców"/>
    <s v="lokalizacja, program"/>
    <s v="nonszalancja wykładowców, brak interaktywności"/>
    <s v="stacjonarne (dzienne) studia 2 stopnia (magisterskie)"/>
    <s v="jednolite 5letnie studia magisterskie"/>
    <x v="0"/>
    <m/>
    <m/>
    <m/>
    <m/>
    <m/>
    <m/>
    <m/>
    <m/>
    <m/>
    <m/>
    <m/>
    <m/>
    <m/>
    <m/>
    <m/>
    <m/>
    <m/>
    <m/>
    <m/>
    <m/>
    <m/>
    <m/>
    <m/>
    <m/>
    <m/>
    <m/>
    <m/>
    <m/>
    <m/>
    <m/>
    <m/>
    <m/>
    <m/>
    <m/>
    <m/>
    <m/>
    <m/>
    <m/>
    <m/>
    <m/>
    <m/>
    <m/>
    <m/>
    <m/>
    <m/>
    <x v="0"/>
    <m/>
    <m/>
    <m/>
    <m/>
    <m/>
    <m/>
    <m/>
    <m/>
    <m/>
    <x v="0"/>
    <m/>
    <m/>
    <m/>
    <m/>
    <m/>
    <m/>
    <m/>
    <m/>
    <m/>
    <x v="0"/>
    <m/>
    <m/>
    <m/>
    <m/>
    <m/>
    <m/>
    <m/>
    <m/>
    <m/>
    <m/>
    <m/>
    <m/>
    <m/>
    <m/>
    <m/>
    <m/>
    <m/>
    <m/>
    <m/>
    <m/>
    <m/>
    <m/>
    <m/>
    <m/>
    <m/>
    <m/>
    <m/>
    <m/>
    <x v="0"/>
    <s v="Tak"/>
    <s v="nie dotyczy"/>
    <m/>
    <m/>
    <m/>
    <m/>
    <m/>
    <m/>
    <m/>
    <m/>
    <m/>
    <m/>
    <m/>
    <m/>
    <m/>
    <m/>
    <m/>
    <m/>
    <m/>
    <m/>
    <m/>
    <m/>
    <m/>
    <m/>
    <m/>
    <x v="0"/>
    <m/>
    <m/>
    <m/>
    <m/>
    <m/>
    <m/>
    <m/>
    <m/>
    <m/>
    <m/>
    <m/>
    <m/>
    <m/>
    <m/>
    <m/>
    <m/>
    <m/>
    <m/>
    <m/>
    <m/>
    <m/>
    <m/>
    <m/>
    <m/>
    <m/>
    <m/>
    <m/>
    <m/>
    <m/>
    <m/>
    <m/>
    <m/>
    <m/>
    <s v="renoma, praktyczny wymiar studiów, kadra"/>
    <s v="rozwój kariery po ukonczeniu, dostrzegalna zmiana kompetencji"/>
    <s v="nie wiem"/>
    <x v="1"/>
    <n v="1974"/>
    <s v="duże miasto powiatowe"/>
    <m/>
    <s v="podyplomowe - WSAiB"/>
    <m/>
    <m/>
  </r>
  <r>
    <n v="133"/>
    <n v="81"/>
    <n v="41"/>
    <s v="153.19.33.88"/>
    <s v="Link"/>
    <m/>
    <m/>
    <m/>
    <m/>
    <s v="Zakończono"/>
    <s v="2020-11-27 21:07:14"/>
    <s v="2020-11-27 21:13:21"/>
    <n v="367"/>
    <n v="0"/>
    <x v="0"/>
    <x v="0"/>
    <m/>
    <m/>
    <m/>
    <m/>
    <m/>
    <m/>
    <m/>
    <m/>
    <m/>
    <m/>
    <m/>
    <m/>
    <m/>
    <m/>
    <m/>
    <x v="0"/>
    <s v="Uniwersytet Gdański"/>
    <n v="2006"/>
    <s v="nie"/>
    <s v="Psychologia"/>
    <s v="raczej się zgadzam"/>
    <s v="raczej się zgadzam"/>
    <s v="zdecydowanie się zgadzam"/>
    <s v="nie zgadzam się"/>
    <s v="ani się zgadzam, ani nie zgadzam"/>
    <n v="3"/>
    <s v="powyżej 1000 zł, ale nie więcej niż 2000 zł"/>
    <s v="powyżej 2000 zł, ale nie więcej niż 3000 zł"/>
    <s v="Nie mógłbym robić tego, co robię jeśli nie ukończyłbym studiów"/>
    <s v="Interesowałem się tematem studiów, ciekawiły mnie zajęcia"/>
    <s v="Niektóre zajęcia były słabo prowadzone, małe odniesienie do praktyki"/>
    <s v="stacjonarne (dzienne) studia 2 stopnia (magisterskie)"/>
    <s v="Studia jednolite, bez podziału na stopnie"/>
    <x v="0"/>
    <m/>
    <m/>
    <m/>
    <m/>
    <m/>
    <m/>
    <m/>
    <m/>
    <m/>
    <m/>
    <m/>
    <m/>
    <m/>
    <m/>
    <m/>
    <m/>
    <m/>
    <m/>
    <m/>
    <m/>
    <m/>
    <m/>
    <m/>
    <m/>
    <m/>
    <m/>
    <m/>
    <m/>
    <m/>
    <m/>
    <m/>
    <m/>
    <m/>
    <m/>
    <m/>
    <m/>
    <m/>
    <m/>
    <m/>
    <m/>
    <m/>
    <m/>
    <m/>
    <m/>
    <m/>
    <x v="0"/>
    <m/>
    <m/>
    <m/>
    <m/>
    <m/>
    <m/>
    <m/>
    <m/>
    <m/>
    <x v="1"/>
    <s v="Politechnika Gdańska"/>
    <s v="Wydział Zarządzania i Ekonomii"/>
    <s v="zdecydowanie się zgadzam"/>
    <s v="zgadzam się"/>
    <s v="zgadzam się"/>
    <s v="zdecydowanie się zgadzam"/>
    <s v="raczej się zgadzam"/>
    <s v="raczej się zgadzam"/>
    <s v="Szerokie spojrzenie na rzeczywistość, rozumienie jej, dyplom pomagający w życiu zawodowym"/>
    <x v="0"/>
    <m/>
    <m/>
    <m/>
    <m/>
    <m/>
    <m/>
    <m/>
    <m/>
    <m/>
    <m/>
    <m/>
    <m/>
    <m/>
    <m/>
    <m/>
    <m/>
    <m/>
    <m/>
    <m/>
    <m/>
    <m/>
    <m/>
    <m/>
    <m/>
    <m/>
    <m/>
    <m/>
    <m/>
    <x v="0"/>
    <m/>
    <m/>
    <m/>
    <m/>
    <m/>
    <m/>
    <m/>
    <m/>
    <m/>
    <m/>
    <m/>
    <m/>
    <m/>
    <m/>
    <m/>
    <m/>
    <m/>
    <m/>
    <m/>
    <m/>
    <m/>
    <m/>
    <m/>
    <m/>
    <m/>
    <x v="0"/>
    <m/>
    <m/>
    <m/>
    <m/>
    <m/>
    <m/>
    <m/>
    <m/>
    <m/>
    <m/>
    <m/>
    <m/>
    <m/>
    <m/>
    <m/>
    <m/>
    <m/>
    <m/>
    <m/>
    <m/>
    <m/>
    <m/>
    <m/>
    <m/>
    <m/>
    <m/>
    <m/>
    <m/>
    <m/>
    <m/>
    <m/>
    <m/>
    <m/>
    <s v="Badania, środki finansowe, wymagania wobec studentów i wykładowców"/>
    <s v="Wiedza"/>
    <s v="Bałagan organizacyjny"/>
    <x v="1"/>
    <n v="1982"/>
    <s v="miasto wojewódzkie"/>
    <m/>
    <m/>
    <m/>
    <m/>
  </r>
  <r>
    <n v="151"/>
    <s v="BRAK"/>
    <n v="25"/>
    <s v="158.233.246.27"/>
    <s v="Link"/>
    <m/>
    <m/>
    <m/>
    <m/>
    <s v="W trakcie"/>
    <s v="2020-12-15 14:27:58"/>
    <s v="2020-12-15 14:27:58"/>
    <n v="0"/>
    <n v="0"/>
    <x v="0"/>
    <x v="0"/>
    <m/>
    <m/>
    <m/>
    <m/>
    <m/>
    <m/>
    <m/>
    <m/>
    <m/>
    <m/>
    <m/>
    <m/>
    <m/>
    <m/>
    <m/>
    <x v="0"/>
    <s v="Uniwersytet Gdański"/>
    <n v="2017"/>
    <s v="nie"/>
    <s v="Skandynawistyka"/>
    <s v="raczej się nie zgadzam"/>
    <s v="ani się zgadzam, ani nie zgadzam"/>
    <s v="raczej się zgadzam"/>
    <s v="raczej się zgadzam"/>
    <s v="raczej się nie zgadzam"/>
    <s v="praca przed ukończeniem studiów"/>
    <s v="powyżej 2000 zł, ale nie więcej niż 3000 zł"/>
    <s v="powyżej 2000 zł, ale nie więcej niż 3000 zł"/>
    <s v="ogólne wykształcenie"/>
    <s v="dobra kadra"/>
    <s v="dużo bezsensownych przedmiotów"/>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2"/>
    <m/>
    <m/>
    <m/>
    <m/>
    <m/>
    <m/>
  </r>
  <r>
    <n v="153"/>
    <n v="88"/>
    <n v="33"/>
    <s v="158.233.246.26"/>
    <s v="Link"/>
    <m/>
    <m/>
    <m/>
    <m/>
    <s v="Zakończono"/>
    <s v="2020-12-15 23:07:53"/>
    <s v="2020-12-15 23:13:45"/>
    <n v="352"/>
    <n v="0"/>
    <x v="0"/>
    <x v="0"/>
    <m/>
    <m/>
    <m/>
    <m/>
    <m/>
    <m/>
    <m/>
    <m/>
    <m/>
    <m/>
    <m/>
    <m/>
    <m/>
    <m/>
    <m/>
    <x v="0"/>
    <s v="Uniwersytet Gdański"/>
    <n v="2000"/>
    <s v="nie"/>
    <s v="Prawo"/>
    <s v="raczej się zgadzam"/>
    <s v="raczej się zgadzam"/>
    <s v="zgadzam się"/>
    <s v="zdecydowanie się nie zgadzam"/>
    <s v="raczej się nie zgadzam"/>
    <n v="5"/>
    <s v="powyżej 2000 zł, ale nie więcej niż 3000 zł"/>
    <s v="powyżej 2000 zł, ale nie więcej niż 3000 zł"/>
    <s v="łatwość w poruszaniu się po zagadnieniach prawnych"/>
    <s v="ciekawe zajęcia, praktyki, atmosfera"/>
    <s v="kumoterstwo"/>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jakość wykładowców, współpraca z dużymi firmami w kwestii praktyk"/>
    <s v="prestiż i dobra kadra"/>
    <s v="kupowanie dyplomów "/>
    <x v="0"/>
    <n v="1982"/>
    <s v="nieduże miasto powiatowe"/>
    <m/>
    <s v="brak"/>
    <s v="brak"/>
    <m/>
  </r>
  <r>
    <n v="165"/>
    <n v="95"/>
    <n v="33"/>
    <s v="158.233.246.26"/>
    <s v="Link"/>
    <m/>
    <m/>
    <m/>
    <m/>
    <s v="Zakończono"/>
    <s v="2020-12-18 11:23:28"/>
    <s v="2020-12-18 11:30:10"/>
    <n v="402"/>
    <n v="0"/>
    <x v="0"/>
    <x v="0"/>
    <m/>
    <m/>
    <m/>
    <m/>
    <m/>
    <m/>
    <m/>
    <m/>
    <m/>
    <m/>
    <m/>
    <m/>
    <m/>
    <m/>
    <m/>
    <x v="0"/>
    <s v="Uniwersytet Gdański"/>
    <n v="2008"/>
    <s v="nie"/>
    <s v="Chemia, Ochrona Środowiska"/>
    <s v="raczej się nie zgadzam"/>
    <s v="nie zgadzam się"/>
    <s v="zdecydowanie się nie zgadzam"/>
    <s v="zdecydowanie się nie zgadzam"/>
    <s v="raczej się nie zgadzam"/>
    <s v="praca przed ukończeniem studiów"/>
    <s v="powyżej 1000 zł, ale nie więcej niż 2000 zł"/>
    <s v="powyżej 1000 zł, ale nie więcej niż 2000 zł"/>
    <s v="zdolność analitycznego myślenia"/>
    <s v="ludzie"/>
    <s v="wykładowcy"/>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Kadra naukowa"/>
    <s v="Pozytywnie nastawieni wykładowcy."/>
    <s v="Negatywne nastawienie nauczycieli i ich osobiste emocje powodujące odgrywanie się na studentach, przeładowany program zbędną treścią."/>
    <x v="0"/>
    <n v="1984"/>
    <s v="miasto gminne"/>
    <m/>
    <s v="brak"/>
    <s v="brak"/>
    <m/>
  </r>
  <r>
    <n v="171"/>
    <n v="98"/>
    <n v="30"/>
    <s v="158.233.246.29"/>
    <s v="Link"/>
    <m/>
    <m/>
    <m/>
    <m/>
    <s v="Zakończono"/>
    <s v="2020-12-18 11:26:18"/>
    <s v="2020-12-18 11:35:40"/>
    <n v="562"/>
    <n v="0"/>
    <x v="0"/>
    <x v="0"/>
    <m/>
    <m/>
    <m/>
    <m/>
    <m/>
    <m/>
    <m/>
    <m/>
    <m/>
    <m/>
    <m/>
    <m/>
    <m/>
    <m/>
    <m/>
    <x v="0"/>
    <s v="Uniwersytet Gdański"/>
    <n v="2014"/>
    <s v="nie"/>
    <s v="Socjologia"/>
    <s v="ani się zgadzam, ani nie zgadzam"/>
    <s v="raczej się nie zgadzam"/>
    <s v="raczej się nie zgadzam"/>
    <s v="ani się zgadzam, ani nie zgadzam"/>
    <s v="raczej się zgadzam"/>
    <s v="10 miesięcy"/>
    <s v="powyżej 3000 zł, ale nie więcej niż 4000 zł"/>
    <s v="powyżej 3000 zł, ale nie więcej niż 4000 zł"/>
    <m/>
    <s v="inni studenci"/>
    <s v="Niemiła obsługa dziekanatu; traktujący studentów z góry nauczyciele; nauczyciele z syndromem &quot;doktora&quot;, do których należało mówić  per Pani/Pan Doktor inaczej była obraza majestatu"/>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Wybór przedmiotów"/>
    <s v="Jakość prowadzenia zajęć"/>
    <s v="Złe traktowanie studentów"/>
    <x v="0"/>
    <n v="1991"/>
    <s v="miasto wojewódzkie"/>
    <m/>
    <m/>
    <m/>
    <m/>
  </r>
  <r>
    <n v="175"/>
    <n v="99"/>
    <n v="31"/>
    <s v="158.233.246.28"/>
    <s v="Link"/>
    <m/>
    <m/>
    <m/>
    <m/>
    <s v="Zakończono"/>
    <s v="2020-12-18 11:41:43"/>
    <s v="2020-12-18 12:18:08"/>
    <n v="2185"/>
    <n v="0"/>
    <x v="0"/>
    <x v="0"/>
    <m/>
    <m/>
    <m/>
    <m/>
    <m/>
    <m/>
    <m/>
    <m/>
    <m/>
    <m/>
    <m/>
    <m/>
    <m/>
    <m/>
    <m/>
    <x v="0"/>
    <s v="Uniwersytet Gdański"/>
    <n v="2005"/>
    <s v="nie"/>
    <s v="Informatyka i Ekonometria"/>
    <s v="zgadzam się"/>
    <s v="zdecydowanie się zgadzam"/>
    <s v="zdecydowanie się zgadzam"/>
    <s v="zdecydowanie się zgadzam"/>
    <s v="zgadzam się"/>
    <s v="praca przed ukończeniem studiów"/>
    <s v="powyżej 1000 zł, ale nie więcej niż 2000 zł"/>
    <s v="powyżej 2000 zł, ale nie więcej niż 3000 zł"/>
    <m/>
    <s v="Doświadczona kadra"/>
    <s v="brak"/>
    <s v="niestacjonarne (zaoczne) studia 2 stopnia (magisterskie)"/>
    <m/>
    <x v="0"/>
    <m/>
    <m/>
    <m/>
    <m/>
    <m/>
    <m/>
    <m/>
    <m/>
    <m/>
    <m/>
    <m/>
    <m/>
    <m/>
    <m/>
    <m/>
    <m/>
    <m/>
    <m/>
    <m/>
    <m/>
    <m/>
    <m/>
    <m/>
    <m/>
    <m/>
    <m/>
    <m/>
    <m/>
    <m/>
    <m/>
    <m/>
    <m/>
    <m/>
    <m/>
    <m/>
    <m/>
    <m/>
    <m/>
    <m/>
    <m/>
    <m/>
    <m/>
    <m/>
    <m/>
    <m/>
    <x v="0"/>
    <m/>
    <m/>
    <m/>
    <m/>
    <m/>
    <m/>
    <m/>
    <m/>
    <m/>
    <x v="0"/>
    <m/>
    <m/>
    <m/>
    <m/>
    <m/>
    <m/>
    <m/>
    <m/>
    <m/>
    <x v="0"/>
    <m/>
    <m/>
    <m/>
    <m/>
    <m/>
    <m/>
    <m/>
    <m/>
    <m/>
    <m/>
    <m/>
    <m/>
    <m/>
    <m/>
    <m/>
    <m/>
    <m/>
    <m/>
    <m/>
    <m/>
    <m/>
    <m/>
    <m/>
    <m/>
    <m/>
    <m/>
    <m/>
    <m/>
    <x v="0"/>
    <s v="Tak"/>
    <m/>
    <m/>
    <m/>
    <m/>
    <m/>
    <m/>
    <m/>
    <m/>
    <m/>
    <m/>
    <m/>
    <m/>
    <m/>
    <m/>
    <m/>
    <m/>
    <m/>
    <m/>
    <m/>
    <m/>
    <m/>
    <m/>
    <m/>
    <m/>
    <x v="0"/>
    <m/>
    <m/>
    <m/>
    <m/>
    <m/>
    <m/>
    <m/>
    <m/>
    <m/>
    <m/>
    <m/>
    <m/>
    <m/>
    <m/>
    <m/>
    <m/>
    <m/>
    <m/>
    <m/>
    <m/>
    <m/>
    <m/>
    <m/>
    <m/>
    <m/>
    <m/>
    <m/>
    <m/>
    <m/>
    <m/>
    <m/>
    <m/>
    <m/>
    <s v="Kadra, program nauczania, topowe przedmioty"/>
    <s v="Kadra, program nauczania, topowe przedmioty"/>
    <s v="Kadra, program nauczania, topowe przedmioty"/>
    <x v="1"/>
    <n v="1981"/>
    <s v="nieduże miasto powiatowe"/>
    <m/>
    <m/>
    <m/>
    <m/>
  </r>
  <r>
    <n v="189"/>
    <n v="108"/>
    <n v="34"/>
    <s v="158.233.246.26"/>
    <s v="Link"/>
    <m/>
    <m/>
    <m/>
    <m/>
    <s v="Zakończono"/>
    <s v="2020-12-18 15:41:41"/>
    <s v="2020-12-18 17:03:27"/>
    <n v="4906"/>
    <n v="0"/>
    <x v="0"/>
    <x v="0"/>
    <m/>
    <m/>
    <m/>
    <m/>
    <m/>
    <m/>
    <m/>
    <m/>
    <m/>
    <m/>
    <m/>
    <m/>
    <m/>
    <m/>
    <m/>
    <x v="0"/>
    <s v="Uniwersytet Gdański"/>
    <n v="2009"/>
    <s v="nie"/>
    <s v="Ekonomia"/>
    <s v="raczej się zgadzam"/>
    <s v="raczej się zgadzam"/>
    <s v="raczej się zgadzam"/>
    <s v="raczej się zgadzam"/>
    <s v="raczej się zgadzam"/>
    <s v="praca przed rozpoczeciem pracy"/>
    <s v="powyżej 2000 zł, ale nie więcej niż 3000 zł"/>
    <s v="powyżej 3000 zł, ale nie więcej niż 4000 zł"/>
    <m/>
    <s v="dostęp do wiedzy i otwartosc profesorów"/>
    <s v="tryb zaoczny"/>
    <m/>
    <s v="niestacjonarne(zaoczne) studia jednolite 5 letnie (magisterskie)"/>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m/>
    <m/>
    <m/>
    <m/>
    <m/>
    <m/>
    <m/>
    <m/>
    <m/>
    <m/>
    <m/>
    <m/>
    <m/>
    <m/>
    <m/>
    <m/>
    <m/>
    <m/>
    <m/>
    <m/>
    <m/>
    <m/>
    <m/>
    <m/>
    <m/>
    <m/>
    <m/>
    <m/>
    <m/>
    <m/>
    <m/>
    <m/>
    <m/>
    <s v="rożnorodność kierunków, kadra, "/>
    <s v="nie wiem"/>
    <s v="nie wiem"/>
    <x v="0"/>
    <n v="1983"/>
    <s v="miasto gminne"/>
    <m/>
    <s v="nd"/>
    <s v="Nd"/>
    <m/>
  </r>
  <r>
    <n v="217"/>
    <n v="119"/>
    <n v="32"/>
    <s v="81.190.59.12"/>
    <s v="Link"/>
    <s v="https://poczta.o2.pl/"/>
    <m/>
    <m/>
    <m/>
    <s v="Zakończono"/>
    <s v="2020-12-20 16:19:03"/>
    <s v="2020-12-20 16:35:11"/>
    <n v="968"/>
    <n v="0"/>
    <x v="0"/>
    <x v="0"/>
    <m/>
    <m/>
    <m/>
    <m/>
    <m/>
    <m/>
    <m/>
    <m/>
    <m/>
    <m/>
    <m/>
    <m/>
    <m/>
    <m/>
    <m/>
    <x v="0"/>
    <s v="Uniwersytet Gdański"/>
    <n v="2011"/>
    <s v="nie"/>
    <s v="Informatyka i ekonometria"/>
    <s v="zgadzam się"/>
    <s v="raczej się zgadzam"/>
    <s v="zdecydowanie się zgadzam"/>
    <s v="zgadzam się"/>
    <s v="zgadzam się"/>
    <n v="2"/>
    <s v="powyżej 2000 zł, ale nie więcej niż 3000 zł"/>
    <s v="powyżej 3000 zł, ale nie więcej niż 4000 zł"/>
    <s v="Znajomość z wykładowcami będącymi ekspertami w dziedzinie mojej obecnej pracy, współpraca z nimi już po zakończeniu studiów."/>
    <s v="Dobra lokalizacja uczelni, zaangażowani wykładowcy, super biblioteka."/>
    <s v="Część wykładowców nieco oderwana od rzeczywistości - mówiąca do studentów jak do osób z wieloletnim doświadczeniem w danej dziedzinie - trudno było uczyć się i rozumieć dane przedmioty."/>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Wykładowcy"/>
    <s v="Znalezienie pracy zgodnie z wykształceniem. Wykorzystanie w pracy umiejętności nabytych w czasie studiów (zwłaszcza takich, o których myślała się, że nie będą przydatne). Potwierdzenie w rzeczywistości, że to czego uczyło się na studiach stanowi wystarczającą podstawę do dalszego rozwoju w pracy."/>
    <s v="Porównywanie uczelni technicznych i nietechnicznych bez odnoszenia się do jakości samych zajęć."/>
    <x v="0"/>
    <n v="1986"/>
    <s v="duże miasto powiatowe"/>
    <m/>
    <s v="Szkoła wieczorowa"/>
    <m/>
    <m/>
  </r>
  <r>
    <n v="220"/>
    <n v="121"/>
    <n v="34"/>
    <s v="158.233.246.29"/>
    <s v="Link"/>
    <m/>
    <m/>
    <m/>
    <m/>
    <s v="Zakończono"/>
    <s v="2020-12-21 10:11:48"/>
    <s v="2020-12-21 10:51:27"/>
    <n v="2379"/>
    <n v="0"/>
    <x v="0"/>
    <x v="0"/>
    <m/>
    <m/>
    <m/>
    <m/>
    <m/>
    <m/>
    <m/>
    <m/>
    <m/>
    <m/>
    <m/>
    <m/>
    <m/>
    <m/>
    <m/>
    <x v="0"/>
    <s v="Uniwersytet Gdański"/>
    <n v="2012"/>
    <s v="nie"/>
    <s v="Międzynarodowe Stosunku Gospodarcze"/>
    <s v="zgadzam się"/>
    <s v="raczej się zgadzam"/>
    <s v="zgadzam się"/>
    <s v="raczej się zgadzam"/>
    <s v="zgadzam się"/>
    <s v="praca przed ukończeniem studiów"/>
    <s v="nie dotyczy"/>
    <s v="nie dotyczy"/>
    <s v="zbudowanie sieci kontaktów"/>
    <s v="ćwiczeniowa forma zajęć, współpraca z innymi studentami"/>
    <s v="forma wykładów w ppt, duże skoncentrowanie na definicje, suche fakty a mało czasu poświęconego na zastosowanie umiejętności w praktyce"/>
    <s v="niestacjonarne (zaoczne) studia 2 stopnia (magisterskie)"/>
    <s v="również stacjonarne studia 2 stopnia: skandynawistyka"/>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kadra dydaktyczna i naukowa, program studiów oparty na ćwiczeniach i przedmiotach danej specjalności"/>
    <s v="poziom dydaktyczny prowadzonych zajęć, zasoby biblioteczne, możliwości stypendialne/programów wymiany itp., oferta ponadprogramowa (np. kółka studenckie)"/>
    <s v="przeładowanie programu przedmiotami &quot;ogólnymi&quot; prowadzonymi w formie wykładu, przestarzałe formy dydaktyczne (skoncentrowanie na testy zaliczeniowe, "/>
    <x v="0"/>
    <n v="1986"/>
    <s v="nieduże miasto powiatowe"/>
    <m/>
    <s v="studia 2 stopnia (magisterskie): skandynawistyka"/>
    <s v="studia podyplomowe: Analiza Biznesowa w IT"/>
    <m/>
  </r>
  <r>
    <n v="223"/>
    <n v="122"/>
    <n v="41"/>
    <s v="37.47.234.245"/>
    <s v="Link"/>
    <m/>
    <m/>
    <m/>
    <m/>
    <s v="Zakończono"/>
    <s v="2020-12-21 14:03:37"/>
    <s v="2020-12-21 14:14:50"/>
    <n v="673"/>
    <n v="0"/>
    <x v="0"/>
    <x v="0"/>
    <m/>
    <m/>
    <m/>
    <m/>
    <m/>
    <m/>
    <m/>
    <m/>
    <m/>
    <m/>
    <m/>
    <m/>
    <m/>
    <m/>
    <m/>
    <x v="0"/>
    <s v="Uniwersytet Gdański"/>
    <n v="2005"/>
    <s v="nie"/>
    <s v="informatyka"/>
    <s v="raczej się zgadzam"/>
    <s v="zdecydowanie się zgadzam"/>
    <s v="zdecydowanie się zgadzam"/>
    <s v="raczej się nie zgadzam"/>
    <s v="raczej się zgadzam"/>
    <s v="praca przed ukończeniem studiów"/>
    <s v="powyżej 2000 zł, ale nie więcej niż 3000 zł"/>
    <s v="powyżej 3000 zł, ale nie więcej niż 4000 zł"/>
    <s v="zawód jest jednocześnie moim hobby"/>
    <s v="ciekawe przedmioty, fajna atmosfera, czas na samodokształcanie"/>
    <s v="niektóre egzaminy matematyczne były trudne, tj. wymagały dużego nakładu pracy, a nie były ściśle związane z kierunkiem"/>
    <m/>
    <s v="jednolite studia magisterskie"/>
    <x v="0"/>
    <m/>
    <m/>
    <m/>
    <m/>
    <m/>
    <m/>
    <m/>
    <m/>
    <m/>
    <m/>
    <m/>
    <m/>
    <m/>
    <m/>
    <m/>
    <m/>
    <m/>
    <m/>
    <m/>
    <m/>
    <m/>
    <m/>
    <m/>
    <m/>
    <m/>
    <m/>
    <m/>
    <m/>
    <m/>
    <m/>
    <m/>
    <m/>
    <m/>
    <m/>
    <m/>
    <m/>
    <m/>
    <m/>
    <m/>
    <m/>
    <m/>
    <m/>
    <m/>
    <m/>
    <m/>
    <x v="0"/>
    <m/>
    <m/>
    <m/>
    <m/>
    <m/>
    <m/>
    <m/>
    <m/>
    <m/>
    <x v="1"/>
    <s v="Politechnika Gdańska"/>
    <s v="Wydział Elektroniki Telekomunikacji i Informatyki"/>
    <s v="zgadzam się"/>
    <s v="zgadzam się"/>
    <s v="ani się zgadzam, ani nie zgadzam"/>
    <s v="zgadzam się"/>
    <s v="zdecydowanie się zgadzam"/>
    <s v="zdecydowanie się zgadzam"/>
    <s v="studenci są bardzo dobrze przygotowani do zawodu i dobrze sobie radzą na ryku pracy"/>
    <x v="0"/>
    <m/>
    <m/>
    <m/>
    <m/>
    <m/>
    <m/>
    <m/>
    <m/>
    <m/>
    <m/>
    <m/>
    <m/>
    <m/>
    <m/>
    <m/>
    <m/>
    <m/>
    <m/>
    <m/>
    <m/>
    <m/>
    <m/>
    <m/>
    <m/>
    <m/>
    <m/>
    <m/>
    <m/>
    <x v="0"/>
    <m/>
    <m/>
    <m/>
    <m/>
    <m/>
    <m/>
    <m/>
    <m/>
    <m/>
    <m/>
    <m/>
    <m/>
    <m/>
    <m/>
    <m/>
    <m/>
    <m/>
    <m/>
    <m/>
    <m/>
    <m/>
    <m/>
    <m/>
    <m/>
    <m/>
    <x v="0"/>
    <m/>
    <m/>
    <m/>
    <m/>
    <m/>
    <m/>
    <m/>
    <m/>
    <m/>
    <m/>
    <m/>
    <m/>
    <m/>
    <m/>
    <m/>
    <m/>
    <m/>
    <m/>
    <m/>
    <m/>
    <m/>
    <m/>
    <m/>
    <m/>
    <m/>
    <m/>
    <m/>
    <m/>
    <m/>
    <m/>
    <m/>
    <m/>
    <m/>
    <s v="współpraca z biznesem, rozwój kadry "/>
    <s v="gdy widzę,  że to, czego się uczyłam ma zastosowanie w praktyce"/>
    <s v="gdy nie widzę,  że to, czego się uczyłam ma zastosowanie w praktyce"/>
    <x v="0"/>
    <n v="1981"/>
    <s v="miasto wojewódzkie"/>
    <m/>
    <s v="stopień naukowy doktora"/>
    <m/>
    <m/>
  </r>
  <r>
    <n v="227"/>
    <n v="123"/>
    <n v="33"/>
    <s v="89.64.114.63"/>
    <s v="Link"/>
    <m/>
    <m/>
    <m/>
    <m/>
    <s v="Zakończono"/>
    <s v="2020-12-22 16:37:12"/>
    <s v="2020-12-22 16:50:22"/>
    <n v="790"/>
    <n v="0"/>
    <x v="0"/>
    <x v="0"/>
    <m/>
    <m/>
    <m/>
    <m/>
    <m/>
    <m/>
    <m/>
    <m/>
    <m/>
    <m/>
    <m/>
    <m/>
    <m/>
    <m/>
    <m/>
    <x v="0"/>
    <s v="Uniwersytet Gdański"/>
    <n v="2018"/>
    <s v="nie"/>
    <s v="Filologia polska"/>
    <s v="raczej się zgadzam"/>
    <s v="raczej się zgadzam"/>
    <s v="zgadzam się"/>
    <s v="zdecydowanie się zgadzam"/>
    <s v="nie dotyczy"/>
    <s v="8 miesięcy "/>
    <s v="powyżej 2000 zł, ale nie więcej niż 3000 zł"/>
    <s v="nie dotyczy"/>
    <s v="Łatwość nawiązywania kontaktów, łatwość w formułowaniu wypowiedzi pisemnych i ustnych "/>
    <s v="Tematyka wykładów, interesująca firma prowadzenia zajęć"/>
    <s v="Natłok materiału, niedostateczna ilość czasu na przerobienie całego materiału "/>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Innowacyjne metody prowadzenia zajęć, elastyczni i wyrozumiali wykładowcy "/>
    <s v="Zdobyte umiejętności, poszerzenie moich zainteresowań "/>
    <s v="Rozczarowanie prowadzeniem zajęć z mojej specjalizacji, brak zaangażowania niektórych wykładowców "/>
    <x v="0"/>
    <n v="1994"/>
    <s v="miasto wojewódzkie"/>
    <s v="Gdansk"/>
    <s v="Podyplomowe studia z zakresu kadr i płac"/>
    <m/>
    <m/>
  </r>
  <r>
    <n v="219"/>
    <s v="BRAK"/>
    <n v="20"/>
    <s v="31.60.245.10"/>
    <s v="Link"/>
    <s v="http://m.facebook.com/"/>
    <m/>
    <m/>
    <m/>
    <s v="W trakcie"/>
    <s v="2020-12-20 19:09:01"/>
    <s v="2020-12-20 19:09:01"/>
    <n v="0"/>
    <n v="0"/>
    <x v="0"/>
    <x v="0"/>
    <m/>
    <m/>
    <m/>
    <m/>
    <m/>
    <m/>
    <m/>
    <m/>
    <m/>
    <m/>
    <m/>
    <m/>
    <m/>
    <m/>
    <m/>
    <x v="0"/>
    <s v="Politechnika Gdańska"/>
    <n v="2016"/>
    <s v="tak"/>
    <s v="Inżynieria środowiska"/>
    <s v="nie zgadzam się"/>
    <s v="nie zgadzam się"/>
    <s v="ani się zgadzam, ani nie zgadzam"/>
    <s v="zdecydowanie się nie zgadzam"/>
    <s v="nie dotyczy"/>
    <s v="Przed ukończeniem"/>
    <s v="powyżej 1000 zł, ale nie więcej niż 2000 zł"/>
    <s v="nie dotyczy"/>
    <s v="Łatwiejsze przebranżowienie"/>
    <s v="Niektórzy wykładowcy, niektóre przedmioty były bardzo ciekawe"/>
    <s v="Kadra teoretyczna, brak praktyków, zakres niektórych przedmiotów sprzed 30 lat bez aktualizacji, podejście wykładowców, testy nie sprawdzające niczego"/>
    <s v="stacjonarne (dzienne) studia 2 stopnia (magisterskie)"/>
    <m/>
    <x v="0"/>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r>
    <n v="240"/>
    <s v="BRAK"/>
    <n v="20"/>
    <s v="188.47.126.140"/>
    <s v="Link"/>
    <m/>
    <m/>
    <m/>
    <m/>
    <s v="W trakcie"/>
    <s v="2020-12-29 20:12:53"/>
    <s v="2020-12-29 20:12:53"/>
    <n v="0"/>
    <n v="0"/>
    <x v="0"/>
    <x v="0"/>
    <m/>
    <m/>
    <m/>
    <m/>
    <m/>
    <m/>
    <m/>
    <m/>
    <m/>
    <m/>
    <m/>
    <m/>
    <m/>
    <m/>
    <m/>
    <x v="0"/>
    <s v="Politechnika Gdańska"/>
    <n v="1967"/>
    <s v="tak"/>
    <s v="Automatyka"/>
    <s v="zgadzam się"/>
    <s v="zgadzam się"/>
    <s v="nie dotyczy"/>
    <s v="zgadzam się"/>
    <s v="zgadzam się"/>
    <n v="1"/>
    <s v="powyżej 2000 zł, ale nie więcej niż 3000 zł"/>
    <s v="powyżej 3000 zł, ale nie więcej niż 4000 zł"/>
    <s v="spotkanie z profesorami starej daty"/>
    <s v="matematyczne techniczne"/>
    <s v="polityczne/ekonomia"/>
    <s v="stacjonarne (dzienne) studia 2 stopnia (magisterskie)"/>
    <m/>
    <x v="0"/>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r>
    <n v="206"/>
    <s v="BRAK"/>
    <n v="30"/>
    <s v="91.231.25.141"/>
    <s v="Link"/>
    <s v="https://zasobygwp.pl/"/>
    <m/>
    <m/>
    <m/>
    <s v="W trakcie"/>
    <s v="2020-12-18 19:07:51"/>
    <s v="2020-12-18 19:07:51"/>
    <n v="0"/>
    <n v="0"/>
    <x v="0"/>
    <x v="0"/>
    <m/>
    <m/>
    <m/>
    <m/>
    <m/>
    <m/>
    <m/>
    <m/>
    <m/>
    <m/>
    <m/>
    <m/>
    <m/>
    <m/>
    <m/>
    <x v="0"/>
    <s v="Uniwersytet Gdański "/>
    <n v="2005"/>
    <s v="nie"/>
    <s v="Matematyka "/>
    <s v="zgadzam się"/>
    <s v="raczej się zgadzam"/>
    <s v="raczej się zgadzam"/>
    <s v="raczej się zgadzam"/>
    <s v="raczej się zgadzam"/>
    <n v="2"/>
    <s v="powyżej 1000 zł, ale nie więcej niż 2000 zł"/>
    <s v="powyżej 2000 zł, ale nie więcej niż 3000 zł"/>
    <s v="Dobre przygotowanie do wykonywanego zawodu. "/>
    <s v="Ludzie, którzy ze mną studiowali. "/>
    <s v="Trudny materiał. "/>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0"/>
    <n v="1981"/>
    <s v="wieś"/>
    <m/>
    <s v="Brak"/>
    <s v="Nie"/>
    <m/>
  </r>
  <r>
    <n v="243"/>
    <n v="130"/>
    <n v="33"/>
    <s v="81.15.175.65"/>
    <s v="Link"/>
    <m/>
    <m/>
    <m/>
    <m/>
    <s v="Zakończono"/>
    <s v="2021-01-05 17:01:54"/>
    <s v="2021-01-05 17:17:36"/>
    <n v="942"/>
    <n v="0"/>
    <x v="0"/>
    <x v="0"/>
    <m/>
    <m/>
    <m/>
    <m/>
    <m/>
    <m/>
    <m/>
    <m/>
    <m/>
    <m/>
    <m/>
    <m/>
    <m/>
    <m/>
    <m/>
    <x v="0"/>
    <s v="Uniwersytet Gdański"/>
    <n v="2012"/>
    <s v="nie"/>
    <s v="Prawo"/>
    <s v="raczej się nie zgadzam"/>
    <s v="raczej się zgadzam"/>
    <s v="raczej się nie zgadzam"/>
    <s v="raczej się nie zgadzam"/>
    <s v="nie zgadzam się"/>
    <s v="Praca przed ukończeniem studiów"/>
    <s v="powyżej 2000 zł, ale nie więcej niż 3000 zł"/>
    <s v="powyżej 1000 zł, ale nie więcej niż 2000 zł"/>
    <s v="Obiektywne patrzenie na niektóre aspekty życia "/>
    <s v="Poznani ludzie"/>
    <s v="Wyścig szczurów "/>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Podejście kadry do studenta"/>
    <s v="Atmosfera na uczelni, szacunek do studenta, fajni ludzie "/>
    <s v="Przeciwieństwo powyższego"/>
    <x v="0"/>
    <n v="1986"/>
    <s v="wieś gminna"/>
    <m/>
    <s v="Technikum Hotelarsko Turystyczne"/>
    <s v="Brak"/>
    <m/>
  </r>
  <r>
    <n v="34"/>
    <n v="24"/>
    <n v="36"/>
    <s v="37.47.81.77"/>
    <s v="Link"/>
    <s v="http://m.facebook.com/"/>
    <m/>
    <m/>
    <m/>
    <s v="Zakończono"/>
    <s v="2020-05-16 16:50:46"/>
    <s v="2020-05-16 17:02:35"/>
    <n v="709"/>
    <n v="0"/>
    <x v="0"/>
    <x v="0"/>
    <m/>
    <m/>
    <m/>
    <m/>
    <m/>
    <m/>
    <m/>
    <m/>
    <m/>
    <m/>
    <m/>
    <m/>
    <m/>
    <m/>
    <m/>
    <x v="0"/>
    <s v="Uniwersytet Jagielloński"/>
    <n v="2018"/>
    <s v="nie"/>
    <s v="Polonistyka spec. nauczycielska"/>
    <s v="raczej się zgadzam"/>
    <s v="raczej się zgadzam"/>
    <s v="ani się zgadzam, ani nie zgadzam"/>
    <s v="zdecydowanie się nie zgadzam"/>
    <s v="ani się zgadzam, ani nie zgadzam"/>
    <n v="2"/>
    <s v="powyżej 1000 zł, ale nie więcej niż 2000 zł"/>
    <s v="powyżej 3000 zł, ale nie więcej niż 4000 zł"/>
    <s v="Wiedzą, która można wykorzystać w pracy, wykształcone umiejętności"/>
    <s v="Przyjazna atmosfera, zagadnienia przekazywane w sposób klarowny i adekwatny do wymagań."/>
    <s v="Ogrom materiału w bardzo krótkim czasie praktycznie niemożliwy do samodzielnego przerobienia całości (liczba lektur)"/>
    <s v="stacjonarne (dzienne) studia 2 stopnia (magisterskie)"/>
    <m/>
    <x v="0"/>
    <m/>
    <m/>
    <m/>
    <m/>
    <m/>
    <m/>
    <m/>
    <m/>
    <m/>
    <m/>
    <m/>
    <m/>
    <m/>
    <m/>
    <m/>
    <m/>
    <m/>
    <m/>
    <m/>
    <m/>
    <m/>
    <m/>
    <m/>
    <m/>
    <m/>
    <m/>
    <m/>
    <m/>
    <m/>
    <m/>
    <m/>
    <m/>
    <m/>
    <m/>
    <m/>
    <m/>
    <m/>
    <m/>
    <m/>
    <m/>
    <m/>
    <m/>
    <m/>
    <m/>
    <m/>
    <x v="0"/>
    <m/>
    <m/>
    <m/>
    <m/>
    <m/>
    <m/>
    <m/>
    <m/>
    <m/>
    <x v="0"/>
    <m/>
    <m/>
    <m/>
    <m/>
    <m/>
    <m/>
    <m/>
    <m/>
    <m/>
    <x v="0"/>
    <m/>
    <m/>
    <m/>
    <m/>
    <m/>
    <m/>
    <m/>
    <m/>
    <m/>
    <m/>
    <m/>
    <m/>
    <m/>
    <m/>
    <m/>
    <m/>
    <m/>
    <m/>
    <m/>
    <m/>
    <m/>
    <m/>
    <m/>
    <m/>
    <m/>
    <m/>
    <m/>
    <m/>
    <x v="0"/>
    <s v="Nie"/>
    <m/>
    <m/>
    <m/>
    <m/>
    <m/>
    <m/>
    <m/>
    <m/>
    <m/>
    <m/>
    <m/>
    <m/>
    <m/>
    <m/>
    <m/>
    <m/>
    <m/>
    <m/>
    <m/>
    <m/>
    <m/>
    <m/>
    <m/>
    <m/>
    <x v="0"/>
    <s v="nie dotyczy"/>
    <m/>
    <s v="nie dotyczy"/>
    <m/>
    <m/>
    <m/>
    <m/>
    <m/>
    <m/>
    <m/>
    <m/>
    <m/>
    <m/>
    <m/>
    <m/>
    <m/>
    <m/>
    <m/>
    <m/>
    <m/>
    <m/>
    <m/>
    <m/>
    <m/>
    <m/>
    <m/>
    <m/>
    <m/>
    <m/>
    <m/>
    <m/>
    <m/>
    <m/>
    <s v="Wyrozumiała ale kompetentna kadra pracowników naukowych"/>
    <s v="Sposób przekazania wiedzy w sposób taki, że nawet po upływie czasu wiele rzeczy wciąż się pamięta."/>
    <s v="Biurokracja uczelniana, słaby obieg informacji, sztuczne zawyżanie poziomu egzaminami mającymi &quot;ulać&quot; studenta, a nie sprawdzać wiedzę czy umiejętności. "/>
    <x v="1"/>
    <n v="1994"/>
    <s v="wieś"/>
    <m/>
    <s v="Wyłącznie ukończony kurs przewodnicki (oprowadzanie grup po Zamku Królewskim na Wawelu)"/>
    <s v="Żadne "/>
    <m/>
  </r>
  <r>
    <n v="154"/>
    <n v="89"/>
    <n v="17"/>
    <s v="158.233.246.27"/>
    <s v="Link"/>
    <m/>
    <m/>
    <m/>
    <m/>
    <s v="Zakończono"/>
    <s v="2020-12-16 00:42:24"/>
    <s v="2020-12-16 00:45:11"/>
    <n v="167"/>
    <n v="0"/>
    <x v="0"/>
    <x v="0"/>
    <m/>
    <m/>
    <m/>
    <m/>
    <m/>
    <m/>
    <m/>
    <m/>
    <m/>
    <m/>
    <m/>
    <m/>
    <m/>
    <m/>
    <m/>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ilość studentów po I roku = poziom nauczania"/>
    <s v="renoma"/>
    <s v="stary program nauczania, niedostosowany do bieżących potrzeb"/>
    <x v="1"/>
    <n v="1987"/>
    <s v="miasto wojewódzkie"/>
    <m/>
    <s v="-"/>
    <s v="przerwane studia na kierunku informatyka"/>
    <m/>
  </r>
  <r>
    <n v="155"/>
    <s v="BRAK"/>
    <n v="9"/>
    <s v="158.233.246.28"/>
    <s v="Link"/>
    <m/>
    <m/>
    <m/>
    <m/>
    <s v="W trakcie"/>
    <s v="2020-12-16 07:43:49"/>
    <s v="2020-12-16 07:43:49"/>
    <n v="0"/>
    <n v="0"/>
    <x v="0"/>
    <x v="0"/>
    <m/>
    <m/>
    <m/>
    <m/>
    <m/>
    <m/>
    <m/>
    <m/>
    <m/>
    <m/>
    <m/>
    <m/>
    <m/>
    <m/>
    <m/>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2"/>
    <m/>
    <m/>
    <m/>
    <m/>
    <m/>
    <m/>
  </r>
  <r>
    <n v="37"/>
    <n v="25"/>
    <n v="37"/>
    <s v="83.26.246.110"/>
    <s v="Link"/>
    <s v="https://www.facebook.com/"/>
    <m/>
    <m/>
    <m/>
    <s v="Zakończono"/>
    <s v="2020-05-16 17:08:00"/>
    <s v="2020-05-16 17:14:34"/>
    <n v="394"/>
    <n v="0"/>
    <x v="0"/>
    <x v="0"/>
    <m/>
    <m/>
    <m/>
    <m/>
    <m/>
    <m/>
    <m/>
    <m/>
    <m/>
    <m/>
    <m/>
    <m/>
    <m/>
    <m/>
    <m/>
    <x v="0"/>
    <s v="Uniwersytet Jagielloński"/>
    <n v="2019"/>
    <s v="nie"/>
    <s v="polonistyka - krytyka literacka"/>
    <s v="raczej się zgadzam"/>
    <s v="raczej się zgadzam"/>
    <s v="raczej się zgadzam"/>
    <s v="zgadzam się"/>
    <s v="nie dotyczy"/>
    <n v="0"/>
    <s v="powyżej 3000 zł, ale nie więcej niż 4000 zł"/>
    <s v="nie dotyczy"/>
    <s v="kontakty, znajomości, możliwość kontynuowania edukacji na doktoracie"/>
    <s v="kompetencja pracowników uniwersytetu"/>
    <s v="niekompetencja studentów na kierunku"/>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kadra naukowa, zróżnicowanie oferty edukacyjnej"/>
    <s v="poczucie rozwoju "/>
    <s v="skomplikowana administracja"/>
    <x v="0"/>
    <n v="1994"/>
    <s v="miasto gminne"/>
    <m/>
    <s v="licencjat z polonistyki i absolutorium z komunikacji wizerunkowej na Uniwersytecie Wrocławskim"/>
    <s v="studia w Szkole Doktorskiej Nauk Humanistycznych Uniwersytetu Jagiellońskiego"/>
    <m/>
  </r>
  <r>
    <n v="38"/>
    <n v="26"/>
    <n v="44"/>
    <s v="31.182.177.36"/>
    <s v="Link"/>
    <s v="https://www.facebook.com/"/>
    <m/>
    <m/>
    <m/>
    <s v="Zakończono"/>
    <s v="2020-05-16 17:09:17"/>
    <s v="2020-05-16 17:16:21"/>
    <n v="424"/>
    <n v="0"/>
    <x v="0"/>
    <x v="0"/>
    <m/>
    <m/>
    <m/>
    <m/>
    <m/>
    <m/>
    <m/>
    <m/>
    <m/>
    <m/>
    <m/>
    <m/>
    <m/>
    <m/>
    <m/>
    <x v="0"/>
    <s v="Uniwersytet Jagielloński"/>
    <n v="2018"/>
    <s v="nie"/>
    <s v="Nauczanie języka polskiego jako obcego"/>
    <s v="zgadzam się"/>
    <s v="zdecydowanie się zgadzam"/>
    <s v="zdecydowanie się zgadzam"/>
    <s v="zgadzam się"/>
    <s v="nie dotyczy"/>
    <s v="Od razu po ukończeniu studiów."/>
    <s v="powyżej 2000 zł, ale nie więcej niż 3000 zł"/>
    <s v="nie dotyczy"/>
    <s v="Kontynuacja na studiach doktoranckich"/>
    <s v="Zgodność z zainteresowaniami."/>
    <s v="Brak"/>
    <s v="stacjonarne (dzienne) studia 2 stopnia (magisterskie)"/>
    <m/>
    <x v="0"/>
    <m/>
    <m/>
    <m/>
    <m/>
    <m/>
    <m/>
    <m/>
    <m/>
    <m/>
    <m/>
    <m/>
    <m/>
    <m/>
    <m/>
    <m/>
    <m/>
    <m/>
    <m/>
    <m/>
    <m/>
    <m/>
    <m/>
    <m/>
    <m/>
    <m/>
    <m/>
    <m/>
    <m/>
    <m/>
    <m/>
    <m/>
    <m/>
    <m/>
    <m/>
    <m/>
    <m/>
    <m/>
    <m/>
    <m/>
    <m/>
    <m/>
    <m/>
    <m/>
    <m/>
    <m/>
    <x v="0"/>
    <m/>
    <m/>
    <m/>
    <m/>
    <m/>
    <m/>
    <m/>
    <m/>
    <m/>
    <x v="1"/>
    <s v="Uniwersytet Jagielloński"/>
    <s v="Wydział Polonistyki"/>
    <s v="zdecydowanie się zgadzam"/>
    <s v="zgadzam się"/>
    <s v="raczej się zgadzam"/>
    <s v="zgadzam się"/>
    <s v="zgadzam się"/>
    <s v="ani się zgadzam, ani nie zgadzam"/>
    <m/>
    <x v="0"/>
    <m/>
    <m/>
    <m/>
    <m/>
    <m/>
    <m/>
    <m/>
    <m/>
    <m/>
    <m/>
    <m/>
    <m/>
    <m/>
    <m/>
    <m/>
    <m/>
    <m/>
    <m/>
    <m/>
    <m/>
    <m/>
    <m/>
    <m/>
    <m/>
    <m/>
    <m/>
    <m/>
    <m/>
    <x v="0"/>
    <s v="Nie"/>
    <s v="nie dotyczy"/>
    <m/>
    <m/>
    <m/>
    <m/>
    <m/>
    <m/>
    <m/>
    <m/>
    <m/>
    <m/>
    <m/>
    <m/>
    <m/>
    <m/>
    <m/>
    <m/>
    <m/>
    <m/>
    <m/>
    <m/>
    <m/>
    <m/>
    <m/>
    <x v="0"/>
    <s v="nie dotyczy"/>
    <m/>
    <s v="nie dotyczy"/>
    <m/>
    <m/>
    <m/>
    <m/>
    <m/>
    <m/>
    <m/>
    <m/>
    <m/>
    <m/>
    <m/>
    <m/>
    <m/>
    <m/>
    <m/>
    <m/>
    <m/>
    <m/>
    <m/>
    <m/>
    <m/>
    <m/>
    <m/>
    <m/>
    <m/>
    <m/>
    <m/>
    <m/>
    <m/>
    <m/>
    <s v="Finansowanie, kadra naukowa, prestiż (lepsi studenci)"/>
    <s v="Nauczane treści, możliwość nawiązania znajomości"/>
    <s v="Brak"/>
    <x v="1"/>
    <n v="1994"/>
    <s v="miasto wojewódzkie"/>
    <m/>
    <m/>
    <s v="Studia doktoranckie"/>
    <m/>
  </r>
  <r>
    <n v="200"/>
    <s v="BRAK"/>
    <n v="21"/>
    <s v="153.19.11.181"/>
    <s v="Link"/>
    <s v="https://zasobygwp.pl/"/>
    <m/>
    <m/>
    <m/>
    <s v="W trakcie"/>
    <s v="2020-12-18 17:17:49"/>
    <s v="2020-12-18 17:17:49"/>
    <n v="0"/>
    <n v="0"/>
    <x v="0"/>
    <x v="0"/>
    <m/>
    <m/>
    <m/>
    <m/>
    <m/>
    <m/>
    <m/>
    <m/>
    <m/>
    <m/>
    <m/>
    <m/>
    <m/>
    <m/>
    <m/>
    <x v="0"/>
    <s v="Uniwersytet Gdański"/>
    <n v="2000"/>
    <s v="nie"/>
    <s v="humanistyczny"/>
    <s v="ani się zgadzam, ani nie zgadzam"/>
    <s v="ani się zgadzam, ani nie zgadzam"/>
    <s v="raczej się zgadzam"/>
    <s v="zdecydowanie się nie zgadzam"/>
    <s v="zdecydowanie się nie zgadzam"/>
    <s v="3 mc"/>
    <s v="powyżej 2000 zł, ale nie więcej niż 3000 zł"/>
    <s v="powyżej 3000 zł, ale nie więcej niż 4000 zł"/>
    <s v="zadnych"/>
    <s v="interesowało mnie to co studiuje"/>
    <s v="zadnych "/>
    <s v="stacjonarne (dzienne) studia 2 stopnia (magisterskie)"/>
    <m/>
    <x v="0"/>
    <m/>
    <m/>
    <m/>
    <m/>
    <m/>
    <m/>
    <m/>
    <m/>
    <m/>
    <m/>
    <m/>
    <m/>
    <m/>
    <m/>
    <m/>
    <m/>
    <m/>
    <m/>
    <m/>
    <m/>
    <m/>
    <m/>
    <m/>
    <m/>
    <m/>
    <m/>
    <m/>
    <m/>
    <m/>
    <m/>
    <m/>
    <m/>
    <m/>
    <m/>
    <m/>
    <m/>
    <m/>
    <m/>
    <m/>
    <m/>
    <m/>
    <m/>
    <m/>
    <m/>
    <m/>
    <x v="0"/>
    <m/>
    <m/>
    <m/>
    <m/>
    <m/>
    <m/>
    <m/>
    <m/>
    <m/>
    <x v="2"/>
    <m/>
    <m/>
    <m/>
    <m/>
    <m/>
    <m/>
    <m/>
    <m/>
    <m/>
    <x v="2"/>
    <m/>
    <m/>
    <m/>
    <m/>
    <m/>
    <m/>
    <m/>
    <m/>
    <m/>
    <m/>
    <m/>
    <m/>
    <m/>
    <m/>
    <m/>
    <m/>
    <m/>
    <m/>
    <m/>
    <m/>
    <m/>
    <m/>
    <m/>
    <m/>
    <m/>
    <m/>
    <m/>
    <m/>
    <x v="1"/>
    <m/>
    <m/>
    <m/>
    <m/>
    <m/>
    <m/>
    <m/>
    <m/>
    <m/>
    <m/>
    <m/>
    <m/>
    <m/>
    <m/>
    <m/>
    <m/>
    <m/>
    <m/>
    <m/>
    <m/>
    <m/>
    <m/>
    <m/>
    <m/>
    <m/>
    <x v="1"/>
    <m/>
    <m/>
    <m/>
    <m/>
    <m/>
    <m/>
    <m/>
    <m/>
    <m/>
    <m/>
    <m/>
    <m/>
    <m/>
    <m/>
    <m/>
    <m/>
    <m/>
    <m/>
    <m/>
    <m/>
    <m/>
    <m/>
    <m/>
    <m/>
    <m/>
    <m/>
    <m/>
    <m/>
    <m/>
    <m/>
    <m/>
    <m/>
    <m/>
    <m/>
    <m/>
    <m/>
    <x v="2"/>
    <m/>
    <m/>
    <m/>
    <m/>
    <m/>
    <m/>
  </r>
  <r>
    <n v="60"/>
    <n v="35"/>
    <n v="40"/>
    <s v="185.233.26.5"/>
    <s v="Link"/>
    <s v="http://m.facebook.com/"/>
    <m/>
    <m/>
    <m/>
    <s v="Zakończono"/>
    <s v="2020-05-16 20:50:56"/>
    <s v="2020-05-16 21:03:46"/>
    <n v="770"/>
    <n v="0"/>
    <x v="0"/>
    <x v="0"/>
    <m/>
    <m/>
    <m/>
    <m/>
    <m/>
    <m/>
    <m/>
    <m/>
    <m/>
    <m/>
    <m/>
    <m/>
    <m/>
    <m/>
    <m/>
    <x v="0"/>
    <s v="Uniwersytet Jagielloński"/>
    <s v="2013 (magisterium); 2019 (doktorat)"/>
    <s v="nie"/>
    <s v="Polonistyka; doktorat w zakresie językoznawstwa"/>
    <s v="zdecydowanie się zgadzam"/>
    <s v="zdecydowanie się zgadzam"/>
    <s v="zdecydowanie się zgadzam"/>
    <s v="zgadzam się"/>
    <s v="nie dotyczy"/>
    <s v="Po uzyskaniu stopnia doktora od razu zostałam zatrudniona."/>
    <s v="powyżej 2000 zł, ale nie więcej niż 3000 zł"/>
    <s v="nie dotyczy"/>
    <m/>
    <s v="Stypendia, kompetentna kadra naukowa."/>
    <s v="Duże wymagania na studiach I i II stopnia."/>
    <s v="stacjonarne (dzienne) studia 2 stopnia (magisterskie)"/>
    <s v="Studia III stopnia"/>
    <x v="0"/>
    <m/>
    <m/>
    <m/>
    <m/>
    <m/>
    <m/>
    <m/>
    <m/>
    <m/>
    <m/>
    <m/>
    <m/>
    <m/>
    <m/>
    <m/>
    <m/>
    <m/>
    <m/>
    <m/>
    <m/>
    <m/>
    <m/>
    <m/>
    <m/>
    <m/>
    <m/>
    <m/>
    <m/>
    <m/>
    <m/>
    <m/>
    <m/>
    <m/>
    <m/>
    <m/>
    <m/>
    <m/>
    <m/>
    <m/>
    <m/>
    <m/>
    <m/>
    <m/>
    <m/>
    <m/>
    <x v="0"/>
    <m/>
    <m/>
    <m/>
    <m/>
    <m/>
    <m/>
    <m/>
    <m/>
    <m/>
    <x v="1"/>
    <s v="Uniwersytet Jagielloński"/>
    <s v="Wydział Polonistyki"/>
    <s v="zdecydowanie się zgadzam"/>
    <s v="zdecydowanie się zgadzam"/>
    <s v="zdecydowanie się zgadzam"/>
    <s v="zdecydowanie się zgadzam"/>
    <s v="zdecydowanie się zgadzam"/>
    <s v="zgadzam się"/>
    <m/>
    <x v="0"/>
    <m/>
    <m/>
    <m/>
    <m/>
    <m/>
    <m/>
    <m/>
    <m/>
    <m/>
    <m/>
    <m/>
    <m/>
    <m/>
    <m/>
    <m/>
    <m/>
    <m/>
    <m/>
    <m/>
    <m/>
    <m/>
    <m/>
    <m/>
    <m/>
    <m/>
    <m/>
    <m/>
    <m/>
    <x v="0"/>
    <m/>
    <m/>
    <m/>
    <m/>
    <m/>
    <m/>
    <m/>
    <m/>
    <m/>
    <m/>
    <m/>
    <m/>
    <m/>
    <m/>
    <m/>
    <m/>
    <m/>
    <m/>
    <m/>
    <m/>
    <m/>
    <m/>
    <m/>
    <m/>
    <m/>
    <x v="0"/>
    <s v="nie dotyczy"/>
    <m/>
    <m/>
    <m/>
    <m/>
    <m/>
    <m/>
    <m/>
    <m/>
    <m/>
    <m/>
    <m/>
    <m/>
    <m/>
    <m/>
    <m/>
    <m/>
    <m/>
    <m/>
    <m/>
    <m/>
    <m/>
    <m/>
    <m/>
    <m/>
    <m/>
    <m/>
    <m/>
    <m/>
    <m/>
    <m/>
    <m/>
    <m/>
    <s v="Jakość prowadzonych badań, wykwalifikowana kadra naukowa."/>
    <s v="Jw."/>
    <s v="Rozbudowana biurokracja. Rozumiem jednak, że jest ona konieczna w tak dużej jednostce; Ciągle zmiany zasad ewaluacji pracowników naukowych – jednak na nie nie ma wpływu uniwersytet, ale MNiSW."/>
    <x v="0"/>
    <n v="1989"/>
    <s v="miasto wojewódzkie"/>
    <m/>
    <m/>
    <m/>
    <m/>
  </r>
  <r>
    <n v="61"/>
    <n v="36"/>
    <n v="35"/>
    <s v="188.146.226.232"/>
    <s v="Link"/>
    <s v="http://m.facebook.com/"/>
    <m/>
    <m/>
    <m/>
    <s v="Zakończono"/>
    <s v="2020-05-16 21:47:06"/>
    <s v="2020-05-16 21:54:49"/>
    <n v="463"/>
    <n v="0"/>
    <x v="0"/>
    <x v="0"/>
    <m/>
    <m/>
    <m/>
    <m/>
    <m/>
    <m/>
    <m/>
    <m/>
    <m/>
    <m/>
    <m/>
    <m/>
    <m/>
    <m/>
    <m/>
    <x v="0"/>
    <s v="Uniwersytet Jagielloński"/>
    <n v="2019"/>
    <s v="nie"/>
    <s v="Polonistyka"/>
    <s v="raczej się zgadzam"/>
    <s v="raczej się zgadzam"/>
    <s v="zdecydowanie się nie zgadzam"/>
    <s v="zdecydowanie się nie zgadzam"/>
    <s v="zdecydowanie się nie zgadzam"/>
    <n v="4"/>
    <s v="do 1000 zł"/>
    <s v="powyżej 1000 zł, ale nie więcej niż 2000 zł"/>
    <s v="Zadne"/>
    <s v="Ciekawe informacje kulturowe"/>
    <s v="USOS!!!! CALA INSTYTUCJA"/>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Prestiż czyli postrzeganie uczelni przez innych"/>
    <s v="Nic"/>
    <s v="Podejście do studenta jako do osoby, która nic nie potrafi i jest nieudacznikiem"/>
    <x v="0"/>
    <n v="1994"/>
    <s v="wieś"/>
    <m/>
    <m/>
    <m/>
    <m/>
  </r>
  <r>
    <n v="66"/>
    <s v="BRAK"/>
    <n v="25"/>
    <s v="83.29.163.195"/>
    <s v="Link"/>
    <s v="http://m.facebook.com/"/>
    <m/>
    <m/>
    <m/>
    <s v="W trakcie"/>
    <s v="2020-05-17 10:13:52"/>
    <s v="2020-05-17 10:13:52"/>
    <n v="0"/>
    <n v="0"/>
    <x v="0"/>
    <x v="0"/>
    <m/>
    <m/>
    <m/>
    <m/>
    <m/>
    <m/>
    <m/>
    <m/>
    <m/>
    <m/>
    <m/>
    <m/>
    <m/>
    <m/>
    <m/>
    <x v="0"/>
    <s v="Uniwersytet Jagielloński"/>
    <n v="2018"/>
    <s v="nie"/>
    <s v="Filologia polska"/>
    <s v="zdecydowanie się zgadzam"/>
    <s v="zdecydowanie się zgadzam"/>
    <s v="ani się zgadzam, ani nie zgadzam"/>
    <s v="zdecydowanie się nie zgadzam"/>
    <s v="zdecydowanie się nie zgadzam"/>
    <n v="3"/>
    <s v="powyżej 1000 zł, ale nie więcej niż 2000 zł"/>
    <s v="powyżej 2000 zł, ale nie więcej niż 3000 zł"/>
    <m/>
    <s v="Jakość przekazywanych treści. "/>
    <s v="Nieuprzejmość ze strony sekretarek w dziekanacie. "/>
    <s v="stacjonarne (dzienne) studia 2 stopnia (magisterskie)"/>
    <m/>
    <x v="0"/>
    <m/>
    <m/>
    <m/>
    <m/>
    <m/>
    <m/>
    <m/>
    <m/>
    <m/>
    <m/>
    <m/>
    <m/>
    <m/>
    <m/>
    <m/>
    <m/>
    <m/>
    <m/>
    <m/>
    <m/>
    <m/>
    <m/>
    <m/>
    <m/>
    <m/>
    <m/>
    <m/>
    <m/>
    <m/>
    <m/>
    <m/>
    <m/>
    <m/>
    <m/>
    <m/>
    <m/>
    <m/>
    <m/>
    <m/>
    <m/>
    <m/>
    <m/>
    <m/>
    <m/>
    <m/>
    <x v="0"/>
    <m/>
    <m/>
    <m/>
    <m/>
    <m/>
    <m/>
    <m/>
    <m/>
    <m/>
    <x v="0"/>
    <m/>
    <m/>
    <m/>
    <m/>
    <m/>
    <m/>
    <m/>
    <m/>
    <m/>
    <x v="0"/>
    <m/>
    <m/>
    <m/>
    <m/>
    <m/>
    <m/>
    <m/>
    <m/>
    <m/>
    <m/>
    <m/>
    <m/>
    <m/>
    <m/>
    <m/>
    <m/>
    <m/>
    <m/>
    <m/>
    <m/>
    <m/>
    <m/>
    <m/>
    <m/>
    <m/>
    <m/>
    <m/>
    <m/>
    <x v="2"/>
    <s v="Nie"/>
    <s v="nie dotyczy"/>
    <m/>
    <m/>
    <m/>
    <m/>
    <m/>
    <m/>
    <m/>
    <m/>
    <m/>
    <m/>
    <m/>
    <m/>
    <m/>
    <m/>
    <m/>
    <m/>
    <m/>
    <m/>
    <m/>
    <m/>
    <m/>
    <m/>
    <m/>
    <x v="1"/>
    <m/>
    <m/>
    <m/>
    <m/>
    <m/>
    <m/>
    <m/>
    <m/>
    <m/>
    <m/>
    <m/>
    <m/>
    <m/>
    <m/>
    <m/>
    <m/>
    <m/>
    <m/>
    <m/>
    <m/>
    <m/>
    <m/>
    <m/>
    <m/>
    <m/>
    <m/>
    <m/>
    <m/>
    <m/>
    <m/>
    <m/>
    <m/>
    <m/>
    <m/>
    <m/>
    <m/>
    <x v="2"/>
    <m/>
    <m/>
    <m/>
    <m/>
    <m/>
    <m/>
  </r>
  <r>
    <n v="52"/>
    <n v="31"/>
    <n v="36"/>
    <s v="37.47.66.52"/>
    <s v="Link"/>
    <s v="http://m.facebook.com/"/>
    <m/>
    <m/>
    <m/>
    <s v="Zakończono"/>
    <s v="2020-05-16 18:32:05"/>
    <s v="2020-05-17 11:34:47"/>
    <n v="61362"/>
    <n v="0"/>
    <x v="0"/>
    <x v="0"/>
    <m/>
    <m/>
    <m/>
    <m/>
    <m/>
    <m/>
    <m/>
    <m/>
    <m/>
    <m/>
    <m/>
    <m/>
    <m/>
    <m/>
    <m/>
    <x v="0"/>
    <s v="Uniwersytet Jagielloński"/>
    <n v="2018"/>
    <s v="nie"/>
    <s v="Polonistyka"/>
    <s v="zgadzam się"/>
    <s v="raczej się zgadzam"/>
    <s v="raczej się nie zgadzam"/>
    <s v="zdecydowanie się nie zgadzam"/>
    <s v="nie dotyczy"/>
    <s v="Pracę otrzymałam dwa tygodnie przed obrona tytułu magistra"/>
    <s v="powyżej 1000 zł, ale nie więcej niż 2000 zł"/>
    <s v="nie dotyczy"/>
    <m/>
    <s v="Wybór zajęć, ciekawe zajęcia, kompetentni wykładowcy."/>
    <s v="Nadmiar materiału oraz wykładowcy, którzy nie wykonywali swoich obowiązków; biurokracja."/>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Poziom nauczania, wykładowcy."/>
    <s v="Zdobyta podczas niektórych zajęć wiedza, z której korzystam do dziś."/>
    <s v="Brak pomocy promotora podczas pisania pracy magisterskiej i obrony; zajęcia, które okazały się niepotrzebne."/>
    <x v="0"/>
    <n v="1994"/>
    <s v="wieś"/>
    <m/>
    <s v="Ukończyłam studia podyplomowe z logopedii"/>
    <s v="Studia podyplomowe z oligofrenopedagogiki"/>
    <m/>
  </r>
  <r>
    <n v="63"/>
    <n v="37"/>
    <n v="37"/>
    <s v="188.147.40.154"/>
    <s v="Link"/>
    <s v="http://m.facebook.com/"/>
    <m/>
    <m/>
    <m/>
    <s v="Zakończono"/>
    <s v="2020-05-16 23:43:34"/>
    <s v="2020-05-16 23:56:24"/>
    <n v="770"/>
    <n v="0"/>
    <x v="0"/>
    <x v="0"/>
    <m/>
    <m/>
    <m/>
    <m/>
    <m/>
    <m/>
    <m/>
    <m/>
    <m/>
    <m/>
    <m/>
    <m/>
    <m/>
    <m/>
    <m/>
    <x v="0"/>
    <s v="Uniwersytet Jagielloński "/>
    <n v="2017"/>
    <s v="nie"/>
    <s v="Polonistyka"/>
    <s v="zdecydowanie się zgadzam"/>
    <s v="zdecydowanie się zgadzam"/>
    <s v="zgadzam się"/>
    <s v="nie zgadzam się"/>
    <s v="zdecydowanie się zgadzam"/>
    <s v="Umowę o pracy nauczyciela podpisałam w maju lub czerwcu, pracę podjęłam we wrześniu, wtedy zyskałam tytuł magistra. "/>
    <s v="powyżej 1000 zł, ale nie więcej niż 2000 zł"/>
    <s v="powyżej 3000 zł, ale nie więcej niż 4000 zł"/>
    <s v="Elastyczność, kreatywność, samodzielność. "/>
    <s v="Wysoki poziom zajęć, kompetentni i w większości przyjaźni prowadzący. "/>
    <s v="Zbyt duża presja, ogromny stres podczas egzaminów, konieczność łączenia nauki z pracą dotyczą. "/>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Zbyt niski próg przyjmowania studentów, zbyt mały &quot;odsiew&quot; podczas sesji tych osób, które jedynie prześlizgują się między egzaminami. "/>
    <s v="Ciekawe zajęcia, bardzo kompetentni wykładowcy, renoma uczelni, bardzo duża ilość materiału do opanowania, praktyki studenckie."/>
    <s v="Niektórzy studenci powinni być wydaleni z kierunku ze względu na brak odpowiednio wysokiej wiedzy i umiejętności. "/>
    <x v="0"/>
    <n v="1994"/>
    <s v="nieduże miasto powiatowe"/>
    <m/>
    <s v="Brak"/>
    <s v="Brak"/>
    <m/>
  </r>
  <r>
    <n v="22"/>
    <n v="19"/>
    <n v="36"/>
    <s v="94.42.33.80"/>
    <s v="Link"/>
    <s v="https://l.facebook.com/"/>
    <m/>
    <m/>
    <m/>
    <s v="Zakończono"/>
    <s v="2020-05-15 18:54:24"/>
    <s v="2020-05-15 19:12:19"/>
    <n v="1075"/>
    <n v="0"/>
    <x v="0"/>
    <x v="0"/>
    <m/>
    <m/>
    <m/>
    <m/>
    <m/>
    <m/>
    <m/>
    <m/>
    <m/>
    <m/>
    <m/>
    <m/>
    <m/>
    <m/>
    <m/>
    <x v="0"/>
    <s v="Uniwersytet Kardynała Stefana Wyszyńskiego w Warszawie"/>
    <n v="2010"/>
    <s v="nie"/>
    <s v="TEOLOGIA"/>
    <s v="ani się zgadzam, ani nie zgadzam"/>
    <s v="zgadzam się"/>
    <s v="raczej się zgadzam"/>
    <s v="zgadzam się"/>
    <s v="zgadzam się"/>
    <s v="1 MIESIĄC"/>
    <s v="powyżej 1000 zł, ale nie więcej niż 2000 zł"/>
    <s v="powyżej 2000 zł, ale nie więcej niż 3000 zł"/>
    <s v="łatwiejsze dostosowanie słownictwa do odpowiedniej grupy wiekowej"/>
    <s v="Forma zaliczeń, rodzaj studiów,"/>
    <s v="brak przerw miedzy wykładami "/>
    <s v="niestacjonarne (zaocz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podejście wykładowcy, przepływ informacji"/>
    <s v="podejście wykładowcy i jego zaangażowanie"/>
    <s v="przepływ informacji, zmianowość "/>
    <x v="0"/>
    <n v="1985"/>
    <s v="duże miasto powiatowe"/>
    <m/>
    <s v="technik masażysta, nauczyciel "/>
    <m/>
    <m/>
  </r>
  <r>
    <n v="46"/>
    <s v="BRAK"/>
    <n v="16"/>
    <s v="5.173.27.250"/>
    <s v="Link"/>
    <s v="http://m.facebook.com/"/>
    <m/>
    <m/>
    <m/>
    <s v="W trakcie"/>
    <s v="2020-05-16 18:03:00"/>
    <s v="2020-05-16 18:03:00"/>
    <n v="0"/>
    <n v="0"/>
    <x v="0"/>
    <x v="0"/>
    <m/>
    <m/>
    <m/>
    <m/>
    <m/>
    <m/>
    <m/>
    <m/>
    <m/>
    <m/>
    <m/>
    <m/>
    <m/>
    <m/>
    <m/>
    <x v="0"/>
    <s v="Uniwersytet Kazimierza Wielkiego w Bydgoszczy "/>
    <n v="2010"/>
    <s v="nie"/>
    <s v="Historia "/>
    <s v="zdecydowanie się nie zgadzam"/>
    <s v="nie zgadzam się"/>
    <s v="zdecydowanie się nie zgadzam"/>
    <s v="zdecydowanie się nie zgadzam"/>
    <s v="zdecydowanie się nie zgadzam"/>
    <s v="3,5 roki"/>
    <m/>
    <m/>
    <s v="Promocja mojego konkursu "/>
    <s v="Ambicja"/>
    <m/>
    <m/>
    <s v="Jednolite magisterskie"/>
    <x v="2"/>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r>
    <n v="80"/>
    <n v="45"/>
    <n v="35"/>
    <s v="83.23.251.31"/>
    <s v="Link"/>
    <s v="https://ankietaplus.pl/ankiety/analiza/statystyki/13308"/>
    <m/>
    <m/>
    <m/>
    <s v="Zakończono"/>
    <s v="2020-05-30 13:57:12"/>
    <s v="2020-05-30 14:25:03"/>
    <n v="1671"/>
    <n v="0"/>
    <x v="0"/>
    <x v="0"/>
    <m/>
    <m/>
    <m/>
    <m/>
    <m/>
    <m/>
    <m/>
    <m/>
    <m/>
    <m/>
    <m/>
    <m/>
    <m/>
    <m/>
    <m/>
    <x v="0"/>
    <s v="Uniwersytet Łódzki"/>
    <n v="1956"/>
    <s v="nie"/>
    <s v="Polonistyka"/>
    <s v="raczej się zgadzam"/>
    <s v="raczej się zgadzam"/>
    <s v="zgadzam się"/>
    <s v="nie zgadzam się"/>
    <s v="nie zgadzam się"/>
    <s v="0 (nakaz pracy)"/>
    <s v="powyżej 1000 zł, ale nie więcej niż 2000 zł"/>
    <s v="powyżej 1000 zł, ale nie więcej niż 2000 zł"/>
    <m/>
    <s v="bardzo dobry profesor z literatury powszechnej (inspirujący, szanujący studentów);"/>
    <s v="słabe przygotowanie do zawodu"/>
    <s v="stacjonarne (dzienne) studia 1 stopnia (licencjackie / inżynierskie)"/>
    <s v="(niepełne studia magisterskie)"/>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ciekawe wykłady; efekty kształcenie są bardzo zależne od zaangażowania ucznia"/>
    <s v="ciekawe wykłady"/>
    <s v="brak odpowiedniego przygotowania do zawodu"/>
    <x v="0"/>
    <n v="1933"/>
    <s v="miasto gminne"/>
    <m/>
    <m/>
    <m/>
    <m/>
  </r>
  <r>
    <n v="81"/>
    <n v="46"/>
    <n v="31"/>
    <s v="83.23.251.31"/>
    <s v="Link"/>
    <s v="https://ankietaplus.pl/ankiety/analiza/statystyki/13308"/>
    <m/>
    <m/>
    <m/>
    <s v="Zakończono"/>
    <s v="2020-05-30 14:26:21"/>
    <s v="2020-05-30 15:23:48"/>
    <n v="3447"/>
    <n v="0"/>
    <x v="0"/>
    <x v="0"/>
    <m/>
    <m/>
    <m/>
    <m/>
    <m/>
    <m/>
    <m/>
    <m/>
    <m/>
    <m/>
    <m/>
    <m/>
    <m/>
    <m/>
    <m/>
    <x v="0"/>
    <s v="Uniwersytet Łódzki"/>
    <n v="1960"/>
    <s v="nie"/>
    <s v="Biologia"/>
    <s v="zgadzam się"/>
    <s v="zgadzam się"/>
    <s v="ani się zgadzam, ani nie zgadzam"/>
    <s v="nie zgadzam się"/>
    <s v="nie zgadzam się"/>
    <s v="0 (nakaz pracy)"/>
    <s v="powyżej 1000 zł, ale nie więcej niż 2000 zł"/>
    <s v="powyżej 1000 zł, ale nie więcej niż 2000 zł"/>
    <m/>
    <s v="dobra atmosfera wśród grupy studentów"/>
    <s v="złe warunki mieszkaniowe"/>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uczelnia kształci samodzielność; uczelnia może być dobra, ale decydujące jest podejście studentów - lepsze wyniki osiągają ci którzy mają jasny cel swojej nauki"/>
    <s v="dobra atmosfera wśród grupy studentów"/>
    <s v="warunki mieszkaniowe w przypadku studentów spoza miejscowości uczelni"/>
    <x v="1"/>
    <n v="1934"/>
    <s v="miasto gminne"/>
    <m/>
    <m/>
    <m/>
    <m/>
  </r>
  <r>
    <n v="147"/>
    <s v="BRAK"/>
    <n v="25"/>
    <s v="158.233.246.26"/>
    <s v="Link"/>
    <m/>
    <m/>
    <m/>
    <m/>
    <s v="W trakcie"/>
    <s v="2020-12-15 11:10:41"/>
    <s v="2020-12-15 11:10:41"/>
    <n v="0"/>
    <n v="0"/>
    <x v="0"/>
    <x v="0"/>
    <m/>
    <m/>
    <m/>
    <m/>
    <m/>
    <m/>
    <m/>
    <m/>
    <m/>
    <m/>
    <m/>
    <m/>
    <m/>
    <m/>
    <m/>
    <x v="0"/>
    <s v="Uniwersytet Łódzki"/>
    <n v="2008"/>
    <s v="nie"/>
    <s v="Ekonomia, Marketing i Zarzadzanie"/>
    <s v="raczej się zgadzam"/>
    <s v="ani się zgadzam, ani nie zgadzam"/>
    <s v="ani się zgadzam, ani nie zgadzam"/>
    <s v="nie zgadzam się"/>
    <s v="ani się zgadzam, ani nie zgadzam"/>
    <s v="praca przed ukończeniem studiów"/>
    <s v="powyżej 1000 zł, ale nie więcej niż 2000 zł"/>
    <s v="powyżej 2000 zł, ale nie więcej niż 3000 zł"/>
    <m/>
    <s v="ludzie, możliwość połączenia pracy ze studiami"/>
    <s v="konieczność zaliczania tych samych przedmiotów, mimo wcześniejszego zaliczenia ich na innym wydziale"/>
    <m/>
    <s v="wieczorowe"/>
    <x v="0"/>
    <m/>
    <m/>
    <m/>
    <m/>
    <m/>
    <m/>
    <m/>
    <m/>
    <m/>
    <m/>
    <m/>
    <m/>
    <m/>
    <m/>
    <m/>
    <m/>
    <m/>
    <m/>
    <m/>
    <m/>
    <m/>
    <m/>
    <m/>
    <m/>
    <m/>
    <m/>
    <m/>
    <m/>
    <m/>
    <m/>
    <m/>
    <m/>
    <m/>
    <m/>
    <m/>
    <m/>
    <m/>
    <m/>
    <m/>
    <m/>
    <m/>
    <m/>
    <m/>
    <m/>
    <m/>
    <x v="0"/>
    <m/>
    <m/>
    <m/>
    <m/>
    <m/>
    <m/>
    <m/>
    <m/>
    <m/>
    <x v="0"/>
    <m/>
    <m/>
    <m/>
    <m/>
    <m/>
    <m/>
    <m/>
    <m/>
    <m/>
    <x v="0"/>
    <m/>
    <m/>
    <m/>
    <m/>
    <m/>
    <m/>
    <m/>
    <m/>
    <m/>
    <m/>
    <m/>
    <m/>
    <m/>
    <m/>
    <m/>
    <m/>
    <m/>
    <m/>
    <m/>
    <m/>
    <m/>
    <m/>
    <m/>
    <m/>
    <m/>
    <m/>
    <m/>
    <m/>
    <x v="2"/>
    <s v="Tak"/>
    <s v="nie dotyczy"/>
    <m/>
    <m/>
    <m/>
    <m/>
    <m/>
    <m/>
    <m/>
    <m/>
    <m/>
    <m/>
    <m/>
    <m/>
    <m/>
    <m/>
    <m/>
    <m/>
    <m/>
    <m/>
    <m/>
    <m/>
    <m/>
    <m/>
    <m/>
    <x v="1"/>
    <m/>
    <m/>
    <m/>
    <m/>
    <m/>
    <m/>
    <m/>
    <m/>
    <m/>
    <m/>
    <m/>
    <m/>
    <m/>
    <m/>
    <m/>
    <m/>
    <m/>
    <m/>
    <m/>
    <m/>
    <m/>
    <m/>
    <m/>
    <m/>
    <m/>
    <m/>
    <m/>
    <m/>
    <m/>
    <m/>
    <m/>
    <m/>
    <m/>
    <m/>
    <m/>
    <m/>
    <x v="2"/>
    <m/>
    <m/>
    <m/>
    <m/>
    <m/>
    <m/>
  </r>
  <r>
    <n v="205"/>
    <n v="114"/>
    <n v="33"/>
    <s v="178.235.177.180"/>
    <s v="Link"/>
    <m/>
    <m/>
    <m/>
    <m/>
    <s v="Zakończono"/>
    <s v="2020-12-18 19:02:15"/>
    <s v="2020-12-18 19:12:03"/>
    <n v="588"/>
    <n v="0"/>
    <x v="0"/>
    <x v="0"/>
    <m/>
    <m/>
    <m/>
    <m/>
    <m/>
    <m/>
    <m/>
    <m/>
    <m/>
    <m/>
    <m/>
    <m/>
    <m/>
    <m/>
    <m/>
    <x v="0"/>
    <s v="Uniwersytet Medyczny w Poznaniu"/>
    <n v="2012"/>
    <s v="nie"/>
    <s v="położnictwo"/>
    <s v="raczej się zgadzam"/>
    <s v="raczej się zgadzam"/>
    <s v="zdecydowanie się zgadzam"/>
    <s v="zdecydowanie się nie zgadzam"/>
    <s v="zdecydowanie się nie zgadzam"/>
    <s v="3 miesiące przed ukończeniem studiów"/>
    <s v="powyżej 1000 zł, ale nie więcej niż 2000 zł"/>
    <s v="powyżej 1000 zł, ale nie więcej niż 2000 zł"/>
    <s v="jedyna możliwośc pracy w tym zawodzie"/>
    <s v="wiedza i praktyki w osrodkach o wysokich stopniach referencji"/>
    <s v="brak możliwości indywidualnych  praktyk"/>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możliwość edukacji w najbardziej rozwiniętych ośrodkach"/>
    <s v="możliwość praktyk w kameralnych małych grupach lub indywidualnie"/>
    <s v="zajęcia prowadzone by zakuć-zdać-zapomnieć"/>
    <x v="0"/>
    <n v="1985"/>
    <s v="nieduże miasto powiatowe"/>
    <m/>
    <s v="specjalizacja "/>
    <s v="-"/>
    <m/>
  </r>
  <r>
    <n v="193"/>
    <n v="110"/>
    <n v="33"/>
    <s v="158.233.246.28"/>
    <s v="Link"/>
    <m/>
    <m/>
    <m/>
    <m/>
    <s v="Zakończono"/>
    <s v="2020-12-18 15:51:44"/>
    <s v="2020-12-18 16:00:49"/>
    <n v="545"/>
    <n v="0"/>
    <x v="0"/>
    <x v="0"/>
    <m/>
    <m/>
    <m/>
    <m/>
    <m/>
    <m/>
    <m/>
    <m/>
    <m/>
    <m/>
    <m/>
    <m/>
    <m/>
    <m/>
    <m/>
    <x v="0"/>
    <s v="Uniwersytet Mikołaja Kopernika w Toruniu"/>
    <n v="2001"/>
    <s v="nie"/>
    <s v="Zarządzanie i marketing"/>
    <s v="zgadzam się"/>
    <s v="zgadzam się"/>
    <s v="zdecydowanie się zgadzam"/>
    <s v="zgadzam się"/>
    <s v="zdecydowanie się zgadzam"/>
    <s v="Praca 2 lata przed ukończeniem studiów"/>
    <s v="do 1000 zł"/>
    <s v="powyżej 3000 zł, ale nie więcej niż 4000 zł"/>
    <s v="Chęć nauki pozostała na zawsze."/>
    <s v="Wykładowcy, organizacja studencka, możliwość pracy i dziennego studiowania na 4-5 roku"/>
    <s v="brak"/>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Poziom wykładowców, różnorodność zajęć, praktyczne podejście do wykładanych przedmiotów"/>
    <s v="Nauka która ma przełożenie na praktykę"/>
    <s v="Odtwórcze nauczanie niepraktycznej wiedzy"/>
    <x v="0"/>
    <n v="1977"/>
    <s v="miasto wojewódzkie"/>
    <s v="Olsztyn"/>
    <s v="Studia podyplomowe na University of Illinois"/>
    <m/>
    <m/>
  </r>
  <r>
    <n v="97"/>
    <n v="60"/>
    <n v="37"/>
    <s v="83.23.251.31"/>
    <s v="Link"/>
    <s v="https://ankietaplus.pl/ankiety/analiza/statystyki/13308"/>
    <m/>
    <m/>
    <m/>
    <s v="Zakończono"/>
    <s v="2020-07-26 19:17:17"/>
    <s v="2020-07-26 19:50:00"/>
    <n v="1963"/>
    <n v="0"/>
    <x v="0"/>
    <x v="0"/>
    <m/>
    <m/>
    <m/>
    <m/>
    <m/>
    <m/>
    <m/>
    <m/>
    <m/>
    <m/>
    <m/>
    <m/>
    <m/>
    <m/>
    <m/>
    <x v="0"/>
    <s v="Uniwersytet Szczeciński"/>
    <n v="1996"/>
    <s v="nie"/>
    <s v="Polonistyka"/>
    <s v="raczej się nie zgadzam"/>
    <s v="ani się zgadzam, ani nie zgadzam"/>
    <s v="zdecydowanie się zgadzam"/>
    <s v="zdecydowanie się nie zgadzam"/>
    <s v="zdecydowanie się nie zgadzam"/>
    <s v="przed ukończeniu studiów"/>
    <s v="powyżej 1000 zł, ale nie więcej niż 2000 zł"/>
    <s v="powyżej 1000 zł, ale nie więcej niż 2000 zł"/>
    <s v="możliwość dalszego rozwoju, znajomości z wartościowymi ludźmi"/>
    <s v="dobra atmosfera wśród grupy studentów"/>
    <s v="brak praktyki"/>
    <s v="niestacjonarne (zaoczne) studia 2 stopnia (magisterskie)"/>
    <m/>
    <x v="0"/>
    <m/>
    <m/>
    <m/>
    <m/>
    <m/>
    <m/>
    <m/>
    <m/>
    <m/>
    <m/>
    <m/>
    <m/>
    <m/>
    <m/>
    <m/>
    <m/>
    <m/>
    <m/>
    <m/>
    <m/>
    <m/>
    <m/>
    <m/>
    <m/>
    <m/>
    <m/>
    <m/>
    <m/>
    <m/>
    <m/>
    <m/>
    <m/>
    <m/>
    <m/>
    <m/>
    <m/>
    <m/>
    <m/>
    <m/>
    <m/>
    <m/>
    <m/>
    <m/>
    <m/>
    <m/>
    <x v="0"/>
    <m/>
    <m/>
    <m/>
    <m/>
    <m/>
    <m/>
    <m/>
    <m/>
    <m/>
    <x v="0"/>
    <m/>
    <m/>
    <m/>
    <m/>
    <m/>
    <m/>
    <m/>
    <m/>
    <m/>
    <x v="0"/>
    <m/>
    <m/>
    <m/>
    <m/>
    <m/>
    <m/>
    <m/>
    <m/>
    <m/>
    <m/>
    <m/>
    <m/>
    <m/>
    <m/>
    <m/>
    <m/>
    <m/>
    <m/>
    <m/>
    <m/>
    <m/>
    <m/>
    <m/>
    <m/>
    <m/>
    <m/>
    <m/>
    <m/>
    <x v="0"/>
    <s v="Tak"/>
    <s v="nie dotyczy"/>
    <m/>
    <m/>
    <m/>
    <m/>
    <m/>
    <m/>
    <m/>
    <m/>
    <m/>
    <m/>
    <m/>
    <m/>
    <m/>
    <m/>
    <m/>
    <m/>
    <m/>
    <m/>
    <m/>
    <m/>
    <m/>
    <m/>
    <m/>
    <x v="0"/>
    <s v="nie dotyczy"/>
    <m/>
    <s v="nie dotyczy"/>
    <m/>
    <m/>
    <m/>
    <m/>
    <m/>
    <m/>
    <m/>
    <m/>
    <m/>
    <m/>
    <m/>
    <m/>
    <m/>
    <m/>
    <m/>
    <m/>
    <m/>
    <m/>
    <m/>
    <m/>
    <m/>
    <m/>
    <m/>
    <m/>
    <m/>
    <m/>
    <m/>
    <m/>
    <m/>
    <m/>
    <s v="źle przygotowana kadra"/>
    <s v="ciekawe wykłady"/>
    <s v="lekceważenie studentów; odwoływanie zajęć bez powodu"/>
    <x v="0"/>
    <n v="1962"/>
    <s v="miasto gminne"/>
    <m/>
    <s v="historia - podyplomowe; bibliotekarstwo, ekonomia - policealne studium"/>
    <s v="brak"/>
    <m/>
  </r>
  <r>
    <n v="67"/>
    <n v="38"/>
    <n v="35"/>
    <s v="193.34.52.198"/>
    <s v="Link"/>
    <s v="http://m.facebook.com/"/>
    <m/>
    <m/>
    <m/>
    <s v="Zakończono"/>
    <s v="2020-05-17 11:33:19"/>
    <s v="2020-05-17 12:05:09"/>
    <n v="1910"/>
    <n v="0"/>
    <x v="0"/>
    <x v="0"/>
    <m/>
    <m/>
    <m/>
    <m/>
    <m/>
    <m/>
    <m/>
    <m/>
    <m/>
    <m/>
    <m/>
    <m/>
    <m/>
    <m/>
    <m/>
    <x v="0"/>
    <s v="Uniwersytet Śląski"/>
    <n v="2020"/>
    <s v="nie"/>
    <s v="Geologia"/>
    <s v="raczej się zgadzam"/>
    <s v="raczej się zgadzam"/>
    <s v="nie zgadzam się"/>
    <s v="nie zgadzam się"/>
    <s v="nie dotyczy"/>
    <s v="Praca przed ukończeniem studiów ale nie w zawodzie"/>
    <s v="powyżej 1000 zł, ale nie więcej niż 2000 zł"/>
    <s v="nie dotyczy"/>
    <s v="Żadnych. Nie pracuję w zawodzie. "/>
    <s v="Dobra organizacja zajęć, sposób przekazywania wiedzy"/>
    <s v="Nudne schematy prowadzenia zajęć"/>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To czy pomagają znaleźć praktyki zawodowe. "/>
    <s v="Zrównoważone wymagania odnośnie nauki, odpowiedni ludzie do przekazywania wiedzy"/>
    <s v="Brak kontrolowania pracowników. "/>
    <x v="0"/>
    <n v="1994"/>
    <s v="miasto gminne"/>
    <m/>
    <m/>
    <m/>
    <m/>
  </r>
  <r>
    <n v="78"/>
    <n v="44"/>
    <n v="34"/>
    <s v="188.146.57.40"/>
    <s v="Link"/>
    <s v="https://ankietaplus.pl/ankiety/analiza/wyniki-pojedyncze/13308"/>
    <m/>
    <m/>
    <m/>
    <s v="Zakończono"/>
    <s v="2020-05-24 15:46:34"/>
    <s v="2020-05-24 16:25:58"/>
    <n v="2364"/>
    <n v="0"/>
    <x v="0"/>
    <x v="0"/>
    <m/>
    <m/>
    <m/>
    <m/>
    <m/>
    <m/>
    <m/>
    <m/>
    <m/>
    <m/>
    <m/>
    <m/>
    <m/>
    <m/>
    <m/>
    <x v="0"/>
    <s v="Uniwersytet Warmińsko-Mazurski"/>
    <n v="2002"/>
    <s v="tak"/>
    <s v="Geodezja"/>
    <s v="zgadzam się"/>
    <s v="raczej się zgadzam"/>
    <s v="ani się zgadzam, ani nie zgadzam"/>
    <s v="zdecydowanie się nie zgadzam"/>
    <s v="nie zgadzam się"/>
    <n v="3"/>
    <s v="do 1000 zł"/>
    <s v="do 1000 zł"/>
    <s v="możliwość dalszego rozwoju, znajomości z wartościowymi ludźmi"/>
    <s v="piękne &quot;miasteczko studenckie&quot; z lasami i jeziorami, przyjazna atmosfera na uczelni"/>
    <s v="daleko od miasta rodzinnego i rodziny"/>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dofinansowanie uczelni, jakość i ilość sprzętów edukacyjnych, kwalifikacje kadry nauczającej; ilość godzin praktyk; możliwość odbywania stażu"/>
    <s v="zajęcia praktyczne; wykształcona kadra"/>
    <s v="niedostosowanie oferty do rynku pracy, nauczanie przestarzałych metod a brak informacji o nowościach w dziedzinie"/>
    <x v="0"/>
    <n v="1978"/>
    <s v="miasto wojewódzkie"/>
    <m/>
    <s v="brak"/>
    <s v="brak"/>
    <m/>
  </r>
  <r>
    <n v="202"/>
    <s v="BRAK"/>
    <n v="21"/>
    <s v="46.175.228.124"/>
    <s v="Link"/>
    <m/>
    <m/>
    <m/>
    <m/>
    <s v="W trakcie"/>
    <s v="2020-12-18 17:30:51"/>
    <s v="2020-12-18 17:30:51"/>
    <n v="0"/>
    <n v="0"/>
    <x v="0"/>
    <x v="0"/>
    <m/>
    <m/>
    <m/>
    <m/>
    <m/>
    <m/>
    <m/>
    <m/>
    <m/>
    <m/>
    <m/>
    <m/>
    <m/>
    <m/>
    <m/>
    <x v="0"/>
    <s v="Politechnika Warszawska"/>
    <n v="1990"/>
    <s v="tak"/>
    <s v="Poligrafia"/>
    <s v="zgadzam się"/>
    <s v="raczej się zgadzam"/>
    <s v="zdecydowanie się zgadzam"/>
    <s v="zdecydowanie się zgadzam"/>
    <s v="zdecydowanie się zgadzam"/>
    <s v="praca przed ukończeniem studiów"/>
    <s v="powyżej 10.000 zł"/>
    <s v="powyżej 10.000 zł"/>
    <s v="W 1991 roku wynagrodzenie wynosiło 2 200 000 złotych"/>
    <s v="Zainteresowanie przedmiotem, praktyczne wykorzystanie, niewielki wydział (instytut), kierunek techniczny zbliżony do humanistycznego"/>
    <s v="Odległość od domu rodzinnego"/>
    <s v="stacjonarne (dzienne) studia 1 stopnia (licencjackie / inżynierskie)"/>
    <s v="W XX wieku w Polsce nie było podziału na studia I i II stopnia. Ankieta tego nie uwzględnia."/>
    <x v="0"/>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r>
    <n v="149"/>
    <n v="87"/>
    <n v="32"/>
    <s v="158.233.246.26"/>
    <s v="Link"/>
    <m/>
    <m/>
    <m/>
    <m/>
    <s v="Zakończono"/>
    <s v="2020-12-15 11:48:44"/>
    <s v="2020-12-15 14:06:30"/>
    <n v="8266"/>
    <n v="0"/>
    <x v="0"/>
    <x v="0"/>
    <m/>
    <m/>
    <m/>
    <m/>
    <m/>
    <m/>
    <m/>
    <m/>
    <m/>
    <m/>
    <m/>
    <m/>
    <m/>
    <m/>
    <m/>
    <x v="0"/>
    <s v="Uniwersytet Warszawski"/>
    <n v="2010"/>
    <s v="nie"/>
    <s v="nauki polityczne "/>
    <s v="nie zgadzam się"/>
    <s v="zgadzam się"/>
    <s v="zdecydowanie się nie zgadzam"/>
    <s v="zdecydowanie się nie zgadzam"/>
    <s v="zdecydowanie się nie zgadzam"/>
    <s v="praca przed ukończeniem studiów "/>
    <s v="powyżej 3000 zł, ale nie więcej niż 4000 zł"/>
    <s v="powyżej 3000 zł, ale nie więcej niż 4000 zł"/>
    <s v="prestiż uczelni"/>
    <s v="środowisko, znajomi"/>
    <s v="wysokie koszty "/>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lokalizacja, zaplecze "/>
    <s v="znani wykladowcy"/>
    <s v="-"/>
    <x v="0"/>
    <n v="1986"/>
    <s v="duże miasto powiatowe"/>
    <m/>
    <s v="Mgr nauk politycznych, studia podyplomowe w zakresie zarzadzania projektami (Uniwersytet Gdański) "/>
    <m/>
    <m/>
  </r>
  <r>
    <n v="244"/>
    <s v="BRAK"/>
    <n v="24"/>
    <s v="158.233.246.29"/>
    <s v="Link"/>
    <m/>
    <m/>
    <m/>
    <m/>
    <s v="W trakcie"/>
    <s v="2021-01-07 08:59:06"/>
    <s v="2021-01-07 08:59:06"/>
    <n v="0"/>
    <n v="0"/>
    <x v="0"/>
    <x v="0"/>
    <m/>
    <m/>
    <m/>
    <m/>
    <m/>
    <m/>
    <m/>
    <m/>
    <m/>
    <m/>
    <m/>
    <m/>
    <m/>
    <m/>
    <m/>
    <x v="0"/>
    <s v="Wojskowa Akademia Techniczna"/>
    <n v="2006"/>
    <s v="tak"/>
    <s v="Informatyka"/>
    <s v="zgadzam się"/>
    <s v="zgadzam się"/>
    <s v="raczej się zgadzam"/>
    <s v="zgadzam się"/>
    <s v="zgadzam się"/>
    <s v="praca przed ukończeniem studiów"/>
    <s v="powyżej 4000 zł, ale nie więcej niż 5000 zł"/>
    <s v="powyżej 5000 zł, ale nie więcej niż 6000 zł"/>
    <m/>
    <s v="wiedza wykładowców, większość studentów chciała się czegoś nauczyć a nie tylko zdobyć dyplom"/>
    <s v="n/a"/>
    <s v="niestacjonarne (zaocz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2"/>
    <m/>
    <m/>
    <m/>
    <m/>
    <m/>
    <m/>
  </r>
  <r>
    <n v="164"/>
    <n v="94"/>
    <n v="34"/>
    <s v="188.124.189.51"/>
    <s v="Link"/>
    <m/>
    <m/>
    <m/>
    <m/>
    <s v="Zakończono"/>
    <s v="2020-12-18 09:42:59"/>
    <s v="2020-12-18 09:57:39"/>
    <n v="880"/>
    <n v="0"/>
    <x v="0"/>
    <x v="0"/>
    <m/>
    <m/>
    <m/>
    <m/>
    <m/>
    <m/>
    <m/>
    <m/>
    <m/>
    <m/>
    <m/>
    <m/>
    <m/>
    <m/>
    <m/>
    <x v="0"/>
    <s v="WSB"/>
    <n v="2019"/>
    <s v="nie"/>
    <s v="IT Project Management"/>
    <s v="raczej się nie zgadzam"/>
    <s v="raczej się nie zgadzam"/>
    <s v="zgadzam się"/>
    <s v="zdecydowanie się zgadzam"/>
    <s v="zdecydowanie się zgadzam"/>
    <s v="Kończąc studia I stopnia dziennie już zostałam zatrudniona w IT Procurement, reszte studiow kończyłam zaocznie."/>
    <s v="powyżej 2000 zł, ale nie więcej niż 3000 zł"/>
    <s v="powyżej 4000 zł, ale nie więcej niż 5000 zł"/>
    <s v="Studia były w języku angielskim, koledzy ze studiów byli w wiekszości z poza Polski, rozwój poziomu j.angielskiego komunikatywnego."/>
    <s v="Zaoczny tryb, podejście do studenta jak do klienta, łatwy i szybki kontakt z wykładowcami, świetna współpraca z promotorem pracy magisterskiej"/>
    <s v="Wiele zajęć było odwoływanych, kierunek był zagraniczny anglojęzyczny, a poziom języka u wykladowcow pozostawial wiele do życzenia często"/>
    <s v="niestacjonarne (zaoczne) studia 2 stopnia (magisterskie)"/>
    <m/>
    <x v="0"/>
    <m/>
    <m/>
    <m/>
    <m/>
    <m/>
    <m/>
    <m/>
    <m/>
    <m/>
    <m/>
    <m/>
    <m/>
    <m/>
    <m/>
    <m/>
    <m/>
    <m/>
    <m/>
    <m/>
    <m/>
    <m/>
    <m/>
    <m/>
    <m/>
    <m/>
    <m/>
    <m/>
    <m/>
    <m/>
    <m/>
    <m/>
    <m/>
    <m/>
    <m/>
    <m/>
    <m/>
    <m/>
    <m/>
    <m/>
    <m/>
    <m/>
    <m/>
    <m/>
    <m/>
    <m/>
    <x v="0"/>
    <m/>
    <m/>
    <m/>
    <m/>
    <m/>
    <m/>
    <m/>
    <m/>
    <m/>
    <x v="0"/>
    <m/>
    <m/>
    <m/>
    <m/>
    <m/>
    <m/>
    <m/>
    <m/>
    <m/>
    <x v="0"/>
    <m/>
    <m/>
    <m/>
    <m/>
    <m/>
    <m/>
    <m/>
    <m/>
    <m/>
    <m/>
    <m/>
    <m/>
    <m/>
    <m/>
    <m/>
    <m/>
    <m/>
    <m/>
    <m/>
    <m/>
    <m/>
    <m/>
    <m/>
    <m/>
    <m/>
    <m/>
    <m/>
    <m/>
    <x v="0"/>
    <s v="Tak"/>
    <m/>
    <m/>
    <m/>
    <m/>
    <m/>
    <m/>
    <m/>
    <m/>
    <m/>
    <m/>
    <m/>
    <m/>
    <m/>
    <m/>
    <m/>
    <m/>
    <m/>
    <m/>
    <m/>
    <m/>
    <m/>
    <m/>
    <m/>
    <m/>
    <x v="0"/>
    <m/>
    <m/>
    <m/>
    <m/>
    <m/>
    <m/>
    <m/>
    <m/>
    <m/>
    <m/>
    <m/>
    <m/>
    <m/>
    <m/>
    <m/>
    <m/>
    <m/>
    <m/>
    <m/>
    <m/>
    <m/>
    <m/>
    <m/>
    <m/>
    <m/>
    <m/>
    <m/>
    <m/>
    <m/>
    <m/>
    <m/>
    <m/>
    <m/>
    <s v="Poziom nauczania wykładowcow, wiele od nich zalezy, najnudniejszy temat mozna przedstawic w sposob ciekawy i odwrotnie. Po wielu latach wspomnienia ze studiow raczej związane są z wykładowcami, nie mówimy - ten przedmiot był ciężki, tylko raczej - ubtego wykładowcy było ciężko. Często jest niestety tak, że waga przedmiotu do sposobu egzaminowania jest nieadekwatna. Mniej ważne przedmioty prowadzone są przez wykladowcow ktorzy nie mają zadowolenia z poziomu przekazania swojej wiedzy, a z poziomu trudności i irracjonalności sposobu egzaminowania podczas sesji."/>
    <s v="Ilość praktyków wykladajacych na uczelni, nie teoretykow. Wiele ciekawiej jest sluchac kogos kto opowiada z perspektywy wlasnego doswiadczenia, udziela rad, opowiada o sytuacjach i o propozycjach ich realnego praktycznego rozwiązywania."/>
    <s v="Poziom braku zaangazowania wykladowcow."/>
    <x v="0"/>
    <n v="1990"/>
    <s v="duże miasto powiatowe"/>
    <m/>
    <s v="Licencjat, mgr absolutorium na UG"/>
    <s v="Studia psychologii biznesu na UG"/>
    <m/>
  </r>
  <r>
    <n v="123"/>
    <n v="72"/>
    <n v="32"/>
    <s v="158.233.246.27"/>
    <s v="Link"/>
    <m/>
    <m/>
    <m/>
    <m/>
    <s v="Zakończono"/>
    <s v="2020-09-23 13:41:55"/>
    <s v="2020-09-23 13:46:13"/>
    <n v="258"/>
    <n v="0"/>
    <x v="0"/>
    <x v="0"/>
    <m/>
    <m/>
    <m/>
    <m/>
    <m/>
    <m/>
    <m/>
    <m/>
    <m/>
    <m/>
    <m/>
    <m/>
    <m/>
    <m/>
    <m/>
    <x v="0"/>
    <s v="WSB"/>
    <n v="2016"/>
    <s v="tak"/>
    <s v="IT Project managment"/>
    <s v="zgadzam się"/>
    <s v="zgadzam się"/>
    <s v="zdecydowanie się zgadzam"/>
    <s v="zdecydowanie się zgadzam"/>
    <s v="zdecydowanie się zgadzam"/>
    <n v="3"/>
    <s v="powyżej 2000 zł, ale nie więcej niż 3000 zł"/>
    <s v="powyżej 8000 zł, ale nie więcej niż 9000 zł"/>
    <m/>
    <s v="determinacja"/>
    <s v="sprawy prywatne"/>
    <s v="niestacjonarne (zaoczne) studia 1 stopnia (licencjackie / inżynierskie)"/>
    <m/>
    <x v="0"/>
    <m/>
    <m/>
    <m/>
    <m/>
    <m/>
    <m/>
    <m/>
    <m/>
    <m/>
    <m/>
    <m/>
    <m/>
    <m/>
    <m/>
    <m/>
    <m/>
    <m/>
    <m/>
    <m/>
    <m/>
    <m/>
    <m/>
    <m/>
    <m/>
    <m/>
    <m/>
    <m/>
    <m/>
    <m/>
    <m/>
    <m/>
    <m/>
    <m/>
    <m/>
    <m/>
    <m/>
    <m/>
    <m/>
    <m/>
    <m/>
    <m/>
    <m/>
    <m/>
    <m/>
    <m/>
    <x v="0"/>
    <m/>
    <m/>
    <m/>
    <m/>
    <m/>
    <m/>
    <m/>
    <m/>
    <m/>
    <x v="0"/>
    <m/>
    <m/>
    <m/>
    <m/>
    <m/>
    <m/>
    <m/>
    <m/>
    <m/>
    <x v="0"/>
    <m/>
    <m/>
    <m/>
    <m/>
    <m/>
    <m/>
    <m/>
    <m/>
    <m/>
    <m/>
    <m/>
    <m/>
    <m/>
    <m/>
    <m/>
    <m/>
    <m/>
    <m/>
    <m/>
    <m/>
    <m/>
    <m/>
    <m/>
    <m/>
    <m/>
    <m/>
    <m/>
    <m/>
    <x v="0"/>
    <s v="Tak"/>
    <n v="1"/>
    <m/>
    <m/>
    <m/>
    <m/>
    <m/>
    <m/>
    <m/>
    <m/>
    <m/>
    <m/>
    <m/>
    <m/>
    <m/>
    <m/>
    <m/>
    <m/>
    <m/>
    <m/>
    <m/>
    <m/>
    <m/>
    <m/>
    <m/>
    <x v="0"/>
    <m/>
    <m/>
    <m/>
    <m/>
    <m/>
    <m/>
    <m/>
    <m/>
    <m/>
    <m/>
    <m/>
    <m/>
    <m/>
    <m/>
    <m/>
    <m/>
    <m/>
    <m/>
    <m/>
    <m/>
    <m/>
    <m/>
    <m/>
    <m/>
    <m/>
    <m/>
    <m/>
    <m/>
    <m/>
    <m/>
    <m/>
    <m/>
    <m/>
    <s v="zadania praktyczne"/>
    <s v="zadania praktyczne"/>
    <s v="ekologia w IT... bzdurne przedmioty"/>
    <x v="1"/>
    <n v="1986"/>
    <s v="duże miasto powiatowe"/>
    <m/>
    <m/>
    <m/>
    <m/>
  </r>
  <r>
    <n v="113"/>
    <n v="67"/>
    <n v="32"/>
    <s v="156.67.104.35"/>
    <s v="Link"/>
    <m/>
    <m/>
    <m/>
    <m/>
    <s v="Zakończono"/>
    <s v="2020-09-07 11:02:32"/>
    <s v="2020-09-07 11:49:15"/>
    <n v="2803"/>
    <n v="0"/>
    <x v="0"/>
    <x v="0"/>
    <m/>
    <m/>
    <m/>
    <m/>
    <m/>
    <m/>
    <m/>
    <m/>
    <m/>
    <m/>
    <m/>
    <m/>
    <m/>
    <m/>
    <m/>
    <x v="0"/>
    <s v="WSB"/>
    <n v="2019"/>
    <s v="nie"/>
    <s v="Zarzadzanie"/>
    <s v="raczej się nie zgadzam"/>
    <s v="ani się zgadzam, ani nie zgadzam"/>
    <s v="raczej się nie zgadzam"/>
    <s v="zdecydowanie się nie zgadzam"/>
    <s v="nie dotyczy"/>
    <s v="studia byly zaoczne i pracowalam juz przed i w trakcie studiow "/>
    <s v="powyżej 3000 zł, ale nie więcej niż 4000 zł"/>
    <s v="nie dotyczy"/>
    <m/>
    <s v="mozliwosc uzyskania stypednium naukowego "/>
    <s v="nizrozumienie ze doba czlowieka na studiach zaocznych ma tylko 24 h i zeby sie utrzymac nie moze opuszczac pracy "/>
    <s v="niestacjonarne (zaocz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oferta dydaktyczna, wiedza praktyczna a nie tylko teoretyczna, mysle ze najciekawsza bylaby oferta studiow dualnych "/>
    <s v="elektronyczny index, plan zajec, mozliwosc kontaktu mailowego z dziekanatem i niektorymi wykladowcami "/>
    <s v="trudnosc porozumienia sie z niektorymi wykladowcami, nie jadne reguly "/>
    <x v="0"/>
    <n v="1991"/>
    <s v="duże miasto powiatowe"/>
    <m/>
    <m/>
    <s v="przerwane studia na PG na wydziale mechanicznym , przerwane studia na WSKS w Gdyni z zakresu pedagogiki "/>
    <m/>
  </r>
  <r>
    <n v="112"/>
    <s v="BRAK"/>
    <n v="25"/>
    <s v="83.20.239.253"/>
    <s v="Link"/>
    <m/>
    <m/>
    <m/>
    <m/>
    <s v="W trakcie"/>
    <s v="2020-08-27 22:16:34"/>
    <s v="2020-08-27 22:16:34"/>
    <n v="0"/>
    <n v="0"/>
    <x v="0"/>
    <x v="0"/>
    <m/>
    <m/>
    <m/>
    <m/>
    <m/>
    <m/>
    <m/>
    <m/>
    <m/>
    <m/>
    <m/>
    <m/>
    <m/>
    <m/>
    <m/>
    <x v="0"/>
    <s v="WSZiB w Krakowie"/>
    <n v="2009"/>
    <s v="nie"/>
    <s v="ZZL"/>
    <s v="zdecydowanie się zgadzam"/>
    <s v="zdecydowanie się zgadzam"/>
    <s v="ani się zgadzam, ani nie zgadzam"/>
    <s v="zgadzam się"/>
    <s v="zdecydowanie się zgadzam"/>
    <s v="praca przed ukończeniem studiów"/>
    <s v="powyżej 1000 zł, ale nie więcej niż 2000 zł"/>
    <s v="powyżej 2000 zł, ale nie więcej niż 3000 zł"/>
    <m/>
    <s v="zaoczność"/>
    <s v="płatne studia"/>
    <s v="niestacjonarne (zaocz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m/>
    <m/>
    <m/>
    <x v="2"/>
    <m/>
    <m/>
    <m/>
    <m/>
    <m/>
    <m/>
  </r>
  <r>
    <n v="253"/>
    <s v="BRAK"/>
    <n v="17"/>
    <s v="5.173.225.128"/>
    <s v="Link"/>
    <s v="http://m.facebook.com/"/>
    <m/>
    <m/>
    <m/>
    <s v="W trakcie"/>
    <s v="2021-01-26 18:04:13"/>
    <s v="2021-01-26 18:04:13"/>
    <n v="0"/>
    <n v="0"/>
    <x v="0"/>
    <x v="1"/>
    <s v="Uniwersytet Przyrodniczy "/>
    <s v="nie"/>
    <s v="Dietetyka"/>
    <s v="nie zgadzam się"/>
    <s v="nie zgadzam się"/>
    <s v="nie zgadzam się"/>
    <s v="Od 6 do 12 miesięcy "/>
    <s v="powyżej 2000 zł, ale nie więcej niż 3000 zł"/>
    <s v="powyżej 3000 zł, ale nie więcej niż 4000 zł"/>
    <s v="Umiejętności pracy z ludźmi, zadowolenia ze swojej pracy "/>
    <s v="dobre wyniki, pochwały, miłe nastawienie prowadzących "/>
    <s v="Krytyka, niemiła atmosfera "/>
    <s v="stacjonarne (dzienne) studia 1 stopnia (licencjackie / inżynierskie)"/>
    <m/>
    <n v="6"/>
    <x v="0"/>
    <m/>
    <m/>
    <m/>
    <m/>
    <m/>
    <m/>
    <m/>
    <m/>
    <m/>
    <m/>
    <m/>
    <m/>
    <m/>
    <m/>
    <m/>
    <m/>
    <m/>
    <x v="2"/>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BE8CB3-99E8-43FD-9B4F-6FD62728B119}" name="Tabela przestawna7"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39:B42"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115"/>
  </rowFields>
  <rowItems count="3">
    <i>
      <x/>
    </i>
    <i>
      <x v="1"/>
    </i>
    <i t="grand">
      <x/>
    </i>
  </rowItems>
  <colItems count="1">
    <i/>
  </colItems>
  <pageFields count="1">
    <pageField fld="207" hier="-1"/>
  </pageFields>
  <dataFields count="1">
    <dataField name="Liczba z Czy jesteś przedstawicielem władz uczelni z grupy rektorów, prorektorów, dziekanów, prodziekanów, członków senatu lub członków rady uczelni?" fld="115" subtotal="count" baseField="0" baseItem="0"/>
  </dataFields>
  <formats count="6">
    <format dxfId="459">
      <pivotArea type="all" dataOnly="0" outline="0" fieldPosition="0"/>
    </format>
    <format dxfId="458">
      <pivotArea outline="0" collapsedLevelsAreSubtotals="1" fieldPosition="0"/>
    </format>
    <format dxfId="457">
      <pivotArea field="115" type="button" dataOnly="0" labelOnly="1" outline="0" axis="axisRow" fieldPosition="0"/>
    </format>
    <format dxfId="456">
      <pivotArea dataOnly="0" labelOnly="1" fieldPosition="0">
        <references count="1">
          <reference field="115" count="0"/>
        </references>
      </pivotArea>
    </format>
    <format dxfId="455">
      <pivotArea dataOnly="0" labelOnly="1" grandRow="1" outline="0" fieldPosition="0"/>
    </format>
    <format dxfId="45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CEEC02-372C-4B4B-89DB-A7B0C2050D92}" name="Tabela przestawna1" cacheId="1"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12:D21" firstHeaderRow="1" firstDataRow="2" firstDataCol="1" rowPageCount="9"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axis="axisPage"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axis="axisPage"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showAll="0"/>
  </pivotFields>
  <rowFields count="1">
    <field x="-2"/>
  </rowFields>
  <rowItems count="8">
    <i>
      <x/>
    </i>
    <i i="1">
      <x v="1"/>
    </i>
    <i i="2">
      <x v="2"/>
    </i>
    <i i="3">
      <x v="3"/>
    </i>
    <i i="4">
      <x v="4"/>
    </i>
    <i i="5">
      <x v="5"/>
    </i>
    <i i="6">
      <x v="6"/>
    </i>
    <i i="7">
      <x v="7"/>
    </i>
  </rowItems>
  <colFields count="1">
    <field x="15"/>
  </colFields>
  <colItems count="3">
    <i>
      <x/>
    </i>
    <i>
      <x v="1"/>
    </i>
    <i t="grand">
      <x/>
    </i>
  </colItems>
  <pageFields count="9">
    <pageField fld="207" item="2" hier="-1"/>
    <pageField fld="14" hier="-1"/>
    <pageField fld="31" hier="-1"/>
    <pageField fld="49" hier="-1"/>
    <pageField fld="95" hier="-1"/>
    <pageField fld="105" hier="-1"/>
    <pageField fld="115" hier="-1"/>
    <pageField fld="170" hier="-1"/>
    <pageField fld="144" hier="-1"/>
  </pageFields>
  <dataFields count="8">
    <dataField name="Liczba z Czy jesteś absolwentem uczelni wyższej?" fld="31" subtotal="count" baseField="0" baseItem="0"/>
    <dataField name="Liczba z Czy jesteś studentem uczelni wyższej?" fld="15" subtotal="count" baseField="0" baseItem="0"/>
    <dataField name="Liczba z Czy jesteś rodzicem / opiekunem absolwenta uczelni wyższej?" fld="49" subtotal="count" baseField="0" baseItem="0"/>
    <dataField name="Liczba z Czy jesteś aktualnie pracownikiem administracyjnym uczelni wyższej?" fld="95" subtotal="count" baseField="0" baseItem="0"/>
    <dataField name="Liczba z Czy jesteś aktualnie pracownikiem naukowym lub dydaktycznym uczelni wyższej?" fld="105" subtotal="count" baseField="0" baseItem="0"/>
    <dataField name="Liczba z Czy jesteś przedstawicielem władz uczelni z grupy rektorów, prorektorów, dziekanów, prodziekanów, członków senatu lub członków rady uczelni?" fld="115" subtotal="count" baseField="0" baseItem="0"/>
    <dataField name="Liczba z Czy jesteś przedstawicielem władz samorządowych lub centralnych Rzeczypospolitej Polskiej?" fld="170" subtotal="count" baseField="0" baseItem="0"/>
    <dataField name="Liczba z Czy jesteś przedstawicielem firmy, w której są zatrudniani absolwenci uczelni wyższych (tytuł licencjata, magistra lub wyższy)?" fld="14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C6A45A-90B8-42FA-86A6-7BB9C1A159C0}" name="Tabela przestawna4"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18:B21"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49"/>
  </rowFields>
  <rowItems count="3">
    <i>
      <x/>
    </i>
    <i>
      <x v="1"/>
    </i>
    <i t="grand">
      <x/>
    </i>
  </rowItems>
  <colItems count="1">
    <i/>
  </colItems>
  <pageFields count="1">
    <pageField fld="207" hier="-1"/>
  </pageFields>
  <dataFields count="1">
    <dataField name="Liczba z Czy jesteś rodzicem / opiekunem absolwenta uczelni wyższej?" fld="49" subtotal="count" baseField="0" baseItem="0"/>
  </dataFields>
  <formats count="6">
    <format dxfId="465">
      <pivotArea type="all" dataOnly="0" outline="0" fieldPosition="0"/>
    </format>
    <format dxfId="464">
      <pivotArea outline="0" collapsedLevelsAreSubtotals="1" fieldPosition="0"/>
    </format>
    <format dxfId="463">
      <pivotArea field="49" type="button" dataOnly="0" labelOnly="1" outline="0" axis="axisRow" fieldPosition="0"/>
    </format>
    <format dxfId="462">
      <pivotArea dataOnly="0" labelOnly="1" fieldPosition="0">
        <references count="1">
          <reference field="49" count="0"/>
        </references>
      </pivotArea>
    </format>
    <format dxfId="461">
      <pivotArea dataOnly="0" labelOnly="1" grandRow="1" outline="0" fieldPosition="0"/>
    </format>
    <format dxfId="46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0A05A5-C812-4CBF-8D0E-D6466B26C2EE}" name="Tabela przestawna9"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53:B56"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170"/>
  </rowFields>
  <rowItems count="3">
    <i>
      <x/>
    </i>
    <i>
      <x v="1"/>
    </i>
    <i t="grand">
      <x/>
    </i>
  </rowItems>
  <colItems count="1">
    <i/>
  </colItems>
  <pageFields count="1">
    <pageField fld="207" hier="-1"/>
  </pageFields>
  <dataFields count="1">
    <dataField name="Liczba z Czy jesteś przedstawicielem władz samorządowych lub centralnych Rzeczypospolitej Polskiej?" fld="170" subtotal="count" baseField="0" baseItem="0"/>
  </dataFields>
  <formats count="6">
    <format dxfId="471">
      <pivotArea type="all" dataOnly="0" outline="0" fieldPosition="0"/>
    </format>
    <format dxfId="470">
      <pivotArea outline="0" collapsedLevelsAreSubtotals="1" fieldPosition="0"/>
    </format>
    <format dxfId="469">
      <pivotArea field="170" type="button" dataOnly="0" labelOnly="1" outline="0" axis="axisRow" fieldPosition="0"/>
    </format>
    <format dxfId="468">
      <pivotArea dataOnly="0" labelOnly="1" fieldPosition="0">
        <references count="1">
          <reference field="170" count="0"/>
        </references>
      </pivotArea>
    </format>
    <format dxfId="467">
      <pivotArea dataOnly="0" labelOnly="1" grandRow="1" outline="0" fieldPosition="0"/>
    </format>
    <format dxfId="466">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BF3CDF-E9F4-448E-8853-9B0692A78CD9}" name="Tabela przestawna5"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25:B28"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95"/>
  </rowFields>
  <rowItems count="3">
    <i>
      <x/>
    </i>
    <i>
      <x v="1"/>
    </i>
    <i t="grand">
      <x/>
    </i>
  </rowItems>
  <colItems count="1">
    <i/>
  </colItems>
  <pageFields count="1">
    <pageField fld="207" hier="-1"/>
  </pageFields>
  <dataFields count="1">
    <dataField name="Liczba z Czy jesteś aktualnie pracownikiem administracyjnym uczelni wyższej?" fld="95" subtotal="count" baseField="0" baseItem="0"/>
  </dataFields>
  <formats count="6">
    <format dxfId="477">
      <pivotArea type="all" dataOnly="0" outline="0" fieldPosition="0"/>
    </format>
    <format dxfId="476">
      <pivotArea outline="0" collapsedLevelsAreSubtotals="1" fieldPosition="0"/>
    </format>
    <format dxfId="475">
      <pivotArea field="95" type="button" dataOnly="0" labelOnly="1" outline="0" axis="axisRow" fieldPosition="0"/>
    </format>
    <format dxfId="474">
      <pivotArea dataOnly="0" labelOnly="1" fieldPosition="0">
        <references count="1">
          <reference field="95" count="0"/>
        </references>
      </pivotArea>
    </format>
    <format dxfId="473">
      <pivotArea dataOnly="0" labelOnly="1" grandRow="1" outline="0" fieldPosition="0"/>
    </format>
    <format dxfId="47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E2E110-99DE-4B15-A7E3-1E0D53D72C3A}" name="Tabela przestawna3"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11:B14"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31"/>
  </rowFields>
  <rowItems count="3">
    <i>
      <x/>
    </i>
    <i>
      <x v="1"/>
    </i>
    <i t="grand">
      <x/>
    </i>
  </rowItems>
  <colItems count="1">
    <i/>
  </colItems>
  <pageFields count="1">
    <pageField fld="207" hier="-1"/>
  </pageFields>
  <dataFields count="1">
    <dataField name="Liczba z Czy jesteś absolwentem uczelni wyższej?" fld="31" subtotal="count" baseField="0" baseItem="0"/>
  </dataFields>
  <formats count="6">
    <format dxfId="483">
      <pivotArea type="all" dataOnly="0" outline="0" fieldPosition="0"/>
    </format>
    <format dxfId="482">
      <pivotArea outline="0" collapsedLevelsAreSubtotals="1" fieldPosition="0"/>
    </format>
    <format dxfId="481">
      <pivotArea field="31" type="button" dataOnly="0" labelOnly="1" outline="0" axis="axisRow" fieldPosition="0"/>
    </format>
    <format dxfId="480">
      <pivotArea dataOnly="0" labelOnly="1" fieldPosition="0">
        <references count="1">
          <reference field="31" count="0"/>
        </references>
      </pivotArea>
    </format>
    <format dxfId="479">
      <pivotArea dataOnly="0" labelOnly="1" grandRow="1" outline="0" fieldPosition="0"/>
    </format>
    <format dxfId="47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06CBEE-5E76-476D-A2F1-0FA778A0C097}" name="Tabela przestawna8"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46:B49"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144"/>
  </rowFields>
  <rowItems count="3">
    <i>
      <x/>
    </i>
    <i>
      <x v="1"/>
    </i>
    <i t="grand">
      <x/>
    </i>
  </rowItems>
  <colItems count="1">
    <i/>
  </colItems>
  <pageFields count="1">
    <pageField fld="207" hier="-1"/>
  </pageFields>
  <dataFields count="1">
    <dataField name="Liczba z Czy jesteś przedstawicielem firmy, w której są zatrudniani absolwenci uczelni wyższych (tytuł licencjata, magistra lub wyższy)?" fld="144" subtotal="count" baseField="0" baseItem="0"/>
  </dataFields>
  <formats count="6">
    <format dxfId="489">
      <pivotArea type="all" dataOnly="0" outline="0" fieldPosition="0"/>
    </format>
    <format dxfId="488">
      <pivotArea outline="0" collapsedLevelsAreSubtotals="1" fieldPosition="0"/>
    </format>
    <format dxfId="487">
      <pivotArea field="144" type="button" dataOnly="0" labelOnly="1" outline="0" axis="axisRow" fieldPosition="0"/>
    </format>
    <format dxfId="486">
      <pivotArea dataOnly="0" labelOnly="1" fieldPosition="0">
        <references count="1">
          <reference field="144" count="0"/>
        </references>
      </pivotArea>
    </format>
    <format dxfId="485">
      <pivotArea dataOnly="0" labelOnly="1" grandRow="1" outline="0" fieldPosition="0"/>
    </format>
    <format dxfId="48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86109C-F15F-470F-9BAB-059408B26827}" name="Tabela przestawna6"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32:B35"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105"/>
  </rowFields>
  <rowItems count="3">
    <i>
      <x/>
    </i>
    <i>
      <x v="1"/>
    </i>
    <i t="grand">
      <x/>
    </i>
  </rowItems>
  <colItems count="1">
    <i/>
  </colItems>
  <pageFields count="1">
    <pageField fld="207" hier="-1"/>
  </pageFields>
  <dataFields count="1">
    <dataField name="Liczba z Czy jesteś aktualnie pracownikiem naukowym lub dydaktycznym uczelni wyższej?" fld="105" subtotal="count" baseField="0" baseItem="0"/>
  </dataFields>
  <formats count="6">
    <format dxfId="495">
      <pivotArea type="all" dataOnly="0" outline="0" fieldPosition="0"/>
    </format>
    <format dxfId="494">
      <pivotArea outline="0" collapsedLevelsAreSubtotals="1" fieldPosition="0"/>
    </format>
    <format dxfId="493">
      <pivotArea field="105" type="button" dataOnly="0" labelOnly="1" outline="0" axis="axisRow" fieldPosition="0"/>
    </format>
    <format dxfId="492">
      <pivotArea dataOnly="0" labelOnly="1" fieldPosition="0">
        <references count="1">
          <reference field="105" count="0"/>
        </references>
      </pivotArea>
    </format>
    <format dxfId="491">
      <pivotArea dataOnly="0" labelOnly="1" grandRow="1" outline="0" fieldPosition="0"/>
    </format>
    <format dxfId="49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BFBAAB-7C3B-4D18-8813-45C14B4E081C}" name="Tabela przestawna2"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4:B7"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15"/>
  </rowFields>
  <rowItems count="3">
    <i>
      <x/>
    </i>
    <i>
      <x v="1"/>
    </i>
    <i t="grand">
      <x/>
    </i>
  </rowItems>
  <colItems count="1">
    <i/>
  </colItems>
  <pageFields count="1">
    <pageField fld="207" hier="-1"/>
  </pageFields>
  <dataFields count="1">
    <dataField name="Liczba z Czy jesteś studentem uczelni wyższej?" fld="15" subtotal="count" baseField="0" baseItem="0"/>
  </dataFields>
  <formats count="6">
    <format dxfId="501">
      <pivotArea type="all" dataOnly="0" outline="0" fieldPosition="0"/>
    </format>
    <format dxfId="500">
      <pivotArea outline="0" collapsedLevelsAreSubtotals="1" fieldPosition="0"/>
    </format>
    <format dxfId="499">
      <pivotArea field="15" type="button" dataOnly="0" labelOnly="1" outline="0" axis="axisRow" fieldPosition="0"/>
    </format>
    <format dxfId="498">
      <pivotArea dataOnly="0" labelOnly="1" fieldPosition="0">
        <references count="1">
          <reference field="15" count="0"/>
        </references>
      </pivotArea>
    </format>
    <format dxfId="497">
      <pivotArea dataOnly="0" labelOnly="1" grandRow="1" outline="0" fieldPosition="0"/>
    </format>
    <format dxfId="496">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8DBF73-8FE8-4122-BDC0-05F7CF4EAD75}" name="Tabela przestawna12"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E18:F21"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9"/>
  </rowFields>
  <rowItems count="3">
    <i>
      <x/>
    </i>
    <i>
      <x v="1"/>
    </i>
    <i t="grand">
      <x/>
    </i>
  </rowItems>
  <colItems count="1">
    <i/>
  </colItems>
  <pageFields count="1">
    <pageField fld="31" hier="-1"/>
  </pageFields>
  <dataFields count="1">
    <dataField name="Liczba z Czy jesteś rodzicem / opiekunem absolwenta uczelni wyższej?" fld="49" subtotal="count" baseField="0" baseItem="0"/>
  </dataFields>
  <formats count="5">
    <format dxfId="506">
      <pivotArea type="all" dataOnly="0" outline="0" fieldPosition="0"/>
    </format>
    <format dxfId="505">
      <pivotArea outline="0" collapsedLevelsAreSubtotals="1" fieldPosition="0"/>
    </format>
    <format dxfId="504">
      <pivotArea field="49" type="button" dataOnly="0" labelOnly="1" outline="0" axis="axisRow" fieldPosition="0"/>
    </format>
    <format dxfId="503">
      <pivotArea dataOnly="0" labelOnly="1" grandRow="1" outline="0" fieldPosition="0"/>
    </format>
    <format dxfId="50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CEDE85-DAA3-402E-B8BB-F03DCC1EC730}" name="AnalizaCzyste" displayName="AnalizaCzyste" ref="A2:IA36" totalsRowCount="1">
  <autoFilter ref="A2:IA35" xr:uid="{BC01C17C-E729-4430-9A94-BDF77386BAED}"/>
  <sortState xmlns:xlrd2="http://schemas.microsoft.com/office/spreadsheetml/2017/richdata2" ref="A3:IA33">
    <sortCondition ref="G2:G33"/>
  </sortState>
  <tableColumns count="235">
    <tableColumn id="1" xr3:uid="{37199E79-F22A-49C0-B1C3-8001D68B6905}" name="Lp. wywiadu" dataDxfId="562"/>
    <tableColumn id="214" xr3:uid="{15F16F1A-B79B-4E98-AC9F-5DC850A3D9F6}" name="ID_zakończone" dataDxfId="561">
      <calculatedColumnFormula>_xlfn.IFNA(VLOOKUP(AnalizaCzyste[[#This Row],[Zakończono wypełnianie]],Zakończone[],2,0),"BRAK")</calculatedColumnFormula>
    </tableColumn>
    <tableColumn id="213" xr3:uid="{D0D33D71-A9E4-4CAC-BFB1-A490F680AF4A}" name="ILE niepustych" dataDxfId="560">
      <calculatedColumnFormula>COUNTA(AI3:IA3)</calculatedColumnFormula>
    </tableColumn>
    <tableColumn id="9" xr3:uid="{B8DCE562-4599-46A0-98D0-29A2F2B1980B}" name="Rozpoczęto wypełnianie" dataDxfId="559"/>
    <tableColumn id="10" xr3:uid="{E2617982-2AA5-46BF-BF8D-CCC1DC921D1A}" name="Zakończono wypełnianie" dataDxfId="558"/>
    <tableColumn id="11" xr3:uid="{5C243F5F-5B7A-4FD5-94E5-052DFE39FA5B}" name="Czas trwania (s)" dataDxfId="557"/>
    <tableColumn id="218" xr3:uid="{AA8B8567-C52B-4727-A725-D1B2249E52E9}" name="Wywiad (tak)" dataDxfId="556"/>
    <tableColumn id="3" xr3:uid="{D158FB31-EDCB-417F-BABD-A3B2B9EE0829}" name="Nagranie" dataDxfId="555"/>
    <tableColumn id="219" xr3:uid="{F8693F28-3C62-40E9-9FD6-468716B62CBC}" name="Osoba" dataDxfId="554"/>
    <tableColumn id="5" xr3:uid="{E0F3AAFA-D2F4-47FA-AB10-146B31AE1539}" name="Opis metryczkowy" dataDxfId="553">
      <calculatedColumnFormula>"("&amp;"ID:"&amp;AnalizaCzyste[[#This Row],[Lp. wywiadu]]&amp;"; "&amp;AnalizaCzyste[[#This Row],[Czy kierunek techniczny?]]&amp;"; "&amp;MID(AnalizaCzyste[[#This Row],[Info metryczkowe]],2,40)</calculatedColumnFormula>
    </tableColumn>
    <tableColumn id="232" xr3:uid="{B7E402BE-354E-4309-95B7-523788D81571}" name="11. Kategorie jakości (wymienić w odniesieniu do uczelni)" dataDxfId="552"/>
    <tableColumn id="231" xr3:uid="{D67E567F-38E0-4A74-BCAD-EFDB07D402F4}" name="10. SSI dla doskonalenia SZJ?" dataDxfId="551"/>
    <tableColumn id="224" xr3:uid="{54237CB1-FE91-4A4B-A669-52F09EE4BAD9}" name="9. SSI do podnoszenia jakości?" dataDxfId="550"/>
    <tableColumn id="229" xr3:uid="{1BDEECD3-C999-44DF-B7DB-8EBA6D79D65D}" name="8. Czy pomiar satysfakcji interesariuszy może dawać istotne informacje do podnoszenia jakości?" dataDxfId="549"/>
    <tableColumn id="228" xr3:uid="{D81785BC-7280-4F7D-9034-A822247B4942}" name="7. Ocena uczelni (ankieta)" dataDxfId="548"/>
    <tableColumn id="227" xr3:uid="{643812DD-97E7-4A22-A24D-FF3EF5E4512D}" name="6. Czy pomiar zarobków absolwentów może być dobrą miarą jakości usług uczelni?" dataDxfId="547"/>
    <tableColumn id="226" xr3:uid="{D3FC4C00-7A93-4CA5-9BAB-71690EA4EA98}" name="5. Czy pomiar sukcesów absolwentów może być dobrą miarą jakości usług uczelni?" dataDxfId="546"/>
    <tableColumn id="225" xr3:uid="{91DADDE1-4B39-4C79-A4DE-035F52998A87}" name="4. Absolwenci, których uczelni są najwyżej cenieni?" dataDxfId="545"/>
    <tableColumn id="223" xr3:uid="{8ADB0362-752B-41BA-87DB-E7681855BC21}" name="3. Jak oceniasz różne uczelnie (najlepsze)" dataDxfId="544"/>
    <tableColumn id="222" xr3:uid="{38B78989-9A45-4CC8-B889-04B16E250054}" name="2. Jacy interesariusze są najistotniejsi dla uczelni?" dataDxfId="543" totalsRowDxfId="102"/>
    <tableColumn id="13" xr3:uid="{658ACBE6-9CC6-46D6-B256-212A1E82279E}" name="Studenci" totalsRowFunction="custom" dataDxfId="542" totalsRowDxfId="101">
      <totalsRowFormula>COUNTA(AnalizaCzyste[Studenci])</totalsRowFormula>
    </tableColumn>
    <tableColumn id="8" xr3:uid="{1B4F1CD7-2B95-4ED6-9469-AD061FCC0315}" name="Absolwenci" totalsRowFunction="custom" dataDxfId="541" totalsRowDxfId="100">
      <totalsRowFormula>COUNTA(AnalizaCzyste[Absolwenci])</totalsRowFormula>
    </tableColumn>
    <tableColumn id="12" xr3:uid="{75D2EDE8-8097-46AF-B9B8-6AE81EADF1AC}" name="Pracodawcy / Przemysł / Biznes" totalsRowFunction="custom" dataDxfId="540" totalsRowDxfId="99">
      <totalsRowFormula>COUNTA(AnalizaCzyste[Pracodawcy / Przemysł / Biznes])</totalsRowFormula>
    </tableColumn>
    <tableColumn id="217" xr3:uid="{FCECF68C-120C-4FBE-8FCD-F34BD96A55AA}" name="Władze centralne / samorządowe (&quot;państwo&quot;)" totalsRowFunction="custom" dataDxfId="539" totalsRowDxfId="98">
      <totalsRowFormula>COUNTA(AnalizaCzyste[Władze centralne / samorządowe ("państwo")])</totalsRowFormula>
    </tableColumn>
    <tableColumn id="230" xr3:uid="{C5A837E8-76EE-47B9-B6EE-9E6246D36E3C}" name="Pracownicy (naukowi/wykładowcy)" totalsRowFunction="custom" dataDxfId="538" totalsRowDxfId="97">
      <totalsRowFormula>COUNTA(AnalizaCzyste[Pracownicy (naukowi/wykładowcy)])</totalsRowFormula>
    </tableColumn>
    <tableColumn id="233" xr3:uid="{969CFDA6-B659-4F05-8CE2-0F92FCE3A1D6}" name="Rodzice" totalsRowFunction="custom" dataDxfId="537" totalsRowDxfId="96">
      <totalsRowFormula>COUNTA(AnalizaCzyste[Rodzice])</totalsRowFormula>
    </tableColumn>
    <tableColumn id="234" xr3:uid="{BB334540-C89D-4C8C-B841-E72E19587D2F}" name="Inne uczelnie / ośrodki badawcze" totalsRowFunction="custom" dataDxfId="536" totalsRowDxfId="95">
      <totalsRowFormula>COUNTA(AnalizaCzyste[Inne uczelnie / ośrodki badawcze])</totalsRowFormula>
    </tableColumn>
    <tableColumn id="235" xr3:uid="{37B3AF45-2AD3-4DCE-B93A-4C6B06B3499B}" name="Naród / Społeczeństwo" totalsRowFunction="custom" dataDxfId="535" totalsRowDxfId="94">
      <totalsRowFormula>COUNTA(AnalizaCzyste[Naród / Społeczeństwo])</totalsRowFormula>
    </tableColumn>
    <tableColumn id="221" xr3:uid="{092826CC-1CEB-40AF-8074-DB3C0404BBAA}" name="1. Co dla Ciebie jest najważniejszą wartością usług oferowanych przez uczelnie" dataDxfId="534"/>
    <tableColumn id="220" xr3:uid="{B4538D8A-99EF-4DEE-84DF-B77D242243C2}" name="Info metryczkowe" dataDxfId="533"/>
    <tableColumn id="4" xr3:uid="{AF080C10-5FC3-4979-BEC8-057E76DEB30E}" name="Czy kierunek techniczny?" dataDxfId="532"/>
    <tableColumn id="2" xr3:uid="{49E5D40A-5FA0-4983-9FBE-6FD61D93074A}" name="Czy uczelnia techniczna?" dataDxfId="531">
      <calculatedColumnFormula>VLOOKUP(AnalizaCzyste[[#This Row],[Jak się nazywa uczelnia którą ukończyłeś? (proszę o wybranie jednej uczelni podlegającej ocenie)]],KategorieUczelni[],3,0)</calculatedColumnFormula>
    </tableColumn>
    <tableColumn id="6" xr3:uid="{3078C14E-3846-4DFD-9430-6DD9C9BEA9BD}" name="Kolumna2" dataDxfId="530">
      <calculatedColumnFormula>MID(AnalizaCzyste[[#This Row],[Info metryczkowe]],2,40)</calculatedColumnFormula>
    </tableColumn>
    <tableColumn id="7" xr3:uid="{46829F8F-8F4B-4A44-8FD4-C5C7F3FF9E1A}" name="(pusta)" dataDxfId="529"/>
    <tableColumn id="14" xr3:uid="{A75D7BB0-BDD4-4F9E-BFE1-A35FFDAA2A35}" name="Czy jesteś studentem uczelni wyższej?" totalsRowFunction="custom" dataDxfId="528" totalsRowDxfId="93">
      <totalsRowFormula>COUNTA((AI3:AI35))</totalsRowFormula>
    </tableColumn>
    <tableColumn id="15" xr3:uid="{59EBE606-808E-4993-BA84-2428F0FB2A27}" name="Jak się nazywa uczelnia, na której studiujesz? (proszę o wybranie jednej uczelni podlegającej ocenie)" totalsRowFunction="custom" totalsRowDxfId="92">
      <totalsRowFormula>COUNTA((AJ3:AJ35))</totalsRowFormula>
    </tableColumn>
    <tableColumn id="16" xr3:uid="{B883EC52-B4D3-434E-8AFF-6334D1B8C483}" name="Czy studiujesz na kierunku technicznym, tzn. takim, po którym uzyskasz tytuł inżyniera?" totalsRowFunction="custom" totalsRowDxfId="91">
      <totalsRowFormula>COUNTA((AK3:AK35))</totalsRowFormula>
    </tableColumn>
    <tableColumn id="17" xr3:uid="{C6F68B54-181D-4E6B-90DE-3758AC28643F}" name="Jak się nazywa kierunek, na którym studiujesz?" totalsRowFunction="custom" totalsRowDxfId="90">
      <totalsRowFormula>COUNTA((AL3:AL35))</totalsRowFormula>
    </tableColumn>
    <tableColumn id="18" xr3:uid="{4009F8D5-0845-4794-BD7B-DEDD90E1035F}" name="Moja satysfakcja z usług edukacyjnych ocenianej uczelni jest wysoka." totalsRowFunction="custom" totalsRowDxfId="89">
      <totalsRowFormula>COUNTA((AM3:AM35))</totalsRowFormula>
    </tableColumn>
    <tableColumn id="19" xr3:uid="{9C33E588-FD6F-4756-A796-19608D8E5787}" name="Usługi edukacyjne ocenianej uczelni mają wysoką wartość (okazja / szansa rozwoju własnego lub kariery)." totalsRowFunction="custom" totalsRowDxfId="88">
      <totalsRowFormula>COUNTA((AN3:AN35))</totalsRowFormula>
    </tableColumn>
    <tableColumn id="20" xr3:uid="{AD29E10C-3B61-4AC3-9DB6-E5592E85F54D}" name="Kształcenie na ocenianej uczelni ma/będzie miało pozytywny wpływ na zwiększenie moich zarobków." totalsRowFunction="custom" totalsRowDxfId="87">
      <totalsRowFormula>COUNTA((AO3:AO35))</totalsRowFormula>
    </tableColumn>
    <tableColumn id="21" xr3:uid="{29A03634-DD01-47E7-9082-570B2CBA75AC}" name="Kolumna1" totalsRowFunction="custom" totalsRowDxfId="86">
      <totalsRowFormula>COUNTA((AP3:AP35))</totalsRowFormula>
    </tableColumn>
    <tableColumn id="22" xr3:uid="{E3063293-8C09-4AD3-970A-FC723899E602}" name="w pierwszym roku po ukończeniu studiów : wybierz wartość z listy rozwijanej" totalsRowFunction="custom" totalsRowDxfId="85">
      <totalsRowFormula>COUNTA((AQ3:AQ35))</totalsRowFormula>
    </tableColumn>
    <tableColumn id="23" xr3:uid="{62967F23-9856-4DFD-AADC-42AC36B2CDB1}" name="w 3 lata po ukończeniu studiów : wybierz wartość z listy rozwijanej" totalsRowFunction="custom" totalsRowDxfId="84">
      <totalsRowFormula>COUNTA((AR3:AR35))</totalsRowFormula>
    </tableColumn>
    <tableColumn id="24" xr3:uid="{574DBE71-FF3A-4DA1-A563-EECF8E03B030}" name="Jakich innych (poza zarobkami) efektów kształcenia na ocenianej uczelni się spodziewasz?" totalsRowFunction="custom" totalsRowDxfId="83">
      <totalsRowFormula>COUNTA((AS3:AS35))</totalsRowFormula>
    </tableColumn>
    <tableColumn id="25" xr3:uid="{70C7E301-ECA2-4DF8-B78C-6550E2B616A1}" name="Jakie elementy lub cechy sprawiały, że Tobie studiowało się dobrze?" totalsRowFunction="custom" totalsRowDxfId="82">
      <totalsRowFormula>COUNTA((AT3:AT35))</totalsRowFormula>
    </tableColumn>
    <tableColumn id="26" xr3:uid="{86CB3A73-27F1-4FCF-B9E3-8D590DC2DB33}" name="Jakie elementy lub cechy sprawiały, że Tobie studiowało się źle?" totalsRowFunction="custom" totalsRowDxfId="81">
      <totalsRowFormula>COUNTA((AU3:AU35))</totalsRowFormula>
    </tableColumn>
    <tableColumn id="27" xr3:uid="{8DCB6BDF-C860-4D73-8953-D14EF0C8F0AA}" name="Jakiego rodzaju są Twoje studia?" totalsRowFunction="custom" totalsRowDxfId="80">
      <totalsRowFormula>COUNTA((AV3:AV35))</totalsRowFormula>
    </tableColumn>
    <tableColumn id="28" xr3:uid="{F292FE47-988D-4A95-932D-2E3B34B7BF0B}" name="Pole dodatkowe" totalsRowFunction="custom" totalsRowDxfId="79">
      <totalsRowFormula>COUNTA((AW3:AW35))</totalsRowFormula>
    </tableColumn>
    <tableColumn id="29" xr3:uid="{4225184D-873A-4CF3-B8D1-575C3D6A2435}" name="Na którym semestrze studiujesz obecnie?" totalsRowFunction="custom" totalsRowDxfId="78">
      <totalsRowFormula>COUNTA((AX3:AX35))</totalsRowFormula>
    </tableColumn>
    <tableColumn id="30" xr3:uid="{41979390-06F4-463C-ADB5-F98E8C311CBA}" name="Czy jesteś absolwentem uczelni wyższej?" totalsRowFunction="custom" dataDxfId="527" totalsRowDxfId="77">
      <totalsRowFormula>COUNTA((AY3:AY35))</totalsRowFormula>
    </tableColumn>
    <tableColumn id="31" xr3:uid="{BBF7434D-D66B-496B-B17B-27248613CC58}" name="Jak się nazywa uczelnia którą ukończyłeś? (proszę o wybranie jednej uczelni podlegającej ocenie)" totalsRowFunction="custom" totalsRowDxfId="76">
      <totalsRowFormula>COUNTA((AZ3:AZ35))</totalsRowFormula>
    </tableColumn>
    <tableColumn id="216" xr3:uid="{72DEEBC7-088A-46A4-9999-AE96ED74030A}" name="KategoriaUczelni" dataDxfId="526" totalsRowDxfId="75">
      <calculatedColumnFormula>VLOOKUP(AnalizaCzyste[[#This Row],[Jak się nazywa uczelnia którą ukończyłeś? (proszę o wybranie jednej uczelni podlegającej ocenie)]],KategorieUczelni[],2,0)</calculatedColumnFormula>
    </tableColumn>
    <tableColumn id="32" xr3:uid="{03CA046D-FBDF-4415-90A4-E08D8134585F}" name="W którym roku ukończyłaś/eś studia (rok w którym uzyskano dyplom ukończenia studiów drugiego stopnia, albo pierwszego stopnia, jeśli nie uzyskano dyplomu 2. stopnia)?" totalsRowFunction="custom" totalsRowDxfId="74">
      <totalsRowFormula>COUNTA((BB3:BB35))</totalsRowFormula>
    </tableColumn>
    <tableColumn id="33" xr3:uid="{AE05B081-E180-4E09-9192-4F27CE79F7EB}" name="Czy ukończony kierunek był kierunkiem technicznym, tzn. takim, po którym uzyskałaś/eś tytuł inżyniera?" totalsRowFunction="custom" totalsRowDxfId="73">
      <totalsRowFormula>COUNTA((BC3:BC35))</totalsRowFormula>
    </tableColumn>
    <tableColumn id="34" xr3:uid="{B85DD2EE-D5F2-46D3-9E33-DA992576E185}" name="Jak się nazywa kierunek, który ukończyłaś/eś?" totalsRowFunction="custom" totalsRowDxfId="72">
      <totalsRowFormula>COUNTA((BD3:BD35))</totalsRowFormula>
    </tableColumn>
    <tableColumn id="35" xr3:uid="{4CC44F8F-616F-4095-99F6-60AF14EEC568}" name="Moja satysfakcja z (efektów) usług edukacyjnych ocenianej uczelni jest wysoka." totalsRowFunction="custom" totalsRowDxfId="71">
      <totalsRowFormula>COUNTA((BE3:BE35))</totalsRowFormula>
    </tableColumn>
    <tableColumn id="36" xr3:uid="{1C6D88CF-332B-4752-A729-93BFDD454B5A}" name="Usługi edukacyjne ocenianej uczelni mają wysoką wartość (okazja / szansa rozwoju własnego lub kariery).3" totalsRowFunction="custom" totalsRowDxfId="70">
      <totalsRowFormula>COUNTA((BF3:BF35))</totalsRowFormula>
    </tableColumn>
    <tableColumn id="37" xr3:uid="{44EB38FB-B9C9-46B4-B0FB-9985D53C385D}" name="Kształcenie na ocenianej uczelni ma/miało pozytywny wpływ na zwiększenie moich zarobków." totalsRowFunction="custom" totalsRowDxfId="69">
      <totalsRowFormula>COUNTA((BG3:BG35))</totalsRowFormula>
    </tableColumn>
    <tableColumn id="38" xr3:uid="{34BE9A51-E55F-4AE8-87A0-FBEC63D51E8F}" name="Moje zarobki w pierwszym roku po ukończeniu studiów były satysfakcjonujące." totalsRowFunction="custom" totalsRowDxfId="68">
      <totalsRowFormula>COUNTA((BH3:BH35))</totalsRowFormula>
    </tableColumn>
    <tableColumn id="39" xr3:uid="{4033761C-CB95-4451-B0C4-2ABCB2769F7E}" name="Moje zarobki po 3. latach po ukończeniu studiów były satysfakcjonujące." totalsRowFunction="custom" totalsRowDxfId="67">
      <totalsRowFormula>COUNTA((BI3:BI35))</totalsRowFormula>
    </tableColumn>
    <tableColumn id="40" xr3:uid="{982DAD79-16D1-4D44-BCA4-6545A3A0954B}" name="W ile miesięcy po ukończeniu studiów uzyskałaś/eś zatrudnienie? Proszę podać liczbę miesięcy lub wpisać inną opcję (np. praca przed ukończeniem studiów; założenie własnej firmy; nie zamierzam pracować)" totalsRowFunction="custom" totalsRowDxfId="66">
      <totalsRowFormula>COUNTA((BJ3:BJ35))</totalsRowFormula>
    </tableColumn>
    <tableColumn id="41" xr3:uid="{25DB6FAA-8A3B-408B-9262-5EDE22E06BA2}" name="w pierwszym roku po ukończeniu studiów : wybierz wartość z listy rozwijanej4" totalsRowFunction="custom" totalsRowDxfId="65">
      <totalsRowFormula>COUNTA((BK3:BK35))</totalsRowFormula>
    </tableColumn>
    <tableColumn id="42" xr3:uid="{2B38DFDD-3D06-4B52-B1DB-7F8144FEDBDB}" name="w 3 lata po ukończeniu studiów : wybierz wartość z listy rozwijanej5" totalsRowFunction="custom" totalsRowDxfId="64">
      <totalsRowFormula>COUNTA((BL3:BL35))</totalsRowFormula>
    </tableColumn>
    <tableColumn id="43" xr3:uid="{FBBBF8D2-7A99-41FF-B15C-4A2191C9D8D9}" name="Jakie inne (poza zarobkami) efekty kształcenia na ocenianej uczelni dostrzegasz obecnie?" totalsRowFunction="custom" totalsRowDxfId="63">
      <totalsRowFormula>COUNTA((BM3:BM35))</totalsRowFormula>
    </tableColumn>
    <tableColumn id="44" xr3:uid="{6B48263B-8F26-4FBA-9F9A-424993C5E3ED}" name="Co wpływało na twoją satysfakcję ze studiowania?_x000a_" totalsRowFunction="custom" totalsRowDxfId="62">
      <totalsRowFormula>COUNTA((BN3:BN35))</totalsRowFormula>
    </tableColumn>
    <tableColumn id="45" xr3:uid="{52ED1FC9-CD2D-42A5-B204-567F0483F099}" name="Kolumna6" totalsRowFunction="custom" totalsRowDxfId="61">
      <totalsRowFormula>COUNTA((BO3:BO35))</totalsRowFormula>
    </tableColumn>
    <tableColumn id="46" xr3:uid="{3D74590B-7E93-443E-BE1C-FD99ECE16017}" name="Jakiego rodzaju były Twoje studia?" totalsRowFunction="custom" totalsRowDxfId="60">
      <totalsRowFormula>COUNTA((BP3:BP35))</totalsRowFormula>
    </tableColumn>
    <tableColumn id="47" xr3:uid="{E8CA34F5-D9E4-418D-8BF9-050444C4061E}" name="Pole dodatkowe7" totalsRowFunction="custom" totalsRowDxfId="59">
      <totalsRowFormula>COUNTA((BQ3:BQ35))</totalsRowFormula>
    </tableColumn>
    <tableColumn id="48" xr3:uid="{A48EA897-6002-486C-94A2-3071DE7EB5AD}" name="Czy jesteś rodzicem / opiekunem absolwenta uczelni wyższej?" totalsRowFunction="custom" dataDxfId="525" totalsRowDxfId="58">
      <totalsRowFormula>COUNTA((BR3:BR35))</totalsRowFormula>
    </tableColumn>
    <tableColumn id="49" xr3:uid="{FEE5A281-6D4B-4D31-93CD-509A968E7773}" name="Uczelnie ilu podopiecznych będziesz oceniać?" totalsRowFunction="custom" totalsRowDxfId="57">
      <totalsRowFormula>COUNTA((BS3:BS35))</totalsRowFormula>
    </tableColumn>
    <tableColumn id="50" xr3:uid="{E5BA02DF-38AB-4F47-A962-51A6F161AE1D}" name="Jak się nazywa uczelnia, którą ukończył/a Twoja/Twój podopieczna/podopieczny? (proszę o wybranie jednej uczelni podlegającej ocenie)" totalsRowFunction="custom" totalsRowDxfId="56">
      <totalsRowFormula>COUNTA((BT3:BT35))</totalsRowFormula>
    </tableColumn>
    <tableColumn id="51" xr3:uid="{30EB9609-4A6A-4E64-AF9A-B63CB59DFA84}" name="W którym roku Twoja/Twój podopieczna/y ukończył/a studia (rok w którym uzyskano dyplom ukończenia studiów drugiego stopnia, albo pierwszego stopnia, jeśli nie uzyskano dyplomu 2. stopnia)?" totalsRowFunction="custom" totalsRowDxfId="55">
      <totalsRowFormula>COUNTA((BU3:BU35))</totalsRowFormula>
    </tableColumn>
    <tableColumn id="52" xr3:uid="{2D5E47C8-051A-480B-B96D-83E7709F1700}" name="Czy ukończony kierunek był kierunkiem technicznym, tzn. takim, po którym uzyskano tytuł inżyniera?" totalsRowFunction="custom" totalsRowDxfId="54">
      <totalsRowFormula>COUNTA((BV3:BV35))</totalsRowFormula>
    </tableColumn>
    <tableColumn id="53" xr3:uid="{D51D9DD7-878A-415B-B2F8-02F53EBFA22A}" name="Jak się nazywa kierunek, który ukończył/a Twoja/Twój podopieczna/podopieczny?" totalsRowFunction="custom" totalsRowDxfId="53">
      <totalsRowFormula>COUNTA((BW3:BW35))</totalsRowFormula>
    </tableColumn>
    <tableColumn id="54" xr3:uid="{D3DB1C46-F931-4289-86D2-779EC4340002}" name="Moja satysfakcja z (efektów) usług edukacyjnych ocenianej uczelni jest wysoka.8" totalsRowFunction="custom" totalsRowDxfId="52">
      <totalsRowFormula>COUNTA((BX3:BX35))</totalsRowFormula>
    </tableColumn>
    <tableColumn id="55" xr3:uid="{FC532F03-86AD-4521-9C9D-42FA860A53FB}" name="Usługi edukacyjne ocenianej uczelni mają wysoką wartość (okazja / szansa rozwoju własnego lub kariery).9" totalsRowFunction="custom" totalsRowDxfId="51">
      <totalsRowFormula>COUNTA((BY3:BY35))</totalsRowFormula>
    </tableColumn>
    <tableColumn id="56" xr3:uid="{ADE01F9E-A39A-4B42-8796-82BBD1C5DB09}" name="Kształcenie na ocenianej uczelni ma/będzie miało pozytywny wpływ na zwiększenie zarobków mojej/mojego podopiecznej/podopiecznego." totalsRowFunction="custom" totalsRowDxfId="50">
      <totalsRowFormula>COUNTA((BZ3:BZ35))</totalsRowFormula>
    </tableColumn>
    <tableColumn id="57" xr3:uid="{FFCB5E84-520B-4C48-BCFC-FA651BC12FE5}" name="Zarobki uzyskiwane przez mojego/moją podopieczną/podopiecznego w pierwszym roku po ukończeniu studiów były satysfakcjonujące (z mojego punktu widzenia)" totalsRowFunction="custom" totalsRowDxfId="49">
      <totalsRowFormula>COUNTA((CA3:CA35))</totalsRowFormula>
    </tableColumn>
    <tableColumn id="58" xr3:uid="{D6856550-859E-4C25-987B-935AD584E7BC}" name="Zarobki uzyskiwane przez mojego/moją podopieczną/podopiecznego w 3 lata po ukończeniu studiów były satysfakcjonujące (z mojego punktu widzenia)" totalsRowFunction="custom" totalsRowDxfId="48">
      <totalsRowFormula>COUNTA((CB3:CB35))</totalsRowFormula>
    </tableColumn>
    <tableColumn id="59" xr3:uid="{7015271F-B6F8-4AE8-996F-41E988DD71C6}" name="W ile miesięcy po ukończeniu studiów Twoja/Twój podopieczna/podopieczny uzyskał/a zatrudnienie? Proszę podać liczbę miesięcy lub wpisać inną opcję (np. praca przed ukończeniem studiów; założenie własnej firmy; nie zamierzam pracować)" totalsRowFunction="custom" totalsRowDxfId="47">
      <totalsRowFormula>COUNTA((CC3:CC35))</totalsRowFormula>
    </tableColumn>
    <tableColumn id="60" xr3:uid="{847514F8-F661-4B2D-88BE-10ABFD806894}" name="Jakie inne (poza zarobkami) efekty kształcenia na ocenianej uczelni się dostrzegasz obecnie?" totalsRowFunction="custom" totalsRowDxfId="46">
      <totalsRowFormula>COUNTA((CD3:CD35))</totalsRowFormula>
    </tableColumn>
    <tableColumn id="61" xr3:uid="{8B4485AE-C106-41C7-89AC-D28DBDA4C166}" name="Jakiego rodzaju były studia, które ukończył/a Twoja/Twój podopieczna/podopieczny?" totalsRowFunction="custom" totalsRowDxfId="45">
      <totalsRowFormula>COUNTA((CE3:CE35))</totalsRowFormula>
    </tableColumn>
    <tableColumn id="62" xr3:uid="{F0DE0B1C-928B-4581-8D63-11188CD95233}" name="Pole dodatkowe10" totalsRowFunction="custom" totalsRowDxfId="44">
      <totalsRowFormula>COUNTA((CF3:CF35))</totalsRowFormula>
    </tableColumn>
    <tableColumn id="63" xr3:uid="{8E46F3BC-7F63-49DA-A043-B5C618E92A15}" name="Jeśli Twoja/Twój podopieczna/podopieczny ukończył/a również inne szkoły / kierunki studiów to proszę wpisz je tutaj." totalsRowFunction="custom" totalsRowDxfId="43">
      <totalsRowFormula>COUNTA((CG3:CG35))</totalsRowFormula>
    </tableColumn>
    <tableColumn id="64" xr3:uid="{08619068-F1EA-4298-AAE7-77A34A620074}" name="Czy będziesz oceniał uczelnię ukończoną przez drugiego podopiecznego?" totalsRowFunction="custom" totalsRowDxfId="42">
      <totalsRowFormula>COUNTA((CH3:CH35))</totalsRowFormula>
    </tableColumn>
    <tableColumn id="65" xr3:uid="{DABFBBCE-1FAE-47A8-9F22-7E5D764A0D51}" name="Jak się nazywa uczelnia, którą ukończył/a Twoja/Twój podopieczna/podopieczny? (proszę o wybranie jednej uczelni podlegającej ocenie)11" totalsRowFunction="custom" totalsRowDxfId="41">
      <totalsRowFormula>COUNTA((CI3:CI35))</totalsRowFormula>
    </tableColumn>
    <tableColumn id="66" xr3:uid="{83F942E9-D246-4361-AA3D-7F603F397E8D}" name="W którym roku Twoja/Twój podopieczna/y ukończył/a studia (rok w którym uzyskano dyplom ukończenia studiów drugiego stopnia, albo pierwszego stopnia, jeśli nie uzyskano dyplomu 2. stopnia)?12" totalsRowFunction="custom" totalsRowDxfId="40">
      <totalsRowFormula>COUNTA((CJ3:CJ35))</totalsRowFormula>
    </tableColumn>
    <tableColumn id="67" xr3:uid="{1C6ADC27-9F30-4227-81CE-3C15A0D6C10C}" name="Czy ukończony kierunek był kierunkiem technicznym, tzn. takim, po którym uzyskano tytuł inżyniera?13" totalsRowFunction="custom" totalsRowDxfId="39">
      <totalsRowFormula>COUNTA((CK3:CK35))</totalsRowFormula>
    </tableColumn>
    <tableColumn id="68" xr3:uid="{94C8B518-4547-40DD-AC32-B5C834F0511E}" name="Jak się nazywa kierunek, który ukończył/a Twoja/Twój podopieczna/podopieczny?14" totalsRowFunction="custom" totalsRowDxfId="38">
      <totalsRowFormula>COUNTA((CL3:CL35))</totalsRowFormula>
    </tableColumn>
    <tableColumn id="69" xr3:uid="{00BE12AC-CBE0-47D5-8BEF-A62C47DFED23}" name="Moja satysfakcja z (efektów) usług edukacyjnych ocenianej uczelni jest wysoka.15" totalsRowFunction="custom" totalsRowDxfId="37">
      <totalsRowFormula>COUNTA((CM3:CM35))</totalsRowFormula>
    </tableColumn>
    <tableColumn id="70" xr3:uid="{D1A7746F-F4B7-4351-BB70-448903B08063}" name="Usługi edukacyjne ocenianej uczelni mają wysoką wartość (okazja / szansa rozwoju własnego lub kariery).16" totalsRowFunction="custom" totalsRowDxfId="36">
      <totalsRowFormula>COUNTA((CN3:CN35))</totalsRowFormula>
    </tableColumn>
    <tableColumn id="71" xr3:uid="{6112D901-D11B-4C1B-B41D-9098A3465773}" name="Kształcenie na ocenianej uczelni ma/będzie miało pozytywny wpływ na zwiększenie zarobków mojej/mojego podopiecznej/podopiecznego.17" totalsRowFunction="custom" totalsRowDxfId="35">
      <totalsRowFormula>COUNTA((CO3:CO35))</totalsRowFormula>
    </tableColumn>
    <tableColumn id="72" xr3:uid="{7570ACA6-EA5B-4EB6-837A-10BFCB5E0358}" name="Zarobki uzyskiwane przez mojego/moją podopieczną/podopiecznego w pierwszym roku po ukończeniu studiów były satysfakcjonujące (z mojego punktu widzenia)18" totalsRowFunction="custom" totalsRowDxfId="34">
      <totalsRowFormula>COUNTA((CP3:CP35))</totalsRowFormula>
    </tableColumn>
    <tableColumn id="73" xr3:uid="{8082EBCE-9058-4F2B-90FE-A0801CAEF8D5}" name="Zarobki uzyskiwane przez mojego/moją podopieczną/podopiecznego w 3 lata po ukończeniu studiów były satysfakcjonujące (z mojego punktu widzenia)19" totalsRowFunction="custom" totalsRowDxfId="33">
      <totalsRowFormula>COUNTA((CQ3:CQ35))</totalsRowFormula>
    </tableColumn>
    <tableColumn id="74" xr3:uid="{4F5F48DC-6369-459A-8FDA-DCEB2EA19578}" name="W ile miesięcy po ukończeniu studiów Twoja/Twój podopieczna/podopieczny uzyskał/a zatrudnienie? Proszę podać liczbę miesięcy lub wpisać inną opcję (np. praca przed ukończeniem studiów; założenie własnej firmy; nie zamierzam pracować)20" totalsRowFunction="custom" totalsRowDxfId="32">
      <totalsRowFormula>COUNTA((CR3:CR35))</totalsRowFormula>
    </tableColumn>
    <tableColumn id="75" xr3:uid="{54EF7743-0CB2-446D-9665-46C77C464F05}" name="Jakie inne (poza zarobkami) efekty kształcenia na ocenianej uczelni się dostrzegasz obecnie?21" totalsRowFunction="custom" totalsRowDxfId="31">
      <totalsRowFormula>COUNTA((CS3:CS35))</totalsRowFormula>
    </tableColumn>
    <tableColumn id="76" xr3:uid="{BE93B27C-1906-4695-BEC1-231FA6883C68}" name="Jakiego rodzaju były studia, które ukończył/a Twoja/Twój podopieczna/podopieczny?22" totalsRowFunction="custom" totalsRowDxfId="30">
      <totalsRowFormula>COUNTA((CT3:CT35))</totalsRowFormula>
    </tableColumn>
    <tableColumn id="77" xr3:uid="{C2670D09-B14E-48CE-8D3B-FD4F08474C2E}" name="Pole dodatkowe23" totalsRowFunction="custom" totalsRowDxfId="29">
      <totalsRowFormula>COUNTA((CU3:CU35))</totalsRowFormula>
    </tableColumn>
    <tableColumn id="78" xr3:uid="{52CA9D8D-0AC4-426B-BA8B-D9983F77052C}" name="Jeśli Twoja/Twój podopieczna/podopieczny ukończył/a również inne szkoły / kierunki studiów to proszę wpisz je tutaj.24" totalsRowFunction="custom" totalsRowDxfId="28">
      <totalsRowFormula>COUNTA((CV3:CV35))</totalsRowFormula>
    </tableColumn>
    <tableColumn id="79" xr3:uid="{E97ECC9E-9FF4-4C29-9ADE-07B0EFB1798E}" name="Czy będziesz oceniał uczelnię ukończoną przez trzeciego podopiecznego?" totalsRowFunction="custom" totalsRowDxfId="27">
      <totalsRowFormula>COUNTA((CW3:CW35))</totalsRowFormula>
    </tableColumn>
    <tableColumn id="80" xr3:uid="{A33ABE47-EABE-4B85-B4E0-F0A4FFF2A996}" name="Jak się nazywa uczelnia, którą ukończył/a Twoja/Twój podopieczna/podopieczny? (proszę o wybranie jednej uczelni podlegającej ocenie)25" totalsRowFunction="custom" totalsRowDxfId="26">
      <totalsRowFormula>COUNTA((CX3:CX35))</totalsRowFormula>
    </tableColumn>
    <tableColumn id="81" xr3:uid="{7BBACD05-331A-4A25-9DAB-46ACB262ECFF}" name="W którym roku Twoja/Twój podopieczna/y ukończył/a studia (rok w którym uzyskano dyplom ukończenia studiów drugiego stopnia, albo pierwszego stopnia, jeśli nie uzyskano dyplomu 2. stopnia)?26" totalsRowFunction="custom" totalsRowDxfId="25">
      <totalsRowFormula>COUNTA((CY3:CY35))</totalsRowFormula>
    </tableColumn>
    <tableColumn id="82" xr3:uid="{E402E02B-32F9-4918-AC52-1E2746EFF732}" name="Czy ukończony kierunek był kierunkiem technicznym, tzn. takim, po którym uzyskano tytuł inżyniera?27" totalsRowFunction="custom" totalsRowDxfId="24">
      <totalsRowFormula>COUNTA((CZ3:CZ35))</totalsRowFormula>
    </tableColumn>
    <tableColumn id="83" xr3:uid="{366FF8BB-67D0-4A1D-9E42-1C25C26E69CE}" name="Jak się nazywa kierunek, który ukończył/a Twoja/Twój podopieczna/podopieczny?28" totalsRowFunction="custom" totalsRowDxfId="23">
      <totalsRowFormula>COUNTA((DA3:DA35))</totalsRowFormula>
    </tableColumn>
    <tableColumn id="84" xr3:uid="{32321BD9-57CD-47D0-BD7D-B2AFCC1C3078}" name="Moja satysfakcja z (efektów) usług edukacyjnych ocenianej uczelni jest wysoka.29" totalsRowFunction="custom" totalsRowDxfId="22">
      <totalsRowFormula>COUNTA((DB3:DB35))</totalsRowFormula>
    </tableColumn>
    <tableColumn id="85" xr3:uid="{27DF5669-9BEE-4320-9001-51E16696F4B3}" name="Usługi edukacyjne ocenianej uczelni mają wysoką wartość (okazja / szansa rozwoju własnego lub kariery).30" totalsRowFunction="custom" totalsRowDxfId="21">
      <totalsRowFormula>COUNTA((DC3:DC35))</totalsRowFormula>
    </tableColumn>
    <tableColumn id="86" xr3:uid="{D4634990-E01E-4CA5-95A6-55E50F899DE1}" name="Kształcenie na ocenianej uczelni ma/będzie miało pozytywny wpływ na zwiększenie zarobków mojej/mojego podopiecznej/podopiecznego.31" totalsRowFunction="custom" totalsRowDxfId="20">
      <totalsRowFormula>COUNTA((DD3:DD35))</totalsRowFormula>
    </tableColumn>
    <tableColumn id="87" xr3:uid="{2364400B-E761-40D0-AE28-8284E5CD8C48}" name="Zarobki uzyskiwane przez mojego/moją podopieczną/podopiecznego w pierwszym roku po ukończeniu studiów były satysfakcjonujące (z mojego punktu widzenia)32" totalsRowFunction="custom" totalsRowDxfId="19">
      <totalsRowFormula>COUNTA((DE3:DE35))</totalsRowFormula>
    </tableColumn>
    <tableColumn id="88" xr3:uid="{2827967D-045B-4DF4-8F95-4979197AAA39}" name="Zarobki uzyskiwane przez mojego/moją podopieczną/podopiecznego w 3 lata po ukończeniu studiów były satysfakcjonujące (z mojego punktu widzenia)33" totalsRowFunction="custom" totalsRowDxfId="18">
      <totalsRowFormula>COUNTA((DF3:DF35))</totalsRowFormula>
    </tableColumn>
    <tableColumn id="89" xr3:uid="{160A1EA0-825B-4FD2-8C2D-2C768BED0D4C}" name="W ile miesięcy po ukończeniu studiów Twoja/Twój podopieczna/podopieczny uzyskał/a zatrudnienie? Proszę podać liczbę miesięcy lub wpisać inną opcję (np. praca przed ukończeniem studiów; założenie własnej firmy; nie zamierzam pracować)34" totalsRowFunction="custom" totalsRowDxfId="17">
      <totalsRowFormula>COUNTA((DG3:DG35))</totalsRowFormula>
    </tableColumn>
    <tableColumn id="90" xr3:uid="{5F53B8F1-FD09-4B74-AA23-7EDED9615A73}" name="Jakie inne (poza zarobkami) efekty kształcenia na ocenianej uczelni się dostrzegasz obecnie?35" totalsRowFunction="custom" totalsRowDxfId="16">
      <totalsRowFormula>COUNTA((DH3:DH35))</totalsRowFormula>
    </tableColumn>
    <tableColumn id="91" xr3:uid="{0049B607-BD4D-49EA-B5EE-E8E785ACDC34}" name="Jakiego rodzaju były studia, które ukończył/a Twoja/Twój podopieczna/podopieczny?36" totalsRowFunction="custom" totalsRowDxfId="15">
      <totalsRowFormula>COUNTA((DI3:DI35))</totalsRowFormula>
    </tableColumn>
    <tableColumn id="92" xr3:uid="{86B9680A-4D70-4DFA-8189-827F813E4B73}" name="Pole dodatkowe37" totalsRowFunction="custom" totalsRowDxfId="14">
      <totalsRowFormula>COUNTA((DJ3:DJ35))</totalsRowFormula>
    </tableColumn>
    <tableColumn id="93" xr3:uid="{7B56F444-36AC-424E-9E2D-FDA11AEA9557}" name="Jeśli Twoja/Twój podopieczna/podopieczny ukończył/a również inne szkoły / kierunki studiów to proszę wpisz je tutaj.38" totalsRowFunction="custom" totalsRowDxfId="13">
      <totalsRowFormula>COUNTA((DK3:DK35))</totalsRowFormula>
    </tableColumn>
    <tableColumn id="94" xr3:uid="{BA461F2C-93E1-4AB3-B06B-BCD05B9B9AA2}" name="Czy jesteś aktualnie pracownikiem administracyjnym uczelni wyższej?" totalsRowFunction="custom" dataDxfId="524" totalsRowDxfId="12">
      <totalsRowFormula>COUNTA((DL3:DL35))</totalsRowFormula>
    </tableColumn>
    <tableColumn id="95" xr3:uid="{CC91D31B-2D5C-4A29-85B6-D9AF8CC56A03}" name="Jak się nazywa uczelnia, na której pracujesz? (proszę o wybranie jednej uczelni podlegającej ocenie)"/>
    <tableColumn id="96" xr3:uid="{D61FC2E0-2F1A-46CE-81F7-F04BFC877920}" name="Na jakim wydziale pracujesz?"/>
    <tableColumn id="97" xr3:uid="{300F4679-00E1-4B9E-B532-64573A1DBE1A}" name="Moja satysfakcja z pracy na ocenianej uczelni jest wysoka."/>
    <tableColumn id="98" xr3:uid="{DA844B1B-79E9-46FC-BC4B-6B11049C2999}" name="Atmosfera w zespole współpracowników jest dobra."/>
    <tableColumn id="99" xr3:uid="{ABDBBFE1-DE57-483C-8C9C-92F3B0138B20}" name="Moje zarobki są satysfakcjonujące."/>
    <tableColumn id="100" xr3:uid="{5590F5A7-DB78-4A43-9FC1-D0B618468DFD}" name="Praca na ocenianej uczelni daje mi duże szanse rozwoju."/>
    <tableColumn id="101" xr3:uid="{E6614702-9DAF-4718-88AC-1B34B2FFA45F}" name="Wartość wykształcenia zdobywanego przez studentów ocenianej uczelni jest wysoka."/>
    <tableColumn id="102" xr3:uid="{958DF808-2493-4B6F-9C6E-AAB6E0334C22}" name="Zdobyte na ocenianej uczelni wykształcenie ma pozytywny wpływ na zwiększenie zarobków absolwentów."/>
    <tableColumn id="103" xr3:uid="{C927EB73-80BB-4FBF-A795-412A5BC72898}" name="Jakie inne (poza zarobkami) efekty kształcenia na ocenianej uczelni się dostrzegasz obecnie?39"/>
    <tableColumn id="104" xr3:uid="{FA4C6A3A-6499-459E-8B2D-52F5EC881411}" name="Czy jesteś aktualnie pracownikiem naukowym lub dydaktycznym uczelni wyższej?" totalsRowFunction="custom" dataDxfId="523" totalsRowDxfId="11">
      <totalsRowFormula>COUNTA((DV3:DV35))</totalsRowFormula>
    </tableColumn>
    <tableColumn id="105" xr3:uid="{DBE9A175-5C93-45CA-A32C-2E1B6E70A7D8}" name="Jak się nazywa uczelnia, na której pracujesz? (proszę o wybranie jednej uczelni podlegającej ocenie)40"/>
    <tableColumn id="106" xr3:uid="{D1DA21AE-0AF7-42D1-B884-614E365C8B29}" name="Na jakim wydziale pracujesz?41"/>
    <tableColumn id="107" xr3:uid="{30BF1554-2E1F-4C5B-8AA7-41A341D36F45}" name="Moja satysfakcja z pracy na ocenianej uczelni jest wysoka.42"/>
    <tableColumn id="108" xr3:uid="{86B56A76-036B-436D-9A0D-7EA9053BE0E8}" name="Atmosfera w zespole współpracowników jest dobra.43"/>
    <tableColumn id="109" xr3:uid="{6B3B8DA9-A54D-4C4A-8CB8-622B20E5FD8A}" name="Moje zarobki są satysfakcjonujące.44"/>
    <tableColumn id="110" xr3:uid="{098C38F1-6826-44BA-8763-0546027B48C7}" name="Praca na ocenianej uczelni daje mi duże szanse rozwoju.45"/>
    <tableColumn id="111" xr3:uid="{C5319DE7-4405-4698-B416-8FFD75EF7CB9}" name="Wartość wykształcenia zdobywanego przez studentów ocenianej uczelni jest wysoka.46"/>
    <tableColumn id="112" xr3:uid="{8F13CA3E-7F79-426C-A7BA-DAE8534A8AD5}" name="Zdobyte na ocenianej uczelni wykształcenie ma pozytywny wpływ na zwiększenie zarobków absolwentów.47"/>
    <tableColumn id="113" xr3:uid="{F8CD484C-78D3-47AC-9C6D-BFA373D7477A}" name="Jakie inne (poza zarobkami) efekty kształcenia na ocenianej uczelni dostrzegasz obecnie?48"/>
    <tableColumn id="114" xr3:uid="{FDDC1251-CF0A-4D8A-9B98-645DBB468EEC}" name="Czy jesteś przedstawicielem władz uczelni z grupy rektorów, prorektorów, dziekanów, prodziekanów, członków senatu lub członków rady uczelni?" totalsRowFunction="custom" dataDxfId="522" totalsRowDxfId="10">
      <totalsRowFormula>COUNTA((EF3:EF35))</totalsRowFormula>
    </tableColumn>
    <tableColumn id="115" xr3:uid="{79057283-1AFE-4024-B02F-DE0E296FE112}" name="Proszę podać pełnioną funkcję"/>
    <tableColumn id="116" xr3:uid="{224601A4-4EF6-4B33-B7F9-A1862E6E2F70}" name="Kolumna3"/>
    <tableColumn id="117" xr3:uid="{EBBC65E4-D276-4DBB-ADB8-C84B5DAC14EF}" name="Kolumna4"/>
    <tableColumn id="118" xr3:uid="{8B142577-6314-4DAF-AAF0-10AE8165EF6A}" name="Kolumna5"/>
    <tableColumn id="119" xr3:uid="{46788775-93B2-4840-B88F-D1BC0FA48588}" name="Jak się nazywa uczelnia którą będziesz oceniać (jako przedstawiciel jej władz)?"/>
    <tableColumn id="120" xr3:uid="{4B337EF1-D174-41A9-AF6F-E4610DA87A13}" name="Efekty działań ocenianej uczelni na rzesz jakości edukacji są dobre"/>
    <tableColumn id="121" xr3:uid="{D5ED17C6-B298-4712-B537-A67829472874}" name="Wartość wykształcenia zdobywanego przez studentów na ocenianej uczelni jest wysoka."/>
    <tableColumn id="122" xr3:uid="{44BA0466-DAC2-440E-AE66-F60F502BD6CA}" name="Zdobyte przez studentów ocenianej uczelni wykształcenie miało/ma pozytywny wpływ na ich zarobki."/>
    <tableColumn id="123" xr3:uid="{2E5873BB-1A96-4BC2-90A7-FB4FC0574B73}" name="Efekty działań ocenianej uczelni na rzecz jakości edukacji mają dobry wpływ na rozwój regionu."/>
    <tableColumn id="124" xr3:uid="{18BAE583-AFDE-42B8-A0F4-0E04F495366B}" name="Efekty działań ocenianej uczelni na rzecz jakości edukacji mają dobry wpływ na rozwój Polski."/>
    <tableColumn id="125" xr3:uid="{819E17BD-90F4-46A2-88B3-FDA985BD9DBC}" name="Współpraca ocenianej uczelni z biznesem ma pozytywne efekty dla rozwoju regionu / kraju."/>
    <tableColumn id="126" xr3:uid="{2A07530B-CE8B-4148-A4EE-DDDD3D61FC3F}" name="Ogólny poziom mojej satysfakcji z jakości usług edukacyjnych ocenianej uczelni jest wysoki."/>
    <tableColumn id="127" xr3:uid="{48DFB6C3-3532-43CF-9CEC-2D3E17F8E603}" name="Studenci : wybierz wartość z listy rozwijanej"/>
    <tableColumn id="128" xr3:uid="{2E117265-38B1-4C70-BC7B-0DD179A151B6}" name="Absolwenci : wybierz wartość z listy rozwijanej"/>
    <tableColumn id="129" xr3:uid="{540AD722-909F-42D3-8B65-38F245F6C691}" name="Rodzice absolwentów : wybierz wartość z listy rozwijanej"/>
    <tableColumn id="130" xr3:uid="{05208BC2-FC47-4D8E-A3D4-08BC22F26A51}" name="Pracownicy administracyjni : wybierz wartość z listy rozwijanej"/>
    <tableColumn id="131" xr3:uid="{F66754F5-B366-4B0E-86EA-4E5DEAEB78A6}" name="Pracownicy naukowi i dydaktyczni : wybierz wartość z listy rozwijanej"/>
    <tableColumn id="132" xr3:uid="{25A363C0-F9CB-4E94-9674-B87D150F59DD}" name="Pracodawcy : wybierz wartość z listy rozwijanej"/>
    <tableColumn id="133" xr3:uid="{4393CD53-71ED-4DD4-8504-FE9CB1EFD19A}" name="Władze samorządowe i centralne : wybierz wartość z listy rozwijanej"/>
    <tableColumn id="134" xr3:uid="{857B58C7-E3AC-4FA3-A9E7-766DCBF8B9DD}" name="Pole dodatkowe4"/>
    <tableColumn id="135" xr3:uid="{FABB5048-A006-4FA6-BD89-E0C049DF7CB6}" name="Studenci : wybierz wartość z listy rozwijanej5"/>
    <tableColumn id="136" xr3:uid="{27F57ECB-A953-4450-8288-91EBE2B4FDF3}" name="Absolwenci : wybierz wartość z listy rozwijanej6"/>
    <tableColumn id="137" xr3:uid="{17BBE3E4-800F-4AF2-913C-DD6BD9248184}" name="Rodzice absolwentów : wybierz wartość z listy rozwijanej7"/>
    <tableColumn id="138" xr3:uid="{BC7DED54-D5AE-4BB8-A204-976D06C91BC3}" name="Pracownicy administracyjni : wybierz wartość z listy rozwijanej8"/>
    <tableColumn id="139" xr3:uid="{F8AA9898-D277-47FC-8DEF-E43899BD6DD8}" name="Pracownicy naukowi i dydaktyczni : wybierz wartość z listy rozwijanej9"/>
    <tableColumn id="140" xr3:uid="{1DA8C901-22A5-466B-952A-AA3B1E2C5F8B}" name="Pracodawcy : wybierz wartość z listy rozwijanej10"/>
    <tableColumn id="141" xr3:uid="{78896CAB-8298-49B2-AF91-8CDDDCB1B689}" name="Władze samorządowe i centralne : wybierz wartość z listy rozwijanej11"/>
    <tableColumn id="142" xr3:uid="{35C8E46F-6E77-47D3-B07A-5374E21AB789}" name="Pole dodatkowe12"/>
    <tableColumn id="143" xr3:uid="{4A7C10A3-C1D0-48AA-9CCB-486C751BB4B2}" name="Czy jesteś przedstawicielem firmy, w której są zatrudniani absolwenci uczelni wyższych (tytuł licencjata, magistra lub wyższy)?" totalsRowFunction="custom" dataDxfId="521" totalsRowDxfId="9">
      <totalsRowFormula>COUNTA((FI3:FI35))</totalsRowFormula>
    </tableColumn>
    <tableColumn id="144" xr3:uid="{0542405C-852D-4FE2-A108-17C0CBA26365}" name="Czy w Twojej firmie są zatrudnieni absolwenci uczelni technicznych (posiadają tytuł inżyniera)?"/>
    <tableColumn id="145" xr3:uid="{D26F4BB2-00D1-440A-A847-B8669409D651}" name="Ile uczelni będziesz oceniać?"/>
    <tableColumn id="146" xr3:uid="{D0A052F8-9F27-4C10-8E04-DC08ABF7B3A8}" name="Jak się nazywa uczelnia, którą ocenisz? "/>
    <tableColumn id="147" xr3:uid="{D23DC0BC-C774-4868-8B32-31F9CC4D4B9E}" name="Moja satysfakcja z (efektów) usług edukacyjnych na ocenianej uczelni jest wysoka."/>
    <tableColumn id="148" xr3:uid="{A9518800-2280-4712-9AC2-8B85F5872CD8}" name="Kompetencje absolwentów ocenianej uczelni są wysokie."/>
    <tableColumn id="149" xr3:uid="{5E8E2F09-F216-4299-86D9-48A8D61A3E8F}" name="Zarobki absolwentów ocenianej uczelni zatrudnionych w mojej firmie są wyższe od zarobków absolwentów innych polskich uczelni."/>
    <tableColumn id="150" xr3:uid="{4AE983D3-F810-4C4B-9C3A-F482381771EB}" name="Czy w Twojej firmie są zatrudniani absolwenci uczelni w pierwszym roku po ukończeniu studiów (do 12 miesięcy od uzyskania dyplomu)?"/>
    <tableColumn id="151" xr3:uid="{765B5B91-45E6-42B6-A48C-C7B9EA3DB066}" name="Jakie kompetencje absolwentów ocenianej uczelni są w Twojej firmie najwyżej wyceniane?"/>
    <tableColumn id="152" xr3:uid="{8F935298-100E-40A1-8E36-1C8D71A23B3B}" name="Jakiego rodzaju prace wykonują absolwenci ocenianej uczelni w Twojej firmie?"/>
    <tableColumn id="153" xr3:uid="{E646E285-665A-4E9D-AFC6-CB2D667E4799}" name="Czy będziesz oceniał drugą uczelnię?"/>
    <tableColumn id="154" xr3:uid="{79356245-F605-46DA-BEA2-CE32B9B61B52}" name="Jak się nazywa uczelnia, którą ocenisz? 13"/>
    <tableColumn id="155" xr3:uid="{477D8DA0-EEAE-4872-86C2-7D320FDB1B64}" name="Moja satysfakcja z (efektów) usług edukacyjnych na ocenianej uczelni jest wysoka.14"/>
    <tableColumn id="156" xr3:uid="{A74A057C-BA63-4D9F-BEF8-556D8F2DD6CF}" name="Kompetencje absolwentów ocenianej uczelni są wysokie.15"/>
    <tableColumn id="157" xr3:uid="{0EC668D1-EC1C-4797-86B9-9899222CCCE8}" name="Zarobki absolwentów ocenianej uczelni zatrudnionych w mojej firmie są wyższe od zarobków absolwentów innych polskich uczelni.16"/>
    <tableColumn id="158" xr3:uid="{295364BE-7EF0-417E-BDC6-A79A164C8BCD}" name="Czy w Twojej firmie są zatrudniani absolwenci uczelni w pierwszym roku po ukończeniu studiów (do 12 miesięcy od uzyskania dyplomu)?17"/>
    <tableColumn id="159" xr3:uid="{34B20DAA-F9BD-4AAB-B91A-FDF05CB45B29}" name="Jakie kompetencje absolwentów ocenianej uczelni są w Twojej firmie najwyżej wyceniane?18"/>
    <tableColumn id="160" xr3:uid="{A6E7E71E-FB97-4848-8E34-F6013738C9CA}" name="Jakiego rodzaju prace wykonują absolwenci ocenianej uczelni w Twojej firmie?19"/>
    <tableColumn id="161" xr3:uid="{361501F9-92B0-4B1C-A1CA-9B5FFB07C82C}" name="Czy będziesz oceniał trzecią uczelnię techniczną?"/>
    <tableColumn id="162" xr3:uid="{50A1D62B-4A48-4EA1-BD7B-B1480F7716B4}" name="Jak się nazywa uczelnia, którą ocenisz? 20"/>
    <tableColumn id="163" xr3:uid="{5817BCF1-5B5E-4B69-886E-0B8AFD95CABB}" name="Moja satysfakcja z (efektów) usług edukacyjnych na ocenianej uczelni jest wysoka.21"/>
    <tableColumn id="164" xr3:uid="{4BC6B8AB-DCCF-425D-A202-68BFF665E807}" name="Kompetencje absolwentów ocenianej uczelni są wysokie.22"/>
    <tableColumn id="165" xr3:uid="{6B1038F2-2344-4A68-B089-916830681C64}" name="Zarobki absolwentów ocenianej uczelni zatrudnionych w mojej firmie są wyższe od zarobków absolwentów innych polskich uczelni.23"/>
    <tableColumn id="166" xr3:uid="{504774C1-DC8F-439A-A5F2-09F9D25D16AC}" name="Czy w Twojej firmie są zatrudniani absolwenci uczelni w pierwszym roku po ukończeniu studiów (do 12 miesięcy od uzyskania dyplomu)?24"/>
    <tableColumn id="167" xr3:uid="{CB329130-6E78-45C6-BC42-52AFDE868C17}" name="Jakie kompetencje absolwentów ocenianej uczelni są w Twojej firmie najwyżej wyceniane?25"/>
    <tableColumn id="168" xr3:uid="{0352DFAE-182F-477F-8A97-C57D56812C7B}" name="Jakiego rodzaju prace wykonują absolwenci ocenianej uczelni są w Twojej firmie?"/>
    <tableColumn id="169" xr3:uid="{DEDE90BF-9BA8-427D-8A48-244A67838BFD}" name="Czy jesteś przedstawicielem władz samorządowych lub centralnych Rzeczypospolitej Polskiej?" totalsRowFunction="custom" dataDxfId="520" totalsRowDxfId="8">
      <totalsRowFormula>COUNTA((GI3:GI35))</totalsRowFormula>
    </tableColumn>
    <tableColumn id="170" xr3:uid="{09482B80-D2E3-404F-8BD0-FBF6165AE3B7}" name="Proszę wskaż jaki poziom władzy samorządowej lub centralnej reprezentujesz."/>
    <tableColumn id="171" xr3:uid="{9DB8253A-2CA4-40E1-B6DE-B28232B608FB}" name="Proszę o podanie nazwy organu władzy jaki reprezentujesz."/>
    <tableColumn id="172" xr3:uid="{F5C577A3-C74C-447A-B90F-8A733D90E81E}" name="Ile uczelni będziesz oceniać?26"/>
    <tableColumn id="173" xr3:uid="{A4791DF5-1125-44B0-9174-049B8CD011B2}" name="Jak się nazywa uczelnia, którą ocenisz?"/>
    <tableColumn id="174" xr3:uid="{6ECE81D9-D96C-4F0A-8579-8E21720F2108}" name="Efekty działań ocenianej uczelni na rzesz jakości edukacji są zgodne ze strategią rozwoju w regionie."/>
    <tableColumn id="175" xr3:uid="{9393564E-9515-49AC-B2D1-7916B49C9962}" name="Wartość wykształcenia zdobywanego przez studentów na ocenianej uczelni jest wysoka.27"/>
    <tableColumn id="176" xr3:uid="{EA9AC487-1305-4E63-A317-A80BA9526418}" name="Zdobyte przez studentów ocenianej uczelni wykształcenie miało/ma pozytywny wpływ na ich zarobki.28"/>
    <tableColumn id="177" xr3:uid="{372C3A33-D2A8-40C2-903A-FACC9E1623FE}" name="Efekty działań ocenianej uczelni na rzecz jakości edukacji mają dobry wpływ na rozwój regionu.29"/>
    <tableColumn id="178" xr3:uid="{95BC7FCD-00E0-496B-BE88-38F525C70D45}" name="Efekty działań ocenianej uczelni na rzecz jakości edukacji mają dobry wpływ na rozwój Polski.30"/>
    <tableColumn id="179" xr3:uid="{92FCBF08-B28E-4119-BBD8-B7D17E48EDCE}" name="Współpraca ocenianej uczelni z biznesem ma pozytywne efekty dla rozwoju regionu / kraju.31"/>
    <tableColumn id="180" xr3:uid="{D61FE176-1F86-40BD-A929-3F3788F86A36}" name="Ogólny poziom mojej satysfakcji z jakości usług edukacyjnych ocenianej uczelni jest wysoki.32"/>
    <tableColumn id="181" xr3:uid="{BA43D6D3-EF53-49B7-B138-31D81D9CBF80}" name="Pole dodatkowe33"/>
    <tableColumn id="182" xr3:uid="{48C10D43-20D3-4AB3-9C5E-C2F177B8F813}" name="Jakie inne efekty pracy ocenianej uczelni technicznej dostrzegasz obecnie?"/>
    <tableColumn id="183" xr3:uid="{E5C392A9-34C0-40A9-97D5-4AD3D0AF641C}" name="Czy będziesz oceniać drugą uczelnię?"/>
    <tableColumn id="184" xr3:uid="{2D102F3C-6582-4FA9-B1E9-AC6AF1C3D0C8}" name="Jak się nazywa uczelnia, którą ocenisz?34"/>
    <tableColumn id="185" xr3:uid="{A26248A6-B5B1-4142-AE77-DB78554E0C12}" name="Efekty działań ocenianej uczelni na rzesz jakości edukacji są zgodne ze strategią rozwoju w regionie.35"/>
    <tableColumn id="186" xr3:uid="{46C0823D-B498-466A-B925-AF01CEDFB5B7}" name="Wartość wykształcenia zdobywanego przez studentów na ocenianej uczelni jest wysoka.36"/>
    <tableColumn id="187" xr3:uid="{DC4F22A0-349C-41FB-B16D-C88573400530}" name="Zdobyte przez studentów ocenianej uczelni wykształcenie miało/ma pozytywny wpływ na ich zarobki.37"/>
    <tableColumn id="188" xr3:uid="{2317825A-0182-405B-9938-47B93C2AB204}" name="Efekty działań ocenianej uczelni na rzecz jakości edukacji mają dobry wpływ na rozwój regionu.38"/>
    <tableColumn id="189" xr3:uid="{538E8C33-1B51-4A92-BF91-771E2EA41B63}" name="Efekty działań ocenianej uczelni na rzecz jakości edukacji mają dobry wpływ na rozwój Polski.39"/>
    <tableColumn id="190" xr3:uid="{C2F2FAD7-6EC6-4619-B269-764FC712CA97}" name="Współpraca ocenianej uczelni z biznesem ma pozytywne efekty dla rozwoju regionu / kraju.40"/>
    <tableColumn id="191" xr3:uid="{8D535238-B1AE-439F-825C-EE1747634F0F}" name="Ogólny poziom mojej satysfakcji z jakości usług edukacyjnych ocenianej uczelni jest wysoki.41"/>
    <tableColumn id="192" xr3:uid="{8DE5FD9B-BB23-43B7-9994-0496EF113153}" name="Jakie inne efekty pracy ocenianej uczelni dostrzegasz obecnie?"/>
    <tableColumn id="193" xr3:uid="{BA0DB930-4EE9-4A5A-B4F1-0FB11E9BF9AF}" name="Czy będziesz oceniać trzecią uczelnię?"/>
    <tableColumn id="194" xr3:uid="{971FCFA2-B652-42FD-9DBF-50B0B3B1E552}" name="Jak się nazywa uczelnia, którą ocenisz?42"/>
    <tableColumn id="195" xr3:uid="{6892A103-C416-4512-8F3A-E3F7DE313A11}" name="Efekty działań ocenianej uczelni na rzesz jakości edukacji są zgodne ze strategią rozwoju w regionie.43"/>
    <tableColumn id="196" xr3:uid="{1EA9214D-FC1D-4833-8B35-54D185B0EB45}" name="Wartość wykształcenia zdobywanego przez studentów na ocenianej uczelni jest wysoka.44"/>
    <tableColumn id="197" xr3:uid="{FA735F0E-6819-4B90-B0FB-A47B74AA1F3F}" name="Zdobyte przez studentów ocenianej uczelni wykształcenie miało/ma pozytywny wpływ na ich zarobki.45"/>
    <tableColumn id="198" xr3:uid="{83B9F19D-02B6-4AE8-9E75-82A5E7A35BCD}" name="Efekty działań ocenianej uczelni na rzecz jakości edukacji mają dobry wpływ na rozwój regionu.46"/>
    <tableColumn id="199" xr3:uid="{51F96471-7ED9-44A3-A37D-71EFD3AE1847}" name="Efekty działań ocenianej uczelni na rzecz jakości edukacji mają dobry wpływ na rozwój Polski.47"/>
    <tableColumn id="200" xr3:uid="{852801C5-2A4F-4B16-AF3C-C6CCBE47C319}" name="Współpraca ocenianej uczelni z biznesem ma pozytywne efekty dla rozwoju regionu / kraju.48"/>
    <tableColumn id="201" xr3:uid="{80D62B07-4E86-494E-94CD-C9B6594E90BE}" name="Ogólny poziom mojej satysfakcji z jakości usług edukacyjnych ocenianej uczelni jest wysoki.49"/>
    <tableColumn id="202" xr3:uid="{19A0C86D-3DA7-4192-8C25-C118397DC41F}" name="Jakie inne efekty pracy ocenianej uczelni dostrzegasz obecnie?50"/>
    <tableColumn id="203" xr3:uid="{3B9489E1-4C55-4EEA-81CC-ED791914A227}" name="Jakie, Twoim zdaniem, elementy decydują o tym, że uczelnie są lepsze lub gorsze."/>
    <tableColumn id="204" xr3:uid="{898A1CBD-88FD-4FFC-BE88-745594E62592}" name="Kolumna51"/>
    <tableColumn id="205" xr3:uid="{304E36BE-6A35-4FEB-AC39-25366FE3B4A6}" name="Kolumna52"/>
    <tableColumn id="206" xr3:uid="{E5D1BCB7-A6F6-4520-A35F-2EBB184FC80F}" name="Płeć" totalsRowFunction="custom" totalsRowDxfId="7">
      <totalsRowFormula>COUNTA((HT3:HT35))</totalsRowFormula>
    </tableColumn>
    <tableColumn id="207" xr3:uid="{2B31368C-8BB4-45F5-A368-4A4E1AFFFE2E}" name="Rok urodzenia" totalsRowFunction="custom" totalsRowDxfId="6">
      <totalsRowFormula>COUNTA((HU3:HU35))</totalsRowFormula>
    </tableColumn>
    <tableColumn id="215" xr3:uid="{0DA27BC3-BCA7-4CF6-A54C-77E28EA17827}" name="GrupaWiekowa" dataDxfId="519" totalsRowDxfId="5">
      <calculatedColumnFormula>VLOOKUP(AnalizaCzyste[[#This Row],[Rok urodzenia]],KategorieWiekowe[],2,1)</calculatedColumnFormula>
    </tableColumn>
    <tableColumn id="208" xr3:uid="{2FBD8A01-45D3-42C7-BB1F-ACCA75E457A4}" name="Z jakiej wielkości miejscowości pochodzisz? (dotyczy miejscowości, w której się wychowałaś/eś" totalsRowFunction="custom" totalsRowDxfId="4">
      <totalsRowFormula>COUNTA((HW3:HW35))</totalsRowFormula>
    </tableColumn>
    <tableColumn id="209" xr3:uid="{40C0F4A2-88CA-4804-AB61-0C883C5C9CF7}" name="Pole dodatkowe52" totalsRowFunction="custom" totalsRowDxfId="3">
      <totalsRowFormula>COUNTA((HX3:HX35))</totalsRowFormula>
    </tableColumn>
    <tableColumn id="210" xr3:uid="{B1D5E2A4-3FA4-4D1D-ACA2-E506E6C3632D}" name="Jakie inne wykształcenie poza tym uwzględnionym w niniejszej ankiecie posiadasz? (ukończone szkoły/studia)" totalsRowFunction="custom" totalsRowDxfId="2">
      <totalsRowFormula>COUNTA((HY3:HY35))</totalsRowFormula>
    </tableColumn>
    <tableColumn id="211" xr3:uid="{C0DD7143-2468-4BEC-B88F-1EE24DB6D0F0}" name="Jakie inne wykształcenie poza tym uwzględnionym w niniejszej ankiecie zdobywasz? (nieukończone jeszcze lub przerwane szkoły/studia)" totalsRowFunction="custom" totalsRowDxfId="1">
      <totalsRowFormula>COUNTA((HZ3:HZ35))</totalsRowFormula>
    </tableColumn>
    <tableColumn id="212" xr3:uid="{BBEFA2DE-C721-4851-BE19-EA61889727D1}" name="Dziękuję za czas poświęcony na wypełnienie niniejszej ankiety. _x000a_Jeśli masz uwagi to proszę zamieść je poniżej._x000a_Po zakończeniu udzielania odpowiedzi proszę o naciśnięcie przycisku &quot;Zakończ&quot;." totalsRowFunction="custom" totalsRowDxfId="0">
      <totalsRowFormula>COUNTA((IA3:IA35))</totalsRow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3B5C4A-F9C7-4F57-A625-32E993ED50EE}" name="KategorieWiekowe" displayName="KategorieWiekowe" ref="B2:C8" totalsRowShown="0" headerRowDxfId="518">
  <autoFilter ref="B2:C8" xr:uid="{E63B5C4A-F9C7-4F57-A625-32E993ED50EE}"/>
  <tableColumns count="2">
    <tableColumn id="1" xr3:uid="{82964CF4-6EC9-45E3-BCAE-782CAA430102}" name="Wiek"/>
    <tableColumn id="2" xr3:uid="{A8B6ABC8-837D-42C0-B03A-97D5E2F5B5B7}" name="Kategorie wiekowe" dataDxfId="517"/>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53EF96D-20D3-4BD5-AB25-706F6B338490}" name="KategorieUczelni" displayName="KategorieUczelni" ref="B11:D41" totalsRowShown="0" headerRowDxfId="516">
  <autoFilter ref="B11:D41" xr:uid="{153EF96D-20D3-4BD5-AB25-706F6B338490}"/>
  <sortState xmlns:xlrd2="http://schemas.microsoft.com/office/spreadsheetml/2017/richdata2" ref="B12:D41">
    <sortCondition ref="B11:B41"/>
  </sortState>
  <tableColumns count="3">
    <tableColumn id="1" xr3:uid="{F3934641-58AD-451D-A35B-5D57D7E0E414}" name="Nazwa uczelni" dataDxfId="515"/>
    <tableColumn id="2" xr3:uid="{011F8DAE-7C60-444B-B4A2-78D05A325532}" name="Kategoria uczelni" dataDxfId="514"/>
    <tableColumn id="3" xr3:uid="{AE52D877-4E7F-452C-A07F-C076AC3B04E8}" name="Techniczna"/>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8DE2C12-96E3-4A1C-8B94-8F1447F9EB90}" name="SkalaLikerta" displayName="SkalaLikerta" ref="B44:D52" totalsRowShown="0" headerRowDxfId="513">
  <autoFilter ref="B44:D52" xr:uid="{68DE2C12-96E3-4A1C-8B94-8F1447F9EB90}"/>
  <tableColumns count="3">
    <tableColumn id="1" xr3:uid="{6B73594D-97F8-40B5-8D98-2D51B43C79AA}" name="Opis słowny oceny"/>
    <tableColumn id="2" xr3:uid="{804EFE98-5770-4860-8B57-889FCCD88199}" name="Przypisana wartość oceny"/>
    <tableColumn id="3" xr3:uid="{484B5656-683C-483B-9A8C-987F1B85A226}" name="Granice przedziałów" dataDxfId="512">
      <calculatedColumnFormula>1+6/7</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D26DE38-F7A2-4F97-87CE-56F2D813A5B5}" name="Tabl_tStudenta" displayName="Tabl_tStudenta" ref="C56:J176" totalsRowShown="0" headerRowDxfId="511">
  <autoFilter ref="C56:J176" xr:uid="{5D26DE38-F7A2-4F97-87CE-56F2D813A5B5}"/>
  <tableColumns count="8">
    <tableColumn id="1" xr3:uid="{87EDC6F7-8950-491A-8CAF-CF6610BCA33B}" name="Poziom istotności / _x000a_stopnie swobody" dataDxfId="510"/>
    <tableColumn id="2" xr3:uid="{F106C8A1-9E83-4F2B-9ACF-D9BBF496E3D6}" name="0,5">
      <calculatedColumnFormula>TINV(D$56,$C57)</calculatedColumnFormula>
    </tableColumn>
    <tableColumn id="3" xr3:uid="{FB2EE989-5C5A-4A34-8625-A4D55FA08EDC}" name="0,2">
      <calculatedColumnFormula>TINV(E$56,$C57)</calculatedColumnFormula>
    </tableColumn>
    <tableColumn id="4" xr3:uid="{525470A6-6182-48FF-9215-A1B3BA3B527F}" name="0,1">
      <calculatedColumnFormula>TINV(F$56,$C57)</calculatedColumnFormula>
    </tableColumn>
    <tableColumn id="5" xr3:uid="{943C4579-50D5-4376-9842-B0BE2A23FD3F}" name="0,05">
      <calculatedColumnFormula>TINV(G$56,$C57)</calculatedColumnFormula>
    </tableColumn>
    <tableColumn id="6" xr3:uid="{DBDEB677-9711-494C-8239-B7BF19D26CB2}" name="0,01">
      <calculatedColumnFormula>TINV(H$56,$C57)</calculatedColumnFormula>
    </tableColumn>
    <tableColumn id="7" xr3:uid="{4466844B-B59B-4EDD-9B97-0367914A4B47}" name="0,005">
      <calculatedColumnFormula>TINV(I$56,$C57)</calculatedColumnFormula>
    </tableColumn>
    <tableColumn id="8" xr3:uid="{D35EFDD6-DAA8-48C8-AACA-5F967497B806}" name="0,001">
      <calculatedColumnFormula>TINV(J$56,$C57)</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B0D128A-46C3-497C-A070-B19EDC90314A}" name="InterpretacjaŚredniej" displayName="InterpretacjaŚredniej" ref="F44:G51" totalsRowShown="0" headerRowDxfId="509">
  <autoFilter ref="F44:G51" xr:uid="{0B0D128A-46C3-497C-A070-B19EDC90314A}"/>
  <tableColumns count="2">
    <tableColumn id="1" xr3:uid="{85BFDFE9-FEF0-48BD-8D34-235474A93582}" name="Wartość graniczna" dataDxfId="508"/>
    <tableColumn id="2" xr3:uid="{1807328A-696A-4241-94CB-E1EC739F6F81}" name="Interpretacja średniej" dataDxfId="50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ADB7DB-0A95-462C-92A1-BEAD31824E7F}" name="Analiza" displayName="Analiza" ref="A2:HF160" totalsRowCount="1">
  <autoFilter ref="A2:HF159" xr:uid="{BC01C17C-E729-4430-9A94-BDF77386BAED}"/>
  <sortState xmlns:xlrd2="http://schemas.microsoft.com/office/spreadsheetml/2017/richdata2" ref="A3:HF159">
    <sortCondition ref="A2:A159"/>
  </sortState>
  <tableColumns count="214">
    <tableColumn id="1" xr3:uid="{465F8281-5AF4-4BB0-A518-947E83CAACFF}" name="Lp."/>
    <tableColumn id="214" xr3:uid="{950CE949-C422-4F02-90EA-E03240F38224}" name="ID_zakończone" dataDxfId="453" totalsRowDxfId="452">
      <calculatedColumnFormula>_xlfn.IFNA(VLOOKUP(Analiza[[#This Row],[Zakończono wypełnianie]],Zakończone[],2,0),"BRAK")</calculatedColumnFormula>
    </tableColumn>
    <tableColumn id="213" xr3:uid="{21FBA976-232F-49E9-82A1-034812744A11}" name="ILE niepustych" dataDxfId="451" totalsRowDxfId="450">
      <calculatedColumnFormula>COUNTA(O3:HF3)</calculatedColumnFormula>
    </tableColumn>
    <tableColumn id="2" xr3:uid="{765CA815-52E0-467B-B346-4D5C3821D125}" name="Adres IP"/>
    <tableColumn id="3" xr3:uid="{30974F9A-51E4-4130-AA57-EE494FD23A54}" name="Kolektor"/>
    <tableColumn id="4" xr3:uid="{CAB36BB1-DE45-4D13-8280-BDCCA1741A28}" name="Adres referencyjny / Respondent email"/>
    <tableColumn id="5" xr3:uid="{F447150C-A1F9-4E71-BB64-34AB9E92A6CE}" name="Respondent imie"/>
    <tableColumn id="6" xr3:uid="{2E30E246-0E9E-40CF-BB9B-212D60FCE8A8}" name="Respondent nazwisko"/>
    <tableColumn id="7" xr3:uid="{148631F8-596D-45FF-92C2-05115A287716}" name="Respondent dodatkowe dane"/>
    <tableColumn id="8" xr3:uid="{F019591B-A5E4-41A2-A422-967B9D5943F3}" name="Status"/>
    <tableColumn id="9" xr3:uid="{FB6E1FBD-28B7-4F3E-A163-60EA7D76165F}" name="Rozpoczęto wypełnianie"/>
    <tableColumn id="10" xr3:uid="{0A24B641-B24A-4FD9-99DA-1CA7E5AA51ED}" name="Zakończono wypełnianie"/>
    <tableColumn id="11" xr3:uid="{0CA51730-CB1C-453C-B7F9-4F32502AD151}" name="Czas trwania (s)"/>
    <tableColumn id="12" xr3:uid="{A4C44391-AFD5-43C9-82AD-FF0526DD5211}" name="Punktacja"/>
    <tableColumn id="13" xr3:uid="{E8E65E82-A901-459C-9B10-2147C17C6997}" name="Czy jesteś osobą pełnoletnią?" totalsRowFunction="custom" totalsRowDxfId="449">
      <totalsRowFormula>COUNTA((O3:O159))</totalsRowFormula>
    </tableColumn>
    <tableColumn id="14" xr3:uid="{0BD7A98F-1F10-4FB8-B054-37BDD3B56396}" name="Czy jesteś studentem uczelni wyższej?" totalsRowFunction="custom" dataDxfId="448" totalsRowDxfId="447">
      <totalsRowFormula>COUNTA((P3:P159))</totalsRowFormula>
    </tableColumn>
    <tableColumn id="15" xr3:uid="{AB168C36-23BC-41CF-A8B7-C7F5F26BC59A}" name="Jak się nazywa uczelnia, na której studiujesz? (proszę o wybranie jednej uczelni podlegającej ocenie)" totalsRowFunction="custom" totalsRowDxfId="446">
      <totalsRowFormula>COUNTA((Q3:Q159))</totalsRowFormula>
    </tableColumn>
    <tableColumn id="16" xr3:uid="{854C4B62-EAE8-405A-96CD-32148FB75ABD}" name="Czy studiujesz na kierunku technicznym, tzn. takim, po którym uzyskasz tytuł inżyniera?" totalsRowFunction="custom" totalsRowDxfId="445">
      <totalsRowFormula>COUNTA((R3:R159))</totalsRowFormula>
    </tableColumn>
    <tableColumn id="17" xr3:uid="{24BCBB34-34C1-4984-962F-C53466F3EF8F}" name="Jak się nazywa kierunek, na którym studiujesz?" totalsRowFunction="custom" totalsRowDxfId="444">
      <totalsRowFormula>COUNTA((S3:S159))</totalsRowFormula>
    </tableColumn>
    <tableColumn id="18" xr3:uid="{9ADB9BCC-C1C9-4FDD-A2DF-FCC26DBEB749}" name="Moja satysfakcja z usług edukacyjnych ocenianej uczelni jest wysoka." totalsRowFunction="custom" totalsRowDxfId="443">
      <totalsRowFormula>COUNTA((T3:T159))</totalsRowFormula>
    </tableColumn>
    <tableColumn id="19" xr3:uid="{0765E0D2-1173-4D2D-98A3-B8C9EC813AB6}" name="Usługi edukacyjne ocenianej uczelni mają wysoką wartość (okazja / szansa rozwoju własnego lub kariery)." totalsRowFunction="custom" totalsRowDxfId="442">
      <totalsRowFormula>COUNTA((U3:U159))</totalsRowFormula>
    </tableColumn>
    <tableColumn id="20" xr3:uid="{B8B6DDB9-7682-4144-AB5B-DA2CE47AD589}" name="Kształcenie na ocenianej uczelni ma/będzie miało pozytywny wpływ na zwiększenie moich zarobków." totalsRowFunction="custom" totalsRowDxfId="441">
      <totalsRowFormula>COUNTA((V3:V159))</totalsRowFormula>
    </tableColumn>
    <tableColumn id="21" xr3:uid="{EAC188BA-5A2E-4D44-97B7-481328766AE0}" name="Kolumna1" totalsRowFunction="custom" totalsRowDxfId="440">
      <totalsRowFormula>COUNTA((W3:W159))</totalsRowFormula>
    </tableColumn>
    <tableColumn id="22" xr3:uid="{45CEF26A-2A20-4110-957F-4A81415F208F}" name="w pierwszym roku po ukończeniu studiów : wybierz wartość z listy rozwijanej" totalsRowFunction="custom" totalsRowDxfId="439">
      <totalsRowFormula>COUNTA((X3:X159))</totalsRowFormula>
    </tableColumn>
    <tableColumn id="23" xr3:uid="{36E47482-B5FD-4E87-827E-0139C02CF35C}" name="w 3 lata po ukończeniu studiów : wybierz wartość z listy rozwijanej" totalsRowFunction="custom" totalsRowDxfId="438">
      <totalsRowFormula>COUNTA((Y3:Y159))</totalsRowFormula>
    </tableColumn>
    <tableColumn id="24" xr3:uid="{8655FEEC-F7C8-48BC-B109-9244A7AB6BAC}" name="Jakich innych (poza zarobkami) efektów kształcenia na ocenianej uczelni się spodziewasz?" totalsRowFunction="custom" totalsRowDxfId="437">
      <totalsRowFormula>COUNTA((Z3:Z159))</totalsRowFormula>
    </tableColumn>
    <tableColumn id="25" xr3:uid="{D91B74B4-E8B9-401D-A7E4-820C4DF791D4}" name="Jakie elementy lub cechy sprawiały, że Tobie studiowało się dobrze?" totalsRowFunction="custom" totalsRowDxfId="436">
      <totalsRowFormula>COUNTA((AA3:AA159))</totalsRowFormula>
    </tableColumn>
    <tableColumn id="26" xr3:uid="{1E74CD43-D0E9-47B9-8442-05054D3E31F6}" name="Jakie elementy lub cechy sprawiały, że Tobie studiowało się źle?" totalsRowFunction="custom" totalsRowDxfId="435">
      <totalsRowFormula>COUNTA((AB3:AB159))</totalsRowFormula>
    </tableColumn>
    <tableColumn id="27" xr3:uid="{D0177BE1-4E02-4595-8669-95C494930B5B}" name="Jakiego rodzaju są Twoje studia?" totalsRowFunction="custom" totalsRowDxfId="434">
      <totalsRowFormula>COUNTA((AC3:AC159))</totalsRowFormula>
    </tableColumn>
    <tableColumn id="28" xr3:uid="{3597DDE1-E56A-406C-8EDD-22E18D515174}" name="Pole dodatkowe" totalsRowFunction="custom" totalsRowDxfId="433">
      <totalsRowFormula>COUNTA((AD3:AD159))</totalsRowFormula>
    </tableColumn>
    <tableColumn id="29" xr3:uid="{66ED4699-908F-4DD2-BD11-F0A6AA4499D4}" name="Na którym semestrze studiujesz obecnie?" totalsRowFunction="custom" totalsRowDxfId="432">
      <totalsRowFormula>COUNTA((AE3:AE159))</totalsRowFormula>
    </tableColumn>
    <tableColumn id="30" xr3:uid="{665AE932-5635-468D-B539-28624FF56492}" name="Czy jesteś absolwentem uczelni wyższej?" totalsRowFunction="custom" dataDxfId="431" totalsRowDxfId="430">
      <totalsRowFormula>COUNTA((AF3:AF159))</totalsRowFormula>
    </tableColumn>
    <tableColumn id="31" xr3:uid="{6D42BC0A-E5D6-447B-8744-250407520358}" name="Jak się nazywa uczelnia którą ukończyłeś? (proszę o wybranie jednej uczelni podlegającej ocenie)" totalsRowFunction="custom" totalsRowDxfId="429">
      <totalsRowFormula>COUNTA((AG3:AG159))</totalsRowFormula>
    </tableColumn>
    <tableColumn id="32" xr3:uid="{98CD8724-008F-40DD-802A-1E19F38958A9}" name="W którym roku ukończyłaś/eś studia (rok w którym uzyskano dyplom ukończenia studiów drugiego stopnia, albo pierwszego stopnia, jeśli nie uzyskano dyplomu 2. stopnia)?" totalsRowFunction="custom" totalsRowDxfId="428">
      <totalsRowFormula>COUNTA((AH3:AH159))</totalsRowFormula>
    </tableColumn>
    <tableColumn id="33" xr3:uid="{FA60BF2C-8D84-4777-836B-1FF0604F1C9C}" name="Czy ukończony kierunek był kierunkiem technicznym, tzn. takim, po którym uzyskałaś/eś tytuł inżyniera?" totalsRowFunction="custom" totalsRowDxfId="427">
      <totalsRowFormula>COUNTA((AI3:AI159))</totalsRowFormula>
    </tableColumn>
    <tableColumn id="34" xr3:uid="{ADAE23AC-8F73-4453-AC5D-FE2116FA8AF9}" name="Jak się nazywa kierunek, który ukończyłaś/eś?" totalsRowFunction="custom" totalsRowDxfId="426">
      <totalsRowFormula>COUNTA((AJ3:AJ159))</totalsRowFormula>
    </tableColumn>
    <tableColumn id="35" xr3:uid="{428C07E3-7968-48E6-A4DA-496F1181FEB2}" name="Moja satysfakcja z (efektów) usług edukacyjnych ocenianej uczelni jest wysoka." totalsRowFunction="custom" totalsRowDxfId="425">
      <totalsRowFormula>COUNTA((AK3:AK159))</totalsRowFormula>
    </tableColumn>
    <tableColumn id="36" xr3:uid="{7E3FB4AF-502F-4F5F-80C8-50BD2F50FD94}" name="Usługi edukacyjne ocenianej uczelni mają wysoką wartość (okazja / szansa rozwoju własnego lub kariery).3" totalsRowFunction="custom" totalsRowDxfId="424">
      <totalsRowFormula>COUNTA((AL3:AL159))</totalsRowFormula>
    </tableColumn>
    <tableColumn id="37" xr3:uid="{13B29A8A-9864-47D3-8D85-03ADE3F9CFBD}" name="Kształcenie na ocenianej uczelni ma/miało pozytywny wpływ na zwiększenie moich zarobków." totalsRowFunction="custom" totalsRowDxfId="423">
      <totalsRowFormula>COUNTA((AM3:AM159))</totalsRowFormula>
    </tableColumn>
    <tableColumn id="38" xr3:uid="{9D91EBF3-6BD2-4E2B-A118-A8EA8C2FF810}" name="Moje zarobki w pierwszym roku po ukończeniu studiów były satysfakcjonujące." totalsRowFunction="custom" totalsRowDxfId="422">
      <totalsRowFormula>COUNTA((AN3:AN159))</totalsRowFormula>
    </tableColumn>
    <tableColumn id="39" xr3:uid="{4C05D2D8-542C-4CD2-B02B-74A6107B9906}" name="Moje zarobki po 3. latach po ukończeniu studiów były satysfakcjonujące." totalsRowFunction="custom" totalsRowDxfId="421">
      <totalsRowFormula>COUNTA((AO3:AO159))</totalsRowFormula>
    </tableColumn>
    <tableColumn id="40" xr3:uid="{DEDADD55-6230-4583-B52F-F72A8341F13C}" name="W ile miesięcy po ukończeniu studiów uzyskałaś/eś zatrudnienie? Proszę podać liczbę miesięcy lub wpisać inną opcję (np. praca przed ukończeniem studiów; założenie własnej firmy; nie zamierzam pracować)" totalsRowFunction="custom" totalsRowDxfId="420">
      <totalsRowFormula>COUNTA((AP3:AP159))</totalsRowFormula>
    </tableColumn>
    <tableColumn id="41" xr3:uid="{17F2CC62-23FF-4121-AD9B-57CD659BC75D}" name="w pierwszym roku po ukończeniu studiów : wybierz wartość z listy rozwijanej4" totalsRowFunction="custom" totalsRowDxfId="419">
      <totalsRowFormula>COUNTA((AQ3:AQ159))</totalsRowFormula>
    </tableColumn>
    <tableColumn id="42" xr3:uid="{4CAB053F-2163-4455-9A70-0A489C75ED6D}" name="w 3 lata po ukończeniu studiów : wybierz wartość z listy rozwijanej5" totalsRowFunction="custom" totalsRowDxfId="418">
      <totalsRowFormula>COUNTA((AR3:AR159))</totalsRowFormula>
    </tableColumn>
    <tableColumn id="43" xr3:uid="{ED349003-2383-4091-A70C-5B26539031D1}" name="Jakie inne (poza zarobkami) efekty kształcenia na ocenianej uczelni dostrzegasz obecnie?" totalsRowFunction="custom" totalsRowDxfId="417">
      <totalsRowFormula>COUNTA((AS3:AS159))</totalsRowFormula>
    </tableColumn>
    <tableColumn id="44" xr3:uid="{C9AA4BEA-8991-4F56-A7E1-DA0762C2B486}" name="Co wpływało na twoją satysfakcję ze studiowania?_x000a_" totalsRowFunction="custom" totalsRowDxfId="416">
      <totalsRowFormula>COUNTA((AT3:AT159))</totalsRowFormula>
    </tableColumn>
    <tableColumn id="45" xr3:uid="{00A5350A-103D-4E86-99F7-01E1F081E96E}" name="Kolumna6" totalsRowFunction="custom" totalsRowDxfId="415">
      <totalsRowFormula>COUNTA((AU3:AU159))</totalsRowFormula>
    </tableColumn>
    <tableColumn id="46" xr3:uid="{AB30AA0A-ADAF-4A76-852B-9C6171DBA36D}" name="Jakiego rodzaju były Twoje studia?" totalsRowFunction="custom" totalsRowDxfId="414">
      <totalsRowFormula>COUNTA((AV3:AV159))</totalsRowFormula>
    </tableColumn>
    <tableColumn id="47" xr3:uid="{156EF4B8-4A3F-4406-9CDE-324D32F939BA}" name="Pole dodatkowe7" totalsRowFunction="custom" totalsRowDxfId="413">
      <totalsRowFormula>COUNTA((AW3:AW159))</totalsRowFormula>
    </tableColumn>
    <tableColumn id="48" xr3:uid="{085D3107-411D-41F8-A270-88DCB1EAF46B}" name="Czy jesteś rodzicem / opiekunem absolwenta uczelni wyższej?" totalsRowFunction="custom" dataDxfId="412" totalsRowDxfId="411">
      <totalsRowFormula>COUNTA((AX3:AX159))</totalsRowFormula>
    </tableColumn>
    <tableColumn id="49" xr3:uid="{373F08C1-1889-416C-AADD-9D721E98EE00}" name="Uczelnie ilu podopiecznych będziesz oceniać?" totalsRowFunction="custom" totalsRowDxfId="410">
      <totalsRowFormula>COUNTA((AY3:AY159))</totalsRowFormula>
    </tableColumn>
    <tableColumn id="50" xr3:uid="{13D25B78-1174-488F-992E-7C87CC26F413}" name="Jak się nazywa uczelnia, którą ukończył/a Twoja/Twój podopieczna/podopieczny? (proszę o wybranie jednej uczelni podlegającej ocenie)" totalsRowFunction="custom" totalsRowDxfId="409">
      <totalsRowFormula>COUNTA((AZ3:AZ159))</totalsRowFormula>
    </tableColumn>
    <tableColumn id="51" xr3:uid="{8F26B0D9-AF54-4F97-BC2E-BAFF74458446}" name="W którym roku Twoja/Twój podopieczna/y ukończył/a studia (rok w którym uzyskano dyplom ukończenia studiów drugiego stopnia, albo pierwszego stopnia, jeśli nie uzyskano dyplomu 2. stopnia)?" totalsRowFunction="custom" totalsRowDxfId="408">
      <totalsRowFormula>COUNTA((BA3:BA159))</totalsRowFormula>
    </tableColumn>
    <tableColumn id="52" xr3:uid="{46B60108-007B-4727-8517-B149C9074216}" name="Czy ukończony kierunek był kierunkiem technicznym, tzn. takim, po którym uzyskano tytuł inżyniera?" totalsRowFunction="custom" totalsRowDxfId="407">
      <totalsRowFormula>COUNTA((BB3:BB159))</totalsRowFormula>
    </tableColumn>
    <tableColumn id="53" xr3:uid="{60C869D2-DBCF-44AD-B67A-F6E4F68A66EA}" name="Jak się nazywa kierunek, który ukończył/a Twoja/Twój podopieczna/podopieczny?" totalsRowFunction="custom" totalsRowDxfId="406">
      <totalsRowFormula>COUNTA((BC3:BC159))</totalsRowFormula>
    </tableColumn>
    <tableColumn id="54" xr3:uid="{A3CBF3B3-DD1B-4022-88CB-1555D7F4F8C5}" name="Moja satysfakcja z (efektów) usług edukacyjnych ocenianej uczelni jest wysoka.8" totalsRowFunction="custom" totalsRowDxfId="405">
      <totalsRowFormula>COUNTA((BD3:BD159))</totalsRowFormula>
    </tableColumn>
    <tableColumn id="55" xr3:uid="{D34023F4-654B-483D-BB5D-A538A9480931}" name="Usługi edukacyjne ocenianej uczelni mają wysoką wartość (okazja / szansa rozwoju własnego lub kariery).9" totalsRowFunction="custom" totalsRowDxfId="404">
      <totalsRowFormula>COUNTA((BE3:BE159))</totalsRowFormula>
    </tableColumn>
    <tableColumn id="56" xr3:uid="{02B5104E-91D3-493A-B339-9D321D6ADDD3}" name="Kształcenie na ocenianej uczelni ma/będzie miało pozytywny wpływ na zwiększenie zarobków mojej/mojego podopiecznej/podopiecznego." totalsRowFunction="custom" totalsRowDxfId="403">
      <totalsRowFormula>COUNTA((BF3:BF159))</totalsRowFormula>
    </tableColumn>
    <tableColumn id="57" xr3:uid="{AE7529E6-21C9-49EB-B961-AD47808BEBFB}" name="Zarobki uzyskiwane przez mojego/moją podopieczną/podopiecznego w pierwszym roku po ukończeniu studiów były satysfakcjonujące (z mojego punktu widzenia)" totalsRowFunction="custom" totalsRowDxfId="402">
      <totalsRowFormula>COUNTA((BG3:BG159))</totalsRowFormula>
    </tableColumn>
    <tableColumn id="58" xr3:uid="{AB8831BC-AF61-414C-9169-0722A4874E11}" name="Zarobki uzyskiwane przez mojego/moją podopieczną/podopiecznego w 3 lata po ukończeniu studiów były satysfakcjonujące (z mojego punktu widzenia)" totalsRowFunction="custom" totalsRowDxfId="401">
      <totalsRowFormula>COUNTA((BH3:BH159))</totalsRowFormula>
    </tableColumn>
    <tableColumn id="59" xr3:uid="{78D6CE0C-A1A6-4CFD-8597-2DA449543A7B}" name="W ile miesięcy po ukończeniu studiów Twoja/Twój podopieczna/podopieczny uzyskał/a zatrudnienie? Proszę podać liczbę miesięcy lub wpisać inną opcję (np. praca przed ukończeniem studiów; założenie własnej firmy; nie zamierzam pracować)" totalsRowFunction="custom" totalsRowDxfId="400">
      <totalsRowFormula>COUNTA((BI3:BI159))</totalsRowFormula>
    </tableColumn>
    <tableColumn id="60" xr3:uid="{EF473340-3BCA-4590-B1D3-586452233B88}" name="Jakie inne (poza zarobkami) efekty kształcenia na ocenianej uczelni się dostrzegasz obecnie?" totalsRowFunction="custom" totalsRowDxfId="399">
      <totalsRowFormula>COUNTA((BJ3:BJ159))</totalsRowFormula>
    </tableColumn>
    <tableColumn id="61" xr3:uid="{F5907E33-A84C-4D35-815F-7AB4B7FD4A9A}" name="Jakiego rodzaju były studia, które ukończył/a Twoja/Twój podopieczna/podopieczny?" totalsRowFunction="custom" totalsRowDxfId="398">
      <totalsRowFormula>COUNTA((BK3:BK159))</totalsRowFormula>
    </tableColumn>
    <tableColumn id="62" xr3:uid="{D7A10314-D8C8-4D47-9939-D597680A8D89}" name="Pole dodatkowe10" totalsRowFunction="custom" totalsRowDxfId="397">
      <totalsRowFormula>COUNTA((BL3:BL159))</totalsRowFormula>
    </tableColumn>
    <tableColumn id="63" xr3:uid="{165E7C41-F825-40A7-BA29-7D65FA1622DD}" name="Jeśli Twoja/Twój podopieczna/podopieczny ukończył/a również inne szkoły / kierunki studiów to proszę wpisz je tutaj." totalsRowFunction="custom" totalsRowDxfId="396">
      <totalsRowFormula>COUNTA((BM3:BM159))</totalsRowFormula>
    </tableColumn>
    <tableColumn id="64" xr3:uid="{F460018C-F65A-4EBC-A1B3-720CD09E2F51}" name="Czy będziesz oceniał uczelnię ukończoną przez drugiego podopiecznego?" totalsRowFunction="custom" totalsRowDxfId="395">
      <totalsRowFormula>COUNTA((BN3:BN159))</totalsRowFormula>
    </tableColumn>
    <tableColumn id="65" xr3:uid="{1FFAD861-7107-4C07-813C-2D7A37A2164D}" name="Jak się nazywa uczelnia, którą ukończył/a Twoja/Twój podopieczna/podopieczny? (proszę o wybranie jednej uczelni podlegającej ocenie)11" totalsRowFunction="custom" totalsRowDxfId="394">
      <totalsRowFormula>COUNTA((BO3:BO159))</totalsRowFormula>
    </tableColumn>
    <tableColumn id="66" xr3:uid="{1104D839-1DC0-4547-ACB6-32EC10393F87}" name="W którym roku Twoja/Twój podopieczna/y ukończył/a studia (rok w którym uzyskano dyplom ukończenia studiów drugiego stopnia, albo pierwszego stopnia, jeśli nie uzyskano dyplomu 2. stopnia)?12" totalsRowFunction="custom" totalsRowDxfId="393">
      <totalsRowFormula>COUNTA((BP3:BP159))</totalsRowFormula>
    </tableColumn>
    <tableColumn id="67" xr3:uid="{3D25B926-3D3A-4554-8D21-C8CEA4B700DB}" name="Czy ukończony kierunek był kierunkiem technicznym, tzn. takim, po którym uzyskano tytuł inżyniera?13" totalsRowFunction="custom" totalsRowDxfId="392">
      <totalsRowFormula>COUNTA((BQ3:BQ159))</totalsRowFormula>
    </tableColumn>
    <tableColumn id="68" xr3:uid="{82D0E1F6-AAC9-483E-86A4-72BFF90C14E1}" name="Jak się nazywa kierunek, który ukończył/a Twoja/Twój podopieczna/podopieczny?14" totalsRowFunction="custom" totalsRowDxfId="391">
      <totalsRowFormula>COUNTA((BR3:BR159))</totalsRowFormula>
    </tableColumn>
    <tableColumn id="69" xr3:uid="{66B3F5D6-8119-4B13-944B-F7FA87F55668}" name="Moja satysfakcja z (efektów) usług edukacyjnych ocenianej uczelni jest wysoka.15" totalsRowFunction="custom" totalsRowDxfId="390">
      <totalsRowFormula>COUNTA((BS3:BS159))</totalsRowFormula>
    </tableColumn>
    <tableColumn id="70" xr3:uid="{CBFEDB9C-E8C2-4738-B7E9-8CA5AFA2B25A}" name="Usługi edukacyjne ocenianej uczelni mają wysoką wartość (okazja / szansa rozwoju własnego lub kariery).16" totalsRowFunction="custom" totalsRowDxfId="389">
      <totalsRowFormula>COUNTA((BT3:BT159))</totalsRowFormula>
    </tableColumn>
    <tableColumn id="71" xr3:uid="{29F3A584-46BF-4D86-AE94-C057578FDCBD}" name="Kształcenie na ocenianej uczelni ma/będzie miało pozytywny wpływ na zwiększenie zarobków mojej/mojego podopiecznej/podopiecznego.17" totalsRowFunction="custom" totalsRowDxfId="388">
      <totalsRowFormula>COUNTA((BU3:BU159))</totalsRowFormula>
    </tableColumn>
    <tableColumn id="72" xr3:uid="{31A21B0E-B684-4B58-AD88-A583F3920EA3}" name="Zarobki uzyskiwane przez mojego/moją podopieczną/podopiecznego w pierwszym roku po ukończeniu studiów były satysfakcjonujące (z mojego punktu widzenia)18" totalsRowFunction="custom" totalsRowDxfId="387">
      <totalsRowFormula>COUNTA((BV3:BV159))</totalsRowFormula>
    </tableColumn>
    <tableColumn id="73" xr3:uid="{A89673FD-B45C-4DD7-BEF1-001A5CE4F05A}" name="Zarobki uzyskiwane przez mojego/moją podopieczną/podopiecznego w 3 lata po ukończeniu studiów były satysfakcjonujące (z mojego punktu widzenia)19" totalsRowFunction="custom" totalsRowDxfId="386">
      <totalsRowFormula>COUNTA((BW3:BW159))</totalsRowFormula>
    </tableColumn>
    <tableColumn id="74" xr3:uid="{227DE096-9957-4E88-8321-DF995BD2DFBD}" name="W ile miesięcy po ukończeniu studiów Twoja/Twój podopieczna/podopieczny uzyskał/a zatrudnienie? Proszę podać liczbę miesięcy lub wpisać inną opcję (np. praca przed ukończeniem studiów; założenie własnej firmy; nie zamierzam pracować)20" totalsRowFunction="custom" totalsRowDxfId="385">
      <totalsRowFormula>COUNTA((BX3:BX159))</totalsRowFormula>
    </tableColumn>
    <tableColumn id="75" xr3:uid="{D391B630-A02F-4FC9-A4FF-6812943B9BB8}" name="Jakie inne (poza zarobkami) efekty kształcenia na ocenianej uczelni się dostrzegasz obecnie?21" totalsRowFunction="custom" totalsRowDxfId="384">
      <totalsRowFormula>COUNTA((BY3:BY159))</totalsRowFormula>
    </tableColumn>
    <tableColumn id="76" xr3:uid="{10689BE6-B95B-4AE5-83F1-55BDA0BA3CDC}" name="Jakiego rodzaju były studia, które ukończył/a Twoja/Twój podopieczna/podopieczny?22" totalsRowFunction="custom" totalsRowDxfId="383">
      <totalsRowFormula>COUNTA((BZ3:BZ159))</totalsRowFormula>
    </tableColumn>
    <tableColumn id="77" xr3:uid="{6FCF6001-0320-49B2-98E4-DBE8BE04E809}" name="Pole dodatkowe23" totalsRowFunction="custom" totalsRowDxfId="382">
      <totalsRowFormula>COUNTA((CA3:CA159))</totalsRowFormula>
    </tableColumn>
    <tableColumn id="78" xr3:uid="{A472783F-7647-4098-93C2-147D32A84371}" name="Jeśli Twoja/Twój podopieczna/podopieczny ukończył/a również inne szkoły / kierunki studiów to proszę wpisz je tutaj.24" totalsRowFunction="custom" totalsRowDxfId="381">
      <totalsRowFormula>COUNTA((CB3:CB159))</totalsRowFormula>
    </tableColumn>
    <tableColumn id="79" xr3:uid="{1A403871-DFFF-4390-AEEF-95D5C0FD9400}" name="Czy będziesz oceniał uczelnię ukończoną przez trzeciego podopiecznego?" totalsRowFunction="custom" totalsRowDxfId="380">
      <totalsRowFormula>COUNTA((CC3:CC159))</totalsRowFormula>
    </tableColumn>
    <tableColumn id="80" xr3:uid="{658511C7-2EE0-4B12-9340-BB9E0A426772}" name="Jak się nazywa uczelnia, którą ukończył/a Twoja/Twój podopieczna/podopieczny? (proszę o wybranie jednej uczelni podlegającej ocenie)25" totalsRowFunction="custom" totalsRowDxfId="379">
      <totalsRowFormula>COUNTA((CD3:CD159))</totalsRowFormula>
    </tableColumn>
    <tableColumn id="81" xr3:uid="{201B4784-0CF7-4F12-B797-FCACF378DF87}" name="W którym roku Twoja/Twój podopieczna/y ukończył/a studia (rok w którym uzyskano dyplom ukończenia studiów drugiego stopnia, albo pierwszego stopnia, jeśli nie uzyskano dyplomu 2. stopnia)?26" totalsRowFunction="custom" totalsRowDxfId="378">
      <totalsRowFormula>COUNTA((CE3:CE159))</totalsRowFormula>
    </tableColumn>
    <tableColumn id="82" xr3:uid="{EFEA0D59-60B6-44B3-85E7-69B8079A2E71}" name="Czy ukończony kierunek był kierunkiem technicznym, tzn. takim, po którym uzyskano tytuł inżyniera?27" totalsRowFunction="custom" totalsRowDxfId="377">
      <totalsRowFormula>COUNTA((CF3:CF159))</totalsRowFormula>
    </tableColumn>
    <tableColumn id="83" xr3:uid="{A9E82F19-DDC8-4060-ABD0-5E045F5308D6}" name="Jak się nazywa kierunek, który ukończył/a Twoja/Twój podopieczna/podopieczny?28" totalsRowFunction="custom" totalsRowDxfId="376">
      <totalsRowFormula>COUNTA((CG3:CG159))</totalsRowFormula>
    </tableColumn>
    <tableColumn id="84" xr3:uid="{15E6D0BD-B208-4418-84AB-12BCB30ABA39}" name="Moja satysfakcja z (efektów) usług edukacyjnych ocenianej uczelni jest wysoka.29" totalsRowFunction="custom" totalsRowDxfId="375">
      <totalsRowFormula>COUNTA((CH3:CH159))</totalsRowFormula>
    </tableColumn>
    <tableColumn id="85" xr3:uid="{E59F07E5-5F50-49F9-8B40-4A530F682447}" name="Usługi edukacyjne ocenianej uczelni mają wysoką wartość (okazja / szansa rozwoju własnego lub kariery).30" totalsRowFunction="custom" totalsRowDxfId="374">
      <totalsRowFormula>COUNTA((CI3:CI159))</totalsRowFormula>
    </tableColumn>
    <tableColumn id="86" xr3:uid="{C7826E62-E943-4DF7-AA83-0066976F8524}" name="Kształcenie na ocenianej uczelni ma/będzie miało pozytywny wpływ na zwiększenie zarobków mojej/mojego podopiecznej/podopiecznego.31" totalsRowFunction="custom" totalsRowDxfId="373">
      <totalsRowFormula>COUNTA((CJ3:CJ159))</totalsRowFormula>
    </tableColumn>
    <tableColumn id="87" xr3:uid="{55A97D9C-AC62-4ADE-B382-76D5CD45477F}" name="Zarobki uzyskiwane przez mojego/moją podopieczną/podopiecznego w pierwszym roku po ukończeniu studiów były satysfakcjonujące (z mojego punktu widzenia)32" totalsRowFunction="custom" totalsRowDxfId="372">
      <totalsRowFormula>COUNTA((CK3:CK159))</totalsRowFormula>
    </tableColumn>
    <tableColumn id="88" xr3:uid="{E0B2CC5B-D517-45A7-AF78-C102D0144A5C}" name="Zarobki uzyskiwane przez mojego/moją podopieczną/podopiecznego w 3 lata po ukończeniu studiów były satysfakcjonujące (z mojego punktu widzenia)33" totalsRowFunction="custom" totalsRowDxfId="371">
      <totalsRowFormula>COUNTA((CL3:CL159))</totalsRowFormula>
    </tableColumn>
    <tableColumn id="89" xr3:uid="{D432137D-90BD-4646-8DA6-2CA3A1C2577C}" name="W ile miesięcy po ukończeniu studiów Twoja/Twój podopieczna/podopieczny uzyskał/a zatrudnienie? Proszę podać liczbę miesięcy lub wpisać inną opcję (np. praca przed ukończeniem studiów; założenie własnej firmy; nie zamierzam pracować)34" totalsRowFunction="custom" totalsRowDxfId="370">
      <totalsRowFormula>COUNTA((CM3:CM159))</totalsRowFormula>
    </tableColumn>
    <tableColumn id="90" xr3:uid="{0FA72066-CF3D-49BE-AC2D-FA05BABB3516}" name="Jakie inne (poza zarobkami) efekty kształcenia na ocenianej uczelni się dostrzegasz obecnie?35" totalsRowFunction="custom" totalsRowDxfId="369">
      <totalsRowFormula>COUNTA((CN3:CN159))</totalsRowFormula>
    </tableColumn>
    <tableColumn id="91" xr3:uid="{91E77103-7890-4078-B592-ECCB3080C6BE}" name="Jakiego rodzaju były studia, które ukończył/a Twoja/Twój podopieczna/podopieczny?36" totalsRowFunction="custom" totalsRowDxfId="368">
      <totalsRowFormula>COUNTA((CO3:CO159))</totalsRowFormula>
    </tableColumn>
    <tableColumn id="92" xr3:uid="{D87D6F17-9A18-4BD2-82A2-E153AE86B37C}" name="Pole dodatkowe37" totalsRowFunction="custom" totalsRowDxfId="367">
      <totalsRowFormula>COUNTA((CP3:CP159))</totalsRowFormula>
    </tableColumn>
    <tableColumn id="93" xr3:uid="{D47608AC-103C-4B2C-B579-9701B8FC18ED}" name="Jeśli Twoja/Twój podopieczna/podopieczny ukończył/a również inne szkoły / kierunki studiów to proszę wpisz je tutaj.38" totalsRowFunction="custom" totalsRowDxfId="366">
      <totalsRowFormula>COUNTA((CQ3:CQ159))</totalsRowFormula>
    </tableColumn>
    <tableColumn id="94" xr3:uid="{E7DDA408-1945-4BDE-9B5A-12AAC3E05194}" name="Czy jesteś aktualnie pracownikiem administracyjnym uczelni wyższej?" totalsRowFunction="custom" dataDxfId="365" totalsRowDxfId="364">
      <totalsRowFormula>COUNTA((CR3:CR159))</totalsRowFormula>
    </tableColumn>
    <tableColumn id="95" xr3:uid="{8FA6CEDE-89F7-4035-B48A-EC70337C4D7E}" name="Jak się nazywa uczelnia, na której pracujesz? (proszę o wybranie jednej uczelni podlegającej ocenie)" totalsRowDxfId="363"/>
    <tableColumn id="96" xr3:uid="{F959B9F3-C53C-4C63-A092-AF4A70D45B06}" name="Na jakim wydziale pracujesz?" totalsRowDxfId="362"/>
    <tableColumn id="97" xr3:uid="{19273B31-1872-4994-B739-304F1E7FBD34}" name="Moja satysfakcja z pracy na ocenianej uczelni jest wysoka." totalsRowDxfId="361"/>
    <tableColumn id="98" xr3:uid="{EE7C1371-E788-4978-B01E-B5870F3E97D1}" name="Atmosfera w zespole współpracowników jest dobra." totalsRowDxfId="360"/>
    <tableColumn id="99" xr3:uid="{04B25BDB-5FFA-42B5-AEBA-FC863BEDBC77}" name="Moje zarobki są satysfakcjonujące." totalsRowDxfId="359"/>
    <tableColumn id="100" xr3:uid="{DAD2DC5B-8DF9-49D3-A852-672969268131}" name="Praca na ocenianej uczelni daje mi duże szanse rozwoju." totalsRowDxfId="358"/>
    <tableColumn id="101" xr3:uid="{27C35901-3DF8-4B77-BEB2-58D43C8B6871}" name="Wartość wykształcenia zdobywanego przez studentów ocenianej uczelni jest wysoka." totalsRowDxfId="357"/>
    <tableColumn id="102" xr3:uid="{4669105C-8E5E-4FD6-97C5-3F5E1BE9CAE4}" name="Zdobyte na ocenianej uczelni wykształcenie ma pozytywny wpływ na zwiększenie zarobków absolwentów." totalsRowDxfId="356"/>
    <tableColumn id="103" xr3:uid="{C2B9909A-91DF-4FB2-B673-AACC920851EA}" name="Jakie inne (poza zarobkami) efekty kształcenia na ocenianej uczelni się dostrzegasz obecnie?39" totalsRowDxfId="355"/>
    <tableColumn id="104" xr3:uid="{1F0E0013-CC4E-4656-BDA5-9028148E569A}" name="Czy jesteś aktualnie pracownikiem naukowym lub dydaktycznym uczelni wyższej?" totalsRowFunction="custom" dataDxfId="354" totalsRowDxfId="353">
      <totalsRowFormula>COUNTA((DB3:DB159))</totalsRowFormula>
    </tableColumn>
    <tableColumn id="105" xr3:uid="{78C36DCE-4E4A-4DAD-AF37-31D23561DE9B}" name="Jak się nazywa uczelnia, na której pracujesz? (proszę o wybranie jednej uczelni podlegającej ocenie)40" totalsRowDxfId="352"/>
    <tableColumn id="106" xr3:uid="{FAD00E10-66DF-401D-8721-330410755C4C}" name="Na jakim wydziale pracujesz?41" totalsRowDxfId="351"/>
    <tableColumn id="107" xr3:uid="{3ED79AD9-3A2A-4796-A7F7-27B53055A7C5}" name="Moja satysfakcja z pracy na ocenianej uczelni jest wysoka.42" totalsRowDxfId="350"/>
    <tableColumn id="108" xr3:uid="{88F3FD29-277A-4D3B-9F35-812F832A00F4}" name="Atmosfera w zespole współpracowników jest dobra.43" totalsRowDxfId="349"/>
    <tableColumn id="109" xr3:uid="{DC511D2A-6FF2-4B52-B52A-324E6688C5E0}" name="Moje zarobki są satysfakcjonujące.44" totalsRowDxfId="348"/>
    <tableColumn id="110" xr3:uid="{3C031862-BB50-46FB-A01C-928A7B955B19}" name="Praca na ocenianej uczelni daje mi duże szanse rozwoju.45" totalsRowDxfId="347"/>
    <tableColumn id="111" xr3:uid="{26178753-38CF-4749-A317-A1E5F425DF12}" name="Wartość wykształcenia zdobywanego przez studentów ocenianej uczelni jest wysoka.46" totalsRowDxfId="346"/>
    <tableColumn id="112" xr3:uid="{889B113B-59F9-4196-9536-C41274799622}" name="Zdobyte na ocenianej uczelni wykształcenie ma pozytywny wpływ na zwiększenie zarobków absolwentów.47" totalsRowDxfId="345"/>
    <tableColumn id="113" xr3:uid="{018446A9-87AE-432A-96CE-C29A37692C27}" name="Jakie inne (poza zarobkami) efekty kształcenia na ocenianej uczelni dostrzegasz obecnie?48" totalsRowDxfId="344"/>
    <tableColumn id="114" xr3:uid="{D11A2879-2C85-42C1-9C08-4BA4A9592DB0}" name="Czy jesteś przedstawicielem władz uczelni z grupy rektorów, prorektorów, dziekanów, prodziekanów, członków senatu lub członków rady uczelni?" totalsRowFunction="custom" dataDxfId="343" totalsRowDxfId="342">
      <totalsRowFormula>COUNTA((DL3:DL159))</totalsRowFormula>
    </tableColumn>
    <tableColumn id="115" xr3:uid="{758B3CD0-0C56-4596-8D61-D90700A05DA1}" name="Proszę podać pełnioną funkcję" totalsRowDxfId="341"/>
    <tableColumn id="116" xr3:uid="{E904AED4-A38D-42EF-9D38-709BB163A619}" name="Kolumna3" totalsRowDxfId="340"/>
    <tableColumn id="117" xr3:uid="{AF0D4680-ECCA-4738-825E-AB146FC0FF8F}" name="Kolumna4" totalsRowDxfId="339"/>
    <tableColumn id="118" xr3:uid="{65A15536-DE99-4D16-A20B-206F127C5BFB}" name="Kolumna5" totalsRowDxfId="338"/>
    <tableColumn id="119" xr3:uid="{E05782FB-7FE9-42ED-94C4-B7F653167A0F}" name="Jak się nazywa uczelnia którą będziesz oceniać (jako przedstawiciel jej władz)?" totalsRowDxfId="337"/>
    <tableColumn id="120" xr3:uid="{1B7FA187-1663-4FBF-A3C5-EA8D6A053A25}" name="Efekty działań ocenianej uczelni na rzesz jakości edukacji są dobre" totalsRowDxfId="336"/>
    <tableColumn id="121" xr3:uid="{8A6C2138-0511-4784-9BCB-D7F056FD5756}" name="Wartość wykształcenia zdobywanego przez studentów na ocenianej uczelni jest wysoka." totalsRowDxfId="335"/>
    <tableColumn id="122" xr3:uid="{33664698-CEF8-4115-B63B-828882A6D501}" name="Zdobyte przez studentów ocenianej uczelni wykształcenie miało/ma pozytywny wpływ na ich zarobki." totalsRowDxfId="334"/>
    <tableColumn id="123" xr3:uid="{6548C317-5775-47D8-8BB5-03CE96ABFB2C}" name="Efekty działań ocenianej uczelni na rzecz jakości edukacji mają dobry wpływ na rozwój regionu." totalsRowDxfId="333"/>
    <tableColumn id="124" xr3:uid="{04271A5C-5560-4CF8-90D9-89BA9B015FBC}" name="Efekty działań ocenianej uczelni na rzecz jakości edukacji mają dobry wpływ na rozwój Polski." totalsRowDxfId="332"/>
    <tableColumn id="125" xr3:uid="{123DE0DC-02B2-4F9B-BEEB-704DB06821EE}" name="Współpraca ocenianej uczelni z biznesem ma pozytywne efekty dla rozwoju regionu / kraju." totalsRowDxfId="331"/>
    <tableColumn id="126" xr3:uid="{A0DF07F0-161A-4193-A1E6-2065A1C8B63E}" name="Ogólny poziom mojej satysfakcji z jakości usług edukacyjnych ocenianej uczelni jest wysoki." totalsRowDxfId="330"/>
    <tableColumn id="127" xr3:uid="{78D52D23-A055-4089-AEA3-0D0030CEAC4A}" name="Studenci : wybierz wartość z listy rozwijanej" totalsRowDxfId="329"/>
    <tableColumn id="128" xr3:uid="{3C88D815-7B36-4940-B457-1D4916A18A9A}" name="Absolwenci : wybierz wartość z listy rozwijanej" totalsRowDxfId="328"/>
    <tableColumn id="129" xr3:uid="{B7AADA93-8D0B-47F3-BCD2-912D3D3EFF96}" name="Rodzice absolwentów : wybierz wartość z listy rozwijanej" totalsRowDxfId="327"/>
    <tableColumn id="130" xr3:uid="{2419B54D-E941-464A-ABB8-3A728F2F5596}" name="Pracownicy administracyjni : wybierz wartość z listy rozwijanej" totalsRowDxfId="326"/>
    <tableColumn id="131" xr3:uid="{BAB27B7B-2698-4085-8E82-FA14AF164B29}" name="Pracownicy naukowi i dydaktyczni : wybierz wartość z listy rozwijanej" totalsRowDxfId="325"/>
    <tableColumn id="132" xr3:uid="{6A6F970F-B3EB-4E50-9DE6-C8C4C7CAA18A}" name="Pracodawcy : wybierz wartość z listy rozwijanej" totalsRowDxfId="324"/>
    <tableColumn id="133" xr3:uid="{09A6A719-E450-4AC4-8182-90B1F383E84C}" name="Władze samorządowe i centralne : wybierz wartość z listy rozwijanej" totalsRowDxfId="323"/>
    <tableColumn id="134" xr3:uid="{2E207BF2-E2F1-4F2B-9DAE-D3B78D867559}" name="Pole dodatkowe4" totalsRowDxfId="322"/>
    <tableColumn id="135" xr3:uid="{EEB77D73-5571-4E17-8266-02BB1710B8F0}" name="Studenci : wybierz wartość z listy rozwijanej5" totalsRowDxfId="321"/>
    <tableColumn id="136" xr3:uid="{81EA592A-292B-42BA-AA88-85A430ABBA5B}" name="Absolwenci : wybierz wartość z listy rozwijanej6" totalsRowDxfId="320"/>
    <tableColumn id="137" xr3:uid="{AC693E91-1370-42E2-8C6B-A2DEAEDAD6D8}" name="Rodzice absolwentów : wybierz wartość z listy rozwijanej7" totalsRowDxfId="319"/>
    <tableColumn id="138" xr3:uid="{C972A3A6-50AF-4CF0-9221-51F3F1B825B5}" name="Pracownicy administracyjni : wybierz wartość z listy rozwijanej8" totalsRowDxfId="318"/>
    <tableColumn id="139" xr3:uid="{8A17F47D-C5DA-4436-9144-E5A1DC2CE401}" name="Pracownicy naukowi i dydaktyczni : wybierz wartość z listy rozwijanej9" totalsRowDxfId="317"/>
    <tableColumn id="140" xr3:uid="{9C9F0784-2723-4BBD-AE36-08FD5221319D}" name="Pracodawcy : wybierz wartość z listy rozwijanej10" totalsRowDxfId="316"/>
    <tableColumn id="141" xr3:uid="{AAE33EE1-D3BE-432C-9A2D-5D55BE9F26EC}" name="Władze samorządowe i centralne : wybierz wartość z listy rozwijanej11" totalsRowDxfId="315"/>
    <tableColumn id="142" xr3:uid="{C7BCF657-B75F-43D7-A19C-E0A38F71C79A}" name="Pole dodatkowe12" totalsRowDxfId="314"/>
    <tableColumn id="143" xr3:uid="{027BA0BD-D7CE-4B61-BD34-CD9336762A59}" name="Czy jesteś przedstawicielem firmy, w której są zatrudniani absolwenci uczelni wyższych (tytuł licencjata, magistra lub wyższy)?" totalsRowFunction="custom" dataDxfId="313" totalsRowDxfId="312">
      <totalsRowFormula>COUNTA((EO3:EO159))</totalsRowFormula>
    </tableColumn>
    <tableColumn id="144" xr3:uid="{AE677D83-CB9E-4B5E-B46A-E76A87DC758B}" name="Czy w Twojej firmie są zatrudnieni absolwenci uczelni technicznych (posiadają tytuł inżyniera)?" totalsRowDxfId="311"/>
    <tableColumn id="145" xr3:uid="{A9C11981-CE44-482B-9485-624EB4CFA91B}" name="Ile uczelni będziesz oceniać?" totalsRowDxfId="310"/>
    <tableColumn id="146" xr3:uid="{822F037D-C81E-4AA1-A477-75B7599C4C4E}" name="Jak się nazywa uczelnia, którą ocenisz? " totalsRowDxfId="309"/>
    <tableColumn id="147" xr3:uid="{B879E027-4001-4F17-98A9-1FF6DD06C0F9}" name="Moja satysfakcja z (efektów) usług edukacyjnych na ocenianej uczelni jest wysoka." totalsRowDxfId="308"/>
    <tableColumn id="148" xr3:uid="{887E2640-884A-454A-B596-856E217BE2DD}" name="Kompetencje absolwentów ocenianej uczelni są wysokie." totalsRowDxfId="307"/>
    <tableColumn id="149" xr3:uid="{478F5E65-AE32-4F52-99FA-3830D9323C3C}" name="Zarobki absolwentów ocenianej uczelni zatrudnionych w mojej firmie są wyższe od zarobków absolwentów innych polskich uczelni." totalsRowDxfId="306"/>
    <tableColumn id="150" xr3:uid="{E5D4AD52-FA66-4019-983E-25DC2AF5A5A8}" name="Czy w Twojej firmie są zatrudniani absolwenci uczelni w pierwszym roku po ukończeniu studiów (do 12 miesięcy od uzyskania dyplomu)?" totalsRowDxfId="305"/>
    <tableColumn id="151" xr3:uid="{FDC480C9-E39B-4D41-9995-A191329D3555}" name="Jakie kompetencje absolwentów ocenianej uczelni są w Twojej firmie najwyżej wyceniane?" totalsRowDxfId="304"/>
    <tableColumn id="152" xr3:uid="{558E6650-0292-450C-9D81-46BC7B7FA1C9}" name="Jakiego rodzaju prace wykonują absolwenci ocenianej uczelni w Twojej firmie?" totalsRowDxfId="303"/>
    <tableColumn id="153" xr3:uid="{9E8CE1F9-05B3-4737-AC9A-FAE812FD292C}" name="Czy będziesz oceniał drugą uczelnię?" totalsRowDxfId="302"/>
    <tableColumn id="154" xr3:uid="{CEB66B10-0E60-4952-A1B0-1E5C8784E791}" name="Jak się nazywa uczelnia, którą ocenisz? 13" totalsRowDxfId="301"/>
    <tableColumn id="155" xr3:uid="{2864E703-440A-477E-8352-68DEA39F85CD}" name="Moja satysfakcja z (efektów) usług edukacyjnych na ocenianej uczelni jest wysoka.14" totalsRowDxfId="300"/>
    <tableColumn id="156" xr3:uid="{B38513D8-CC85-41E0-85A1-82AC6807323C}" name="Kompetencje absolwentów ocenianej uczelni są wysokie.15" totalsRowDxfId="299"/>
    <tableColumn id="157" xr3:uid="{204ADF47-FBCC-47A6-95D9-5D3E03854768}" name="Zarobki absolwentów ocenianej uczelni zatrudnionych w mojej firmie są wyższe od zarobków absolwentów innych polskich uczelni.16" totalsRowDxfId="298"/>
    <tableColumn id="158" xr3:uid="{7E6A13F3-C53A-4FC9-B3AE-9EA25D9CBCE6}" name="Czy w Twojej firmie są zatrudniani absolwenci uczelni w pierwszym roku po ukończeniu studiów (do 12 miesięcy od uzyskania dyplomu)?17" totalsRowDxfId="297"/>
    <tableColumn id="159" xr3:uid="{83E7A1CC-295A-477E-8CD0-1E43143ACFF6}" name="Jakie kompetencje absolwentów ocenianej uczelni są w Twojej firmie najwyżej wyceniane?18" totalsRowDxfId="296"/>
    <tableColumn id="160" xr3:uid="{C3F49389-F342-4110-8A16-536B6EC87EC2}" name="Jakiego rodzaju prace wykonują absolwenci ocenianej uczelni w Twojej firmie?19" totalsRowDxfId="295"/>
    <tableColumn id="161" xr3:uid="{2BBFB49D-5EDF-4AC5-9179-70BCC6FA0B96}" name="Czy będziesz oceniał trzecią uczelnię techniczną?" totalsRowDxfId="294"/>
    <tableColumn id="162" xr3:uid="{829F7D1E-D133-43C4-A756-6D0B7542D44F}" name="Jak się nazywa uczelnia, którą ocenisz? 20" totalsRowDxfId="293"/>
    <tableColumn id="163" xr3:uid="{8758E395-9800-4CA8-BF43-3BFBF9507549}" name="Moja satysfakcja z (efektów) usług edukacyjnych na ocenianej uczelni jest wysoka.21" totalsRowDxfId="292"/>
    <tableColumn id="164" xr3:uid="{14ABF48C-A9EC-4153-B011-421959501B3A}" name="Kompetencje absolwentów ocenianej uczelni są wysokie.22" totalsRowDxfId="291"/>
    <tableColumn id="165" xr3:uid="{E8A014C5-F146-4C5D-B50B-6E968A7F8B46}" name="Zarobki absolwentów ocenianej uczelni zatrudnionych w mojej firmie są wyższe od zarobków absolwentów innych polskich uczelni.23" totalsRowDxfId="290"/>
    <tableColumn id="166" xr3:uid="{1FF6D355-AF16-4EB9-8805-4741E5F2867E}" name="Czy w Twojej firmie są zatrudniani absolwenci uczelni w pierwszym roku po ukończeniu studiów (do 12 miesięcy od uzyskania dyplomu)?24" totalsRowDxfId="289"/>
    <tableColumn id="167" xr3:uid="{71809E9D-42EC-47FD-9E58-0596DB8FD07D}" name="Jakie kompetencje absolwentów ocenianej uczelni są w Twojej firmie najwyżej wyceniane?25" totalsRowDxfId="288"/>
    <tableColumn id="168" xr3:uid="{6CA2A8B4-3095-459E-BDF0-43522EA7E403}" name="Jakiego rodzaju prace wykonują absolwenci ocenianej uczelni są w Twojej firmie?" totalsRowDxfId="287"/>
    <tableColumn id="169" xr3:uid="{6AEC3D33-E058-4E5E-AEC6-C091FCB970C9}" name="Czy jesteś przedstawicielem władz samorządowych lub centralnych Rzeczypospolitej Polskiej?" totalsRowFunction="custom" dataDxfId="286" totalsRowDxfId="285">
      <totalsRowFormula>COUNTA((FO3:FO159))</totalsRowFormula>
    </tableColumn>
    <tableColumn id="170" xr3:uid="{BC9560B3-02D5-4DDB-A401-A4247E9B1B22}" name="Proszę wskaż jaki poziom władzy samorządowej lub centralnej reprezentujesz."/>
    <tableColumn id="171" xr3:uid="{A93202BB-0C5A-477B-AB8E-984DC6BE1562}" name="Proszę o podanie nazwy organu władzy jaki reprezentujesz."/>
    <tableColumn id="172" xr3:uid="{58BDBF6E-102C-45D4-92EF-E38D03C7C68F}" name="Ile uczelni będziesz oceniać?26"/>
    <tableColumn id="173" xr3:uid="{846DF9D5-9381-4024-BEED-DD3A1279449E}" name="Jak się nazywa uczelnia, którą ocenisz?"/>
    <tableColumn id="174" xr3:uid="{BF764A79-F8CD-4029-AD20-C5F823568562}" name="Efekty działań ocenianej uczelni na rzesz jakości edukacji są zgodne ze strategią rozwoju w regionie."/>
    <tableColumn id="175" xr3:uid="{B634A191-8CEE-4EDC-AA40-44B78DF4175B}" name="Wartość wykształcenia zdobywanego przez studentów na ocenianej uczelni jest wysoka.27"/>
    <tableColumn id="176" xr3:uid="{A7BF07C0-52A5-4521-BB33-B0529C559657}" name="Zdobyte przez studentów ocenianej uczelni wykształcenie miało/ma pozytywny wpływ na ich zarobki.28"/>
    <tableColumn id="177" xr3:uid="{6F75396F-DF28-42F4-86B3-D2749F6DB49D}" name="Efekty działań ocenianej uczelni na rzecz jakości edukacji mają dobry wpływ na rozwój regionu.29"/>
    <tableColumn id="178" xr3:uid="{E08D7111-F43D-4007-A93C-9F00EBF295F9}" name="Efekty działań ocenianej uczelni na rzecz jakości edukacji mają dobry wpływ na rozwój Polski.30"/>
    <tableColumn id="179" xr3:uid="{A439883A-8F14-431D-9387-C5DA535147FF}" name="Współpraca ocenianej uczelni z biznesem ma pozytywne efekty dla rozwoju regionu / kraju.31"/>
    <tableColumn id="180" xr3:uid="{690D7446-CA02-45BE-BE62-BB06923ACDE8}" name="Ogólny poziom mojej satysfakcji z jakości usług edukacyjnych ocenianej uczelni jest wysoki.32"/>
    <tableColumn id="181" xr3:uid="{BEB1F6C3-3B63-4045-8B21-876D0D35DAB3}" name="Pole dodatkowe33"/>
    <tableColumn id="182" xr3:uid="{ACA31067-E627-433F-9E73-2489B7A479F3}" name="Jakie inne efekty pracy ocenianej uczelni technicznej dostrzegasz obecnie?"/>
    <tableColumn id="183" xr3:uid="{2ACABB7D-713C-402C-AEE0-5EB315826BB7}" name="Czy będziesz oceniać drugą uczelnię?"/>
    <tableColumn id="184" xr3:uid="{FFF372AB-988A-40F9-B0F1-5665C3A9DC07}" name="Jak się nazywa uczelnia, którą ocenisz?34"/>
    <tableColumn id="185" xr3:uid="{A08215E0-CB62-410B-85B8-979FC1E2F4D7}" name="Efekty działań ocenianej uczelni na rzesz jakości edukacji są zgodne ze strategią rozwoju w regionie.35"/>
    <tableColumn id="186" xr3:uid="{FCEF4280-B21D-4B67-906D-9B77D951C352}" name="Wartość wykształcenia zdobywanego przez studentów na ocenianej uczelni jest wysoka.36"/>
    <tableColumn id="187" xr3:uid="{FD379287-2796-4CBA-B100-51F933BD8802}" name="Zdobyte przez studentów ocenianej uczelni wykształcenie miało/ma pozytywny wpływ na ich zarobki.37"/>
    <tableColumn id="188" xr3:uid="{A66EBBF1-4D4D-43FD-A2A2-200DAAD1FA76}" name="Efekty działań ocenianej uczelni na rzecz jakości edukacji mają dobry wpływ na rozwój regionu.38"/>
    <tableColumn id="189" xr3:uid="{1B7075E1-15A6-40DF-9E24-55048E0656D4}" name="Efekty działań ocenianej uczelni na rzecz jakości edukacji mają dobry wpływ na rozwój Polski.39"/>
    <tableColumn id="190" xr3:uid="{C3B9146F-156A-4295-9120-25FE8081A9A5}" name="Współpraca ocenianej uczelni z biznesem ma pozytywne efekty dla rozwoju regionu / kraju.40"/>
    <tableColumn id="191" xr3:uid="{DB8EF70A-50C1-4C7D-9A40-716F0F94A70C}" name="Ogólny poziom mojej satysfakcji z jakości usług edukacyjnych ocenianej uczelni jest wysoki.41"/>
    <tableColumn id="192" xr3:uid="{72A51C29-202D-4ECD-B055-7EF22AACAFB0}" name="Jakie inne efekty pracy ocenianej uczelni dostrzegasz obecnie?"/>
    <tableColumn id="193" xr3:uid="{E843683F-C11B-440B-B4EF-14329CCDC24C}" name="Czy będziesz oceniać trzecią uczelnię?"/>
    <tableColumn id="194" xr3:uid="{1FC5D2BF-7DF3-4790-A4AE-1B1D51C7B2CF}" name="Jak się nazywa uczelnia, którą ocenisz?42"/>
    <tableColumn id="195" xr3:uid="{AC8F5DA7-8177-45E0-B63F-18E59E5BBECE}" name="Efekty działań ocenianej uczelni na rzesz jakości edukacji są zgodne ze strategią rozwoju w regionie.43"/>
    <tableColumn id="196" xr3:uid="{98B5288E-C179-4B5E-9A17-5BA87861B160}" name="Wartość wykształcenia zdobywanego przez studentów na ocenianej uczelni jest wysoka.44"/>
    <tableColumn id="197" xr3:uid="{B642570B-1912-420D-A994-699FCF827C83}" name="Zdobyte przez studentów ocenianej uczelni wykształcenie miało/ma pozytywny wpływ na ich zarobki.45"/>
    <tableColumn id="198" xr3:uid="{C1E1C0CC-C8EA-4A10-8650-C985C28DB28E}" name="Efekty działań ocenianej uczelni na rzecz jakości edukacji mają dobry wpływ na rozwój regionu.46"/>
    <tableColumn id="199" xr3:uid="{617DC609-47B9-4D3F-810B-F674031B1C66}" name="Efekty działań ocenianej uczelni na rzecz jakości edukacji mają dobry wpływ na rozwój Polski.47"/>
    <tableColumn id="200" xr3:uid="{948402DB-9CF8-4F7D-89F9-A95A66781B0D}" name="Współpraca ocenianej uczelni z biznesem ma pozytywne efekty dla rozwoju regionu / kraju.48"/>
    <tableColumn id="201" xr3:uid="{10B4270C-1445-43DD-AD01-C2095726391D}" name="Ogólny poziom mojej satysfakcji z jakości usług edukacyjnych ocenianej uczelni jest wysoki.49"/>
    <tableColumn id="202" xr3:uid="{5AECA552-5401-476C-BE4A-C77FB6DBFD05}" name="Jakie inne efekty pracy ocenianej uczelni dostrzegasz obecnie?50"/>
    <tableColumn id="203" xr3:uid="{341A8063-7364-47B3-9965-095B810ECD89}" name="Jakie, Twoim zdaniem, elementy decydują o tym, że uczelnie są lepsze lub gorsze."/>
    <tableColumn id="204" xr3:uid="{6848ED8F-B1D2-41C6-973D-DBBEF362AC50}" name="Kolumna51"/>
    <tableColumn id="205" xr3:uid="{2249068B-27D7-4545-8F15-B2240382241A}" name="Kolumna52"/>
    <tableColumn id="206" xr3:uid="{0B7DCFB4-58F7-4BF6-9FCE-6D8D5B1EE83D}" name="Płeć" totalsRowFunction="custom" totalsRowDxfId="284">
      <totalsRowFormula>COUNTA((GZ3:GZ159))</totalsRowFormula>
    </tableColumn>
    <tableColumn id="207" xr3:uid="{17374C0D-5C50-4F2D-9998-48F1A5105C49}" name="Rok urodzenia" totalsRowFunction="custom" totalsRowDxfId="283">
      <totalsRowFormula>COUNTA((HA3:HA159))</totalsRowFormula>
    </tableColumn>
    <tableColumn id="208" xr3:uid="{1645D477-C887-454C-9538-48CC0158FF63}" name="Z jakiej wielkości miejscowości pochodzisz? (dotyczy miejscowości, w której się wychowałaś/eś" totalsRowFunction="custom" totalsRowDxfId="282">
      <totalsRowFormula>COUNTA((HB3:HB159))</totalsRowFormula>
    </tableColumn>
    <tableColumn id="209" xr3:uid="{12CD2E72-E534-4809-A75E-AF29F5F5F088}" name="Pole dodatkowe52" totalsRowFunction="custom" totalsRowDxfId="281">
      <totalsRowFormula>COUNTA((HC3:HC159))</totalsRowFormula>
    </tableColumn>
    <tableColumn id="210" xr3:uid="{A7F9896F-910A-4A55-B990-91B148C747C5}" name="Jakie inne wykształcenie poza tym uwzględnionym w niniejszej ankiecie posiadasz? (ukończone szkoły/studia)" totalsRowFunction="custom" totalsRowDxfId="280">
      <totalsRowFormula>COUNTA((HD3:HD159))</totalsRowFormula>
    </tableColumn>
    <tableColumn id="211" xr3:uid="{5984ACCC-B4E1-4707-A8A8-21922E6238A2}" name="Jakie inne wykształcenie poza tym uwzględnionym w niniejszej ankiecie zdobywasz? (nieukończone jeszcze lub przerwane szkoły/studia)" totalsRowFunction="custom" totalsRowDxfId="279">
      <totalsRowFormula>COUNTA((HE3:HE159))</totalsRowFormula>
    </tableColumn>
    <tableColumn id="212" xr3:uid="{B9B2B0C7-9F25-448D-90E6-30ABF0934087}" name="Dziękuję za czas poświęcony na wypełnienie niniejszej ankiety. _x000a_Jeśli masz uwagi to proszę zamieść je poniżej._x000a_Po zakończeniu udzielania odpowiedzi proszę o naciśnięcie przycisku &quot;Zakończ&quot;." totalsRowFunction="custom" totalsRowDxfId="278">
      <totalsRowFormula>COUNTA((HF3:HF159))</totalsRowFormula>
    </tableColumn>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01C17C-E729-4430-9A94-BDF77386BAED}" name="Wszystkie" displayName="Wszystkie" ref="A2:HE264" totalsRowCount="1">
  <autoFilter ref="A2:HE263" xr:uid="{BC01C17C-E729-4430-9A94-BDF77386BAED}"/>
  <sortState xmlns:xlrd2="http://schemas.microsoft.com/office/spreadsheetml/2017/richdata2" ref="A3:HE263">
    <sortCondition ref="K2:K263"/>
  </sortState>
  <tableColumns count="213">
    <tableColumn id="1" xr3:uid="{4EEEEFFF-F52C-4C3E-BD51-96ED299ECDC0}" name="Lp."/>
    <tableColumn id="214" xr3:uid="{80BD6B63-758D-4DFE-9F8A-A8EA601E29A8}" name="ID_zakończone" dataDxfId="277" totalsRowDxfId="276">
      <calculatedColumnFormula>_xlfn.IFNA(VLOOKUP(Wszystkie[[#This Row],[Zakończono wypełnianie]],Zakończone[],2,0),"BRAK")</calculatedColumnFormula>
    </tableColumn>
    <tableColumn id="2" xr3:uid="{16AC37D3-B8F0-4DB9-81F3-3F1ECCB446D4}" name="Adres IP"/>
    <tableColumn id="3" xr3:uid="{BFE1B295-9DB7-455D-8222-5224B13E08F0}" name="Kolektor"/>
    <tableColumn id="4" xr3:uid="{D243A019-221E-4E0F-AA40-BC8CF00FACAD}" name="Adres referencyjny / Respondent email"/>
    <tableColumn id="5" xr3:uid="{C40DB16E-CE0E-4C25-A09C-2C338B48A0F9}" name="Respondent imie"/>
    <tableColumn id="6" xr3:uid="{8E04B8E5-D254-4940-AA16-850E783D6E5A}" name="Respondent nazwisko"/>
    <tableColumn id="7" xr3:uid="{535AECFB-13AA-4B51-B3AC-BD923BC975F5}" name="Respondent dodatkowe dane"/>
    <tableColumn id="8" xr3:uid="{24D336CA-E560-430E-B23D-62F70E513A5A}" name="Status"/>
    <tableColumn id="9" xr3:uid="{9421A4BD-32FC-44B7-A4F5-DCB3C4E74461}" name="Rozpoczęto wypełnianie"/>
    <tableColumn id="10" xr3:uid="{FDE92EC6-3D3D-47E5-8551-5E167FAB05DC}" name="Zakończono wypełnianie"/>
    <tableColumn id="11" xr3:uid="{87A79D48-44C6-4ED4-BF9D-C426D0FCCC13}" name="Czas trwania (s)"/>
    <tableColumn id="12" xr3:uid="{E85A3348-1D6B-475A-972F-BABB7DFF0950}" name="Punktacja"/>
    <tableColumn id="13" xr3:uid="{BA24497F-9081-446B-BFB1-EF09C78183DE}" name="Czy jesteś osobą pełnoletnią?" totalsRowFunction="custom" totalsRowDxfId="275">
      <totalsRowFormula>COUNTIF(Wszystkie[Czy jesteś osobą pełnoletnią?],"*")</totalsRowFormula>
    </tableColumn>
    <tableColumn id="14" xr3:uid="{E3D767D6-BD41-4141-B5C4-1F9D8EF2956E}" name="Czy jesteś studentem uczelni wyższej?" totalsRowFunction="custom" dataDxfId="274" totalsRowDxfId="273">
      <totalsRowFormula>COUNTIF(Wszystkie[Czy jesteś studentem uczelni wyższej?],"*")</totalsRowFormula>
    </tableColumn>
    <tableColumn id="15" xr3:uid="{976C1CBA-1FD7-4C75-8BED-1BFE923879A1}" name="Jak się nazywa uczelnia, na której studiujesz? (proszę o wybranie jednej uczelni podlegającej ocenie)" totalsRowDxfId="272"/>
    <tableColumn id="16" xr3:uid="{AA3DBEFA-9D73-475E-A9A5-2D42522C9072}" name="Czy studiujesz na kierunku technicznym, tzn. takim, po którym uzyskasz tytuł inżyniera?" totalsRowDxfId="271"/>
    <tableColumn id="17" xr3:uid="{8AAAEBAF-D354-47D3-8A57-BF9F06131A1E}" name="Jak się nazywa kierunek, na którym studiujesz?" totalsRowDxfId="270"/>
    <tableColumn id="18" xr3:uid="{CD9C7D41-ABD7-4C41-89ED-89A659BAC655}" name="Moja satysfakcja z usług edukacyjnych ocenianej uczelni jest wysoka." totalsRowDxfId="269"/>
    <tableColumn id="19" xr3:uid="{31FED63E-2530-44F3-A0E2-6B96989E02A8}" name="Usługi edukacyjne ocenianej uczelni mają wysoką wartość (okazja / szansa rozwoju własnego lub kariery)." totalsRowDxfId="268"/>
    <tableColumn id="20" xr3:uid="{378DDC9B-58A3-4DE4-A300-A19FD721A037}" name="Kształcenie na ocenianej uczelni ma/będzie miało pozytywny wpływ na zwiększenie moich zarobków." totalsRowDxfId="267"/>
    <tableColumn id="21" xr3:uid="{C6A24480-7451-49D9-8645-BC69D7F99331}" name="Kolumna1" totalsRowDxfId="266"/>
    <tableColumn id="22" xr3:uid="{D80E567D-CCDD-4B11-B18B-072D893C7687}" name="w pierwszym roku po ukończeniu studiów : wybierz wartość z listy rozwijanej" totalsRowDxfId="265"/>
    <tableColumn id="23" xr3:uid="{CF51D676-6C20-46B0-A565-D78CD8D4C947}" name="w 3 lata po ukończeniu studiów : wybierz wartość z listy rozwijanej" totalsRowDxfId="264"/>
    <tableColumn id="24" xr3:uid="{0F1B2099-4D7F-463D-AC59-617503BC5E14}" name="Jakich innych (poza zarobkami) efektów kształcenia na ocenianej uczelni się spodziewasz?" totalsRowDxfId="263"/>
    <tableColumn id="25" xr3:uid="{35D57207-52B7-455E-A9ED-A6AD95338EC7}" name="Co wpływa na Twoją satysfakcję ze studiowania?" totalsRowDxfId="262"/>
    <tableColumn id="26" xr3:uid="{CAD83457-32FA-404F-A708-C1B3C759AC6E}" name="Kolumna2" totalsRowDxfId="261"/>
    <tableColumn id="27" xr3:uid="{ADC35906-6D65-48D1-81AC-C4B4957B05D5}" name="Jakiego rodzaju są Twoje studia?" totalsRowDxfId="260"/>
    <tableColumn id="28" xr3:uid="{E068B642-DF74-4CAA-A88E-B517DC5FC386}" name="Pole dodatkowe" totalsRowDxfId="259"/>
    <tableColumn id="29" xr3:uid="{38F90488-07A7-4B7C-882D-784B03584081}" name="Na którym semestrze studiujesz obecnie?" totalsRowDxfId="258"/>
    <tableColumn id="30" xr3:uid="{5A578F2D-0AA4-4797-8F97-B23C8F9552C7}" name="Czy jesteś absolwentem uczelni wyższej?" totalsRowFunction="custom" dataDxfId="257" totalsRowDxfId="256">
      <totalsRowFormula>COUNTIF(Wszystkie[Czy jesteś absolwentem uczelni wyższej?],"*")</totalsRowFormula>
    </tableColumn>
    <tableColumn id="31" xr3:uid="{D2B6D93F-7BC9-4B45-93AA-4FD89F63764D}" name="Jak się nazywa uczelnia którą ukończyłeś? (proszę o wybranie jednej uczelni podlegającej ocenie)" totalsRowDxfId="255"/>
    <tableColumn id="32" xr3:uid="{E591DDF7-3A8B-45B3-9972-7C4BB854C0A9}" name="W którym roku ukończyłaś/eś studia (rok w którym uzyskano dyplom ukończenia studiów drugiego stopnia, albo pierwszego stopnia, jeśli nie uzyskano dyplomu 2. stopnia)?" totalsRowDxfId="254"/>
    <tableColumn id="33" xr3:uid="{B826B930-988D-4AF8-9D52-5EF6AF6A7F20}" name="Czy ukończony kierunek był kierunkiem technicznym, tzn. takim, po którym uzyskałaś/eś tytuł inżyniera?" totalsRowDxfId="253"/>
    <tableColumn id="34" xr3:uid="{0507FF43-58D2-4683-81A2-9CE2C2FA5844}" name="Jak się nazywa kierunek, który ukończyłaś/eś?" totalsRowDxfId="252"/>
    <tableColumn id="35" xr3:uid="{AC65CB7E-A5EF-4C79-B96D-EA85400721B9}" name="Moja satysfakcja z (efektów) usług edukacyjnych ocenianej uczelni jest wysoka." totalsRowDxfId="251"/>
    <tableColumn id="36" xr3:uid="{36BB94DA-A6A2-46AA-A0C4-3AAE4ADCC084}" name="Usługi edukacyjne ocenianej uczelni mają wysoką wartość (okazja / szansa rozwoju własnego lub kariery).3" totalsRowDxfId="250"/>
    <tableColumn id="37" xr3:uid="{46DF242C-10FA-47FE-BC6B-045B295812CA}" name="Kształcenie na ocenianej uczelni ma/miało pozytywny wpływ na zwiększenie moich zarobków." totalsRowDxfId="249"/>
    <tableColumn id="38" xr3:uid="{22DB960F-1A91-4EB9-90EA-0C8BB104EBCF}" name="Moje zarobki w pierwszym roku po ukończeniu studiów były satysfakcjonujące." totalsRowDxfId="248"/>
    <tableColumn id="39" xr3:uid="{1AC1C2EA-FD9C-42F6-8732-E88F90068CC4}" name="Moje zarobki po 3. latach po ukończeniu studiów były satysfakcjonujące." totalsRowDxfId="247"/>
    <tableColumn id="40" xr3:uid="{9520518F-BEFA-48A9-A6AF-FB7CB9400F47}" name="W ile miesięcy po ukończeniu studiów uzyskałaś/eś zatrudnienie? Proszę podać liczbę miesięcy lub wpisać inną opcję (np. praca przed ukończeniem studiów; założenie własnej firmy; nie zamierzam pracować)" totalsRowDxfId="246"/>
    <tableColumn id="41" xr3:uid="{53D325CD-E5E6-4C9E-81B0-775315EF4E8E}" name="w pierwszym roku po ukończeniu studiów : wybierz wartość z listy rozwijanej4" totalsRowDxfId="245"/>
    <tableColumn id="42" xr3:uid="{A6B799C8-D5F2-4C68-B71E-F83C3A6075B7}" name="w 3 lata po ukończeniu studiów : wybierz wartość z listy rozwijanej5" totalsRowDxfId="244"/>
    <tableColumn id="43" xr3:uid="{BC589F24-9BD1-4C2F-9397-D51311E5EC39}" name="Jakie inne (poza zarobkami) efekty kształcenia na ocenianej uczelni dostrzegasz obecnie?" totalsRowDxfId="243"/>
    <tableColumn id="44" xr3:uid="{A11C2A67-EC51-4621-92CF-198235F6DDC5}" name="Co wpływało na twoją satysfakcję ze studiowania?_x000a_" totalsRowDxfId="242"/>
    <tableColumn id="45" xr3:uid="{D388932F-1A0A-4689-AB91-4A4F282D3CA9}" name="Kolumna6" totalsRowDxfId="241"/>
    <tableColumn id="46" xr3:uid="{F488CAF2-B800-439E-8332-DDBED1146AB6}" name="Jakiego rodzaju były Twoje studia?" totalsRowDxfId="240"/>
    <tableColumn id="47" xr3:uid="{00FDD7E1-EBD3-4653-98C4-D74FA980AF99}" name="Pole dodatkowe7" totalsRowDxfId="239"/>
    <tableColumn id="48" xr3:uid="{E33AE7B1-7892-48E4-9DBC-AE5EF9034B4E}" name="Czy jesteś rodzicem / opiekunem absolwenta uczelni wyższej?" totalsRowFunction="custom" dataDxfId="238" totalsRowDxfId="237">
      <totalsRowFormula>COUNTIF(Wszystkie[Czy jesteś rodzicem / opiekunem absolwenta uczelni wyższej?],"*")</totalsRowFormula>
    </tableColumn>
    <tableColumn id="49" xr3:uid="{4088849A-C602-4818-8ECC-DDB0335A5DDB}" name="Uczelnie ilu podopiecznych będziesz oceniać?" totalsRowDxfId="236"/>
    <tableColumn id="50" xr3:uid="{6BB0F22F-B640-446D-B936-91DFADFA81F1}" name="Jak się nazywa uczelnia, którą ukończył/a Twoja/Twój podopieczna/podopieczny? (proszę o wybranie jednej uczelni podlegającej ocenie)" totalsRowDxfId="235"/>
    <tableColumn id="51" xr3:uid="{760CF124-AB02-4DF1-9CE7-66B4800AC399}" name="W którym roku Twoja/Twój podopieczna/y ukończył/a studia (rok w którym uzyskano dyplom ukończenia studiów drugiego stopnia, albo pierwszego stopnia, jeśli nie uzyskano dyplomu 2. stopnia)?" totalsRowDxfId="234"/>
    <tableColumn id="52" xr3:uid="{26244E73-3F31-4ED7-99CC-718C75773980}" name="Czy ukończony kierunek był kierunkiem technicznym, tzn. takim, po którym uzyskano tytuł inżyniera?" totalsRowDxfId="233"/>
    <tableColumn id="53" xr3:uid="{F00033CF-BE1C-4649-B99E-A3FC496AF05C}" name="Jak się nazywa kierunek, który ukończył/a Twoja/Twój podopieczna/podopieczny?" totalsRowDxfId="232"/>
    <tableColumn id="54" xr3:uid="{8AE8E0B0-E59A-4253-8E89-6503DDEE44E9}" name="Moja satysfakcja z (efektów) usług edukacyjnych ocenianej uczelni jest wysoka.8" totalsRowDxfId="231"/>
    <tableColumn id="55" xr3:uid="{D72C8628-4CEE-4A6D-BD58-0114E59C605E}" name="Usługi edukacyjne ocenianej uczelni mają wysoką wartość (okazja / szansa rozwoju własnego lub kariery).9" totalsRowDxfId="230"/>
    <tableColumn id="56" xr3:uid="{53B5753F-3212-43BB-931D-3559FF6976DF}" name="Kształcenie na ocenianej uczelni ma/będzie miało pozytywny wpływ na zwiększenie zarobków mojej/mojego podopiecznej/podopiecznego." totalsRowDxfId="229"/>
    <tableColumn id="57" xr3:uid="{A9563BF9-19A1-46BF-9F31-4690E6A2385C}" name="Zarobki uzyskiwane przez mojego/moją podopieczną/podopiecznego w pierwszym roku po ukończeniu studiów były satysfakcjonujące (z mojego punktu widzenia)" totalsRowDxfId="228"/>
    <tableColumn id="58" xr3:uid="{BCC66B2D-86FD-4227-A5E9-2164B45893B0}" name="Zarobki uzyskiwane przez mojego/moją podopieczną/podopiecznego w 3 lata po ukończeniu studiów były satysfakcjonujące (z mojego punktu widzenia)" totalsRowDxfId="227"/>
    <tableColumn id="59" xr3:uid="{9CFFBACB-7C8E-434B-9D06-B256C9F8F23D}" name="W ile miesięcy po ukończeniu studiów Twoja/Twój podopieczna/podopieczny uzyskał/a zatrudnienie? Proszę podać liczbę miesięcy lub wpisać inną opcję (np. praca przed ukończeniem studiów; założenie własnej firmy; nie zamierzam pracować)" totalsRowDxfId="226"/>
    <tableColumn id="60" xr3:uid="{94345A4F-9EAB-4FE8-A337-CCC43CF7D9D3}" name="Jakie inne (poza zarobkami) efekty kształcenia na ocenianej uczelni się dostrzegasz obecnie?" totalsRowDxfId="225"/>
    <tableColumn id="61" xr3:uid="{05A46EBB-09E0-4294-881F-C45E3B66E515}" name="Jakiego rodzaju były studia, które ukończył/a Twoja/Twój podopieczna/podopieczny?" totalsRowDxfId="224"/>
    <tableColumn id="62" xr3:uid="{FE0A86D0-775F-435F-8B90-2A7B29B0B462}" name="Pole dodatkowe10" totalsRowDxfId="223"/>
    <tableColumn id="63" xr3:uid="{3C426FB0-5F3F-46C5-9E34-DD901FAA5A82}" name="Jeśli Twoja/Twój podopieczna/podopieczny ukończył/a również inne szkoły / kierunki studiów to proszę wpisz je tutaj." totalsRowDxfId="222"/>
    <tableColumn id="64" xr3:uid="{7B6238C1-79C7-4C59-B174-F693B78A54C8}" name="Czy będziesz oceniał uczelnię ukończoną przez drugiego podopiecznego?" totalsRowDxfId="221"/>
    <tableColumn id="65" xr3:uid="{72E69603-FDA8-458A-B355-C3F6177E2961}" name="Jak się nazywa uczelnia, którą ukończył/a Twoja/Twój podopieczna/podopieczny? (proszę o wybranie jednej uczelni podlegającej ocenie)11" totalsRowDxfId="220"/>
    <tableColumn id="66" xr3:uid="{C1A71495-6A60-4B39-8FA2-EDD927CA8962}" name="W którym roku Twoja/Twój podopieczna/y ukończył/a studia (rok w którym uzyskano dyplom ukończenia studiów drugiego stopnia, albo pierwszego stopnia, jeśli nie uzyskano dyplomu 2. stopnia)?12" totalsRowDxfId="219"/>
    <tableColumn id="67" xr3:uid="{51123307-FDE7-45CE-81D3-F8045A68CEB5}" name="Czy ukończony kierunek był kierunkiem technicznym, tzn. takim, po którym uzyskano tytuł inżyniera?13" totalsRowDxfId="218"/>
    <tableColumn id="68" xr3:uid="{E4E7F2FA-608F-4A76-95F9-FC633CF4A850}" name="Jak się nazywa kierunek, który ukończył/a Twoja/Twój podopieczna/podopieczny?14" totalsRowDxfId="217"/>
    <tableColumn id="69" xr3:uid="{2E0E2D92-CA45-4C29-AD1B-4107E60D2F5C}" name="Moja satysfakcja z (efektów) usług edukacyjnych ocenianej uczelni jest wysoka.15" totalsRowDxfId="216"/>
    <tableColumn id="70" xr3:uid="{22160B39-79EF-424B-9B2E-4205C1098DC4}" name="Usługi edukacyjne ocenianej uczelni mają wysoką wartość (okazja / szansa rozwoju własnego lub kariery).16" totalsRowDxfId="215"/>
    <tableColumn id="71" xr3:uid="{C5566328-CB9E-4672-AFA5-9A52C7FB1583}" name="Kształcenie na ocenianej uczelni ma/będzie miało pozytywny wpływ na zwiększenie zarobków mojej/mojego podopiecznej/podopiecznego.17" totalsRowDxfId="214"/>
    <tableColumn id="72" xr3:uid="{ED11287D-6F12-40C0-8EAE-0190C96B2475}" name="Zarobki uzyskiwane przez mojego/moją podopieczną/podopiecznego w pierwszym roku po ukończeniu studiów były satysfakcjonujące (z mojego punktu widzenia)18" totalsRowDxfId="213"/>
    <tableColumn id="73" xr3:uid="{5767066B-CB1E-4AC7-93CC-8721926057A1}" name="Zarobki uzyskiwane przez mojego/moją podopieczną/podopiecznego w 3 lata po ukończeniu studiów były satysfakcjonujące (z mojego punktu widzenia)19" totalsRowDxfId="212"/>
    <tableColumn id="74" xr3:uid="{09C70795-0E44-4C62-9003-FD5E5487A105}" name="W ile miesięcy po ukończeniu studiów Twoja/Twój podopieczna/podopieczny uzyskał/a zatrudnienie? Proszę podać liczbę miesięcy lub wpisać inną opcję (np. praca przed ukończeniem studiów; założenie własnej firmy; nie zamierzam pracować)20" totalsRowDxfId="211"/>
    <tableColumn id="75" xr3:uid="{91099E12-4AAE-4B3A-8B21-456B23B8E9C4}" name="Jakie inne (poza zarobkami) efekty kształcenia na ocenianej uczelni się dostrzegasz obecnie?21" totalsRowDxfId="210"/>
    <tableColumn id="76" xr3:uid="{F99FCD0E-141B-4162-9375-D912B829669B}" name="Jakiego rodzaju były studia, które ukończył/a Twoja/Twój podopieczna/podopieczny?22" totalsRowDxfId="209"/>
    <tableColumn id="77" xr3:uid="{9A935095-7069-4B79-9C19-ABCE05DB2953}" name="Pole dodatkowe23" totalsRowDxfId="208"/>
    <tableColumn id="78" xr3:uid="{73C50495-9837-4BA7-BE74-ED58E001D39F}" name="Jeśli Twoja/Twój podopieczna/podopieczny ukończył/a również inne szkoły / kierunki studiów to proszę wpisz je tutaj.24" totalsRowDxfId="207"/>
    <tableColumn id="79" xr3:uid="{2D9E6799-1116-4EBA-A4A6-EC67B715E65E}" name="Czy będziesz oceniał uczelnię ukończoną przez trzeciego podopiecznego?" totalsRowDxfId="206"/>
    <tableColumn id="80" xr3:uid="{98900E64-17FE-4566-98C9-57CB606D4413}" name="Jak się nazywa uczelnia, którą ukończył/a Twoja/Twój podopieczna/podopieczny? (proszę o wybranie jednej uczelni podlegającej ocenie)25" totalsRowDxfId="205"/>
    <tableColumn id="81" xr3:uid="{FB0D4F5E-419D-4EEB-BE63-1379089D4E7A}" name="W którym roku Twoja/Twój podopieczna/y ukończył/a studia (rok w którym uzyskano dyplom ukończenia studiów drugiego stopnia, albo pierwszego stopnia, jeśli nie uzyskano dyplomu 2. stopnia)?26" totalsRowDxfId="204"/>
    <tableColumn id="82" xr3:uid="{367FC414-3E67-4B03-A303-77F5139ABED4}" name="Czy ukończony kierunek był kierunkiem technicznym, tzn. takim, po którym uzyskano tytuł inżyniera?27" totalsRowDxfId="203"/>
    <tableColumn id="83" xr3:uid="{641F2969-C09A-425E-81A7-806949B38666}" name="Jak się nazywa kierunek, który ukończył/a Twoja/Twój podopieczna/podopieczny?28" totalsRowDxfId="202"/>
    <tableColumn id="84" xr3:uid="{6B2F3F5A-F4BF-41A2-85FA-BAC6E179E9A9}" name="Moja satysfakcja z (efektów) usług edukacyjnych ocenianej uczelni jest wysoka.29" totalsRowDxfId="201"/>
    <tableColumn id="85" xr3:uid="{792FE0EC-454A-47B2-9DEE-09E82A55AC5F}" name="Usługi edukacyjne ocenianej uczelni mają wysoką wartość (okazja / szansa rozwoju własnego lub kariery).30" totalsRowDxfId="200"/>
    <tableColumn id="86" xr3:uid="{4BD46113-3AB9-405D-8A53-F153B50E863D}" name="Kształcenie na ocenianej uczelni ma/będzie miało pozytywny wpływ na zwiększenie zarobków mojej/mojego podopiecznej/podopiecznego.31" totalsRowDxfId="199"/>
    <tableColumn id="87" xr3:uid="{4CA1C5A8-3427-428B-B7BA-106EBBA85C17}" name="Zarobki uzyskiwane przez mojego/moją podopieczną/podopiecznego w pierwszym roku po ukończeniu studiów były satysfakcjonujące (z mojego punktu widzenia)32" totalsRowDxfId="198"/>
    <tableColumn id="88" xr3:uid="{C37B06BC-EDB5-471E-9C95-05232AC9EACD}" name="Zarobki uzyskiwane przez mojego/moją podopieczną/podopiecznego w 3 lata po ukończeniu studiów były satysfakcjonujące (z mojego punktu widzenia)33" totalsRowDxfId="197"/>
    <tableColumn id="89" xr3:uid="{80E2F9B4-672A-44C0-B660-E7CCBB679529}" name="W ile miesięcy po ukończeniu studiów Twoja/Twój podopieczna/podopieczny uzyskał/a zatrudnienie? Proszę podać liczbę miesięcy lub wpisać inną opcję (np. praca przed ukończeniem studiów; założenie własnej firmy; nie zamierzam pracować)34" totalsRowDxfId="196"/>
    <tableColumn id="90" xr3:uid="{CEEBCBE8-4DF4-40BE-ADF0-2750A2BF2609}" name="Jakie inne (poza zarobkami) efekty kształcenia na ocenianej uczelni się dostrzegasz obecnie?35" totalsRowDxfId="195"/>
    <tableColumn id="91" xr3:uid="{F1A613DC-A59A-419D-8838-D041B4273E91}" name="Jakiego rodzaju były studia, które ukończył/a Twoja/Twój podopieczna/podopieczny?36" totalsRowDxfId="194"/>
    <tableColumn id="92" xr3:uid="{E26BB465-B221-4E80-9D41-43786B72F743}" name="Pole dodatkowe37" totalsRowDxfId="193"/>
    <tableColumn id="93" xr3:uid="{12E07FC6-6ACA-44C4-A376-689F504EB460}" name="Jeśli Twoja/Twój podopieczna/podopieczny ukończył/a również inne szkoły / kierunki studiów to proszę wpisz je tutaj.38" totalsRowDxfId="192"/>
    <tableColumn id="94" xr3:uid="{4FBA703D-33E9-44C4-BD22-B3FC7B168C76}" name="Czy jesteś aktualnie pracownikiem administracyjnym uczelni wyższej?" totalsRowFunction="custom" dataDxfId="191" totalsRowDxfId="190">
      <totalsRowFormula>COUNTIF(Wszystkie[Czy jesteś aktualnie pracownikiem administracyjnym uczelni wyższej?],"*")</totalsRowFormula>
    </tableColumn>
    <tableColumn id="95" xr3:uid="{BEDF36ED-A982-4CA4-BC7E-74517114A121}" name="Jak się nazywa uczelnia, na której pracujesz? (proszę o wybranie jednej uczelni podlegającej ocenie)" totalsRowDxfId="189"/>
    <tableColumn id="96" xr3:uid="{43902112-5836-47AC-AA75-A65F0D4C7817}" name="Na jakim wydziale pracujesz?" totalsRowDxfId="188"/>
    <tableColumn id="97" xr3:uid="{68D4A5FB-B6F1-410C-BBCE-5D895E75D7EF}" name="Moja satysfakcja z pracy na ocenianej uczelni jest wysoka." totalsRowDxfId="187"/>
    <tableColumn id="98" xr3:uid="{097FDF01-C103-4396-9EE5-DC463D453E58}" name="Atmosfera w zespole współpracowników jest dobra." totalsRowDxfId="186"/>
    <tableColumn id="99" xr3:uid="{5B99CA3A-6D7C-4D3E-B448-2EDAF4856B42}" name="Moje zarobki są satysfakcjonujące." totalsRowDxfId="185"/>
    <tableColumn id="100" xr3:uid="{90B0699F-2BC7-4D96-9800-8B1DB165F81E}" name="Praca na ocenianej uczelni daje mi duże szanse rozwoju." totalsRowDxfId="184"/>
    <tableColumn id="101" xr3:uid="{5CB95189-87A6-4F97-B291-A05336B23F22}" name="Wartość wykształcenia zdobywanego przez studentów ocenianej uczelni jest wysoka." totalsRowDxfId="183"/>
    <tableColumn id="102" xr3:uid="{056CF7BB-B947-41A0-AC24-42A1CBCF15BD}" name="Zdobyte na ocenianej uczelni wykształcenie ma pozytywny wpływ na zwiększenie zarobków absolwentów." totalsRowDxfId="182"/>
    <tableColumn id="103" xr3:uid="{2AB65CA7-05ED-4EB7-B603-B864E6D6745F}" name="Jakie inne (poza zarobkami) efekty kształcenia na ocenianej uczelni się dostrzegasz obecnie?39" totalsRowDxfId="181"/>
    <tableColumn id="104" xr3:uid="{DC472BA3-8D88-44A6-B5C1-5BF9558627FA}" name="Czy jesteś aktualnie pracownikiem naukowym lub dydaktycznym uczelni wyższej?" totalsRowFunction="custom" dataDxfId="180" totalsRowDxfId="179">
      <totalsRowFormula>COUNTIF(Wszystkie[Czy jesteś aktualnie pracownikiem naukowym lub dydaktycznym uczelni wyższej?],"*")</totalsRowFormula>
    </tableColumn>
    <tableColumn id="105" xr3:uid="{D6D1B999-548A-4BB7-9129-665781D6CE38}" name="Jak się nazywa uczelnia, na której pracujesz? (proszę o wybranie jednej uczelni podlegającej ocenie)40" totalsRowDxfId="178"/>
    <tableColumn id="106" xr3:uid="{2E39D77C-CC0F-41F1-8F10-30523EA3DE78}" name="Na jakim wydziale pracujesz?41" totalsRowDxfId="177"/>
    <tableColumn id="107" xr3:uid="{B9CFBDFF-9DC1-4556-855E-D4463D760A19}" name="Moja satysfakcja z pracy na ocenianej uczelni jest wysoka.42" totalsRowDxfId="176"/>
    <tableColumn id="108" xr3:uid="{158CA86A-249B-4193-A207-D38756E887C7}" name="Atmosfera w zespole współpracowników jest dobra.43" totalsRowDxfId="175"/>
    <tableColumn id="109" xr3:uid="{AC3090A9-EC3C-4C62-8AA9-F261EAB7887F}" name="Moje zarobki są satysfakcjonujące.44" totalsRowDxfId="174"/>
    <tableColumn id="110" xr3:uid="{9E04970F-962C-490E-A570-2D0912A5E57D}" name="Praca na ocenianej uczelni daje mi duże szanse rozwoju.45" totalsRowDxfId="173"/>
    <tableColumn id="111" xr3:uid="{C148AE52-9ADC-45EF-8DBC-27F0F1F05355}" name="Wartość wykształcenia zdobywanego przez studentów ocenianej uczelni jest wysoka.46" totalsRowDxfId="172"/>
    <tableColumn id="112" xr3:uid="{63921520-0FA3-4905-ACEB-02AFFB69B471}" name="Zdobyte na ocenianej uczelni wykształcenie ma pozytywny wpływ na zwiększenie zarobków absolwentów.47" totalsRowDxfId="171"/>
    <tableColumn id="113" xr3:uid="{E32B227A-B5B2-41A4-9CEB-B75A56696D75}" name="Jakie inne (poza zarobkami) efekty kształcenia na ocenianej uczelni dostrzegasz obecnie?48" totalsRowDxfId="170"/>
    <tableColumn id="114" xr3:uid="{98E95A67-6B14-4A2E-AB34-682AE1A049DC}" name="Czy jesteś przedstawicielem władz uczelni z grupy rektorów, prorektorów, dziekanów, prodziekanów, członków senatu lub członków rady uczelni?" totalsRowFunction="custom" dataDxfId="169" totalsRowDxfId="168">
      <totalsRowFormula>COUNTIF(Wszystkie[Czy jesteś przedstawicielem władz uczelni z grupy rektorów, prorektorów, dziekanów, prodziekanów, członków senatu lub członków rady uczelni?],"*")</totalsRowFormula>
    </tableColumn>
    <tableColumn id="115" xr3:uid="{7BF89A78-7FB1-4025-ACFB-A262BA883A98}" name="Proszę podać pełnioną funkcję" totalsRowDxfId="167"/>
    <tableColumn id="116" xr3:uid="{55CD3327-D03D-49EA-AD7A-8A8492F8FF76}" name="Kolumna3" totalsRowDxfId="166"/>
    <tableColumn id="117" xr3:uid="{BF356D61-903B-4604-89F3-2B471880C5B8}" name="Kolumna4" totalsRowDxfId="165"/>
    <tableColumn id="118" xr3:uid="{7173EDEB-5382-4DCE-AA15-A72B322560D6}" name="Kolumna5" totalsRowDxfId="164"/>
    <tableColumn id="119" xr3:uid="{6200F07F-FA1F-4A3F-B8ED-B934678483AF}" name="Jak się nazywa uczelnia którą będziesz oceniać (jako przedstawiciel jej władz)?" totalsRowDxfId="163"/>
    <tableColumn id="120" xr3:uid="{E6250DE6-1A12-41F3-90EE-1B4F673F6E58}" name="Efekty działań ocenianej uczelni na rzesz jakości edukacji są dobre" totalsRowDxfId="162"/>
    <tableColumn id="121" xr3:uid="{8AE05FEE-B731-4F93-90B6-915E5774E346}" name="Wartość wykształcenia zdobywanego przez studentów na ocenianej uczelni jest wysoka." totalsRowDxfId="161"/>
    <tableColumn id="122" xr3:uid="{E115058D-8C9C-450E-8DA2-D64EB971F57D}" name="Zdobyte przez studentów ocenianej uczelni wykształcenie miało/ma pozytywny wpływ na ich zarobki." totalsRowDxfId="160"/>
    <tableColumn id="123" xr3:uid="{6FEBB446-227D-4EA1-B507-206156E53809}" name="Efekty działań ocenianej uczelni na rzecz jakości edukacji mają dobry wpływ na rozwój regionu." totalsRowDxfId="159"/>
    <tableColumn id="124" xr3:uid="{01E38E74-9E44-4BFF-97FF-3B0FF3F7CDD0}" name="Efekty działań ocenianej uczelni na rzecz jakości edukacji mają dobry wpływ na rozwój Polski." totalsRowDxfId="158"/>
    <tableColumn id="125" xr3:uid="{F17A6FA5-F0F2-48AD-B639-9161F59ACD49}" name="Współpraca ocenianej uczelni z biznesem ma pozytywne efekty dla rozwoju regionu / kraju." totalsRowDxfId="157"/>
    <tableColumn id="126" xr3:uid="{81D0BDE5-B5BD-41AD-AE49-0F05E206FF4F}" name="Ogólny poziom mojej satysfakcji z jakości usług edukacyjnych ocenianej uczelni jest wysoki." totalsRowDxfId="156"/>
    <tableColumn id="127" xr3:uid="{E1B74221-E8AC-4764-9FBA-17BC7A8DAB4F}" name="Studenci : wybierz wartość z listy rozwijanej" totalsRowDxfId="155"/>
    <tableColumn id="128" xr3:uid="{9521E128-6D78-41F6-9BED-3F1F3009376D}" name="Absolwenci : wybierz wartość z listy rozwijanej" totalsRowDxfId="154"/>
    <tableColumn id="129" xr3:uid="{F972B7F0-4237-45DD-B8D9-6E5F80BC382C}" name="Rodzice absolwentów : wybierz wartość z listy rozwijanej" totalsRowDxfId="153"/>
    <tableColumn id="130" xr3:uid="{D18127FA-4AAC-43F7-8718-648B089DA3AE}" name="Pracownicy administracyjni : wybierz wartość z listy rozwijanej" totalsRowDxfId="152"/>
    <tableColumn id="131" xr3:uid="{9AD30943-8FF3-4081-BC52-0A68F33FA1E6}" name="Pracownicy naukowi i dydaktyczni : wybierz wartość z listy rozwijanej" totalsRowDxfId="151"/>
    <tableColumn id="132" xr3:uid="{F15383FF-5030-41F2-B790-DA1B9ACCD614}" name="Pracodawcy : wybierz wartość z listy rozwijanej" totalsRowDxfId="150"/>
    <tableColumn id="133" xr3:uid="{A113041C-1CEA-48AE-A9F9-6427226B931F}" name="Władze samorządowe i centralne : wybierz wartość z listy rozwijanej" totalsRowDxfId="149"/>
    <tableColumn id="134" xr3:uid="{2391059C-06A8-4E9F-9A30-2923C913E592}" name="Pole dodatkowe4" totalsRowDxfId="148"/>
    <tableColumn id="135" xr3:uid="{87323607-8918-4675-942B-66DDA6ACC52D}" name="Studenci : wybierz wartość z listy rozwijanej5" totalsRowDxfId="147"/>
    <tableColumn id="136" xr3:uid="{575464E3-342E-4010-A0B5-F16E0DA7F25D}" name="Absolwenci : wybierz wartość z listy rozwijanej6" totalsRowDxfId="146"/>
    <tableColumn id="137" xr3:uid="{3C4E7A29-9534-46F7-9E09-353DAEA57455}" name="Rodzice absolwentów : wybierz wartość z listy rozwijanej7" totalsRowDxfId="145"/>
    <tableColumn id="138" xr3:uid="{5EFF4867-813D-4D19-AFD2-41795D704E9D}" name="Pracownicy administracyjni : wybierz wartość z listy rozwijanej8" totalsRowDxfId="144"/>
    <tableColumn id="139" xr3:uid="{BD3A3545-6744-40C8-B6F9-128B604A0016}" name="Pracownicy naukowi i dydaktyczni : wybierz wartość z listy rozwijanej9" totalsRowDxfId="143"/>
    <tableColumn id="140" xr3:uid="{A370427A-746A-432F-8439-DE3E0F05E90C}" name="Pracodawcy : wybierz wartość z listy rozwijanej10" totalsRowDxfId="142"/>
    <tableColumn id="141" xr3:uid="{A6D0879A-E0B6-4F9C-B8AB-CCB9C168853D}" name="Władze samorządowe i centralne : wybierz wartość z listy rozwijanej11" totalsRowDxfId="141"/>
    <tableColumn id="142" xr3:uid="{ED69D784-3A72-4212-8A94-FFF937BB5636}" name="Pole dodatkowe12" totalsRowDxfId="140"/>
    <tableColumn id="143" xr3:uid="{F9376235-C8DC-451D-B95A-275409F154F3}" name="Czy jesteś przedstawicielem firmy, w której są zatrudniani absolwenci uczelni wyższych (tytuł licencjata, magistra lub wyższy)?" totalsRowFunction="custom" dataDxfId="139" totalsRowDxfId="138">
      <totalsRowFormula>COUNTIF(Wszystkie[Czy jesteś przedstawicielem firmy, w której są zatrudniani absolwenci uczelni wyższych (tytuł licencjata, magistra lub wyższy)?],"*")</totalsRowFormula>
    </tableColumn>
    <tableColumn id="144" xr3:uid="{85116391-6266-4B48-8190-853E624F9EA4}" name="Czy w Twojej firmie są zatrudnieni absolwenci uczelni technicznych (posiadają tytuł inżyniera)?" totalsRowDxfId="137"/>
    <tableColumn id="145" xr3:uid="{FEA12265-815B-4115-947C-C4D7389958E8}" name="Ile uczelni będziesz oceniać?" totalsRowDxfId="136"/>
    <tableColumn id="146" xr3:uid="{26F5BBF0-E63C-4FC8-A2F3-F0ADC728D5E4}" name="Jak się nazywa uczelnia, którą ocenisz? " totalsRowDxfId="135"/>
    <tableColumn id="147" xr3:uid="{61714612-8B24-4377-BCF5-066C33634E6F}" name="Moja satysfakcja z (efektów) usług edukacyjnych na ocenianej uczelni jest wysoka." totalsRowDxfId="134"/>
    <tableColumn id="148" xr3:uid="{043BF385-CFC6-4AC5-BD7D-2DC21351418F}" name="Kompetencje absolwentów ocenianej uczelni są wysokie." totalsRowDxfId="133"/>
    <tableColumn id="149" xr3:uid="{35B1450E-E76E-4137-923C-C1196FE6A242}" name="Zarobki absolwentów ocenianej uczelni zatrudnionych w mojej firmie są wyższe od zarobków absolwentów innych polskich uczelni." totalsRowDxfId="132"/>
    <tableColumn id="150" xr3:uid="{46264593-E5FF-4A8E-9E32-B5CDAD83DB38}" name="Czy w Twojej firmie są zatrudniani absolwenci uczelni w pierwszym roku po ukończeniu studiów (do 12 miesięcy od uzyskania dyplomu)?" totalsRowDxfId="131"/>
    <tableColumn id="151" xr3:uid="{AFEC3724-7638-4FBB-9B74-E3C5F372DFD7}" name="Jakie kompetencje absolwentów ocenianej uczelni są w Twojej firmie najwyżej wyceniane?" totalsRowDxfId="130"/>
    <tableColumn id="152" xr3:uid="{7C41F20E-87DA-419A-A4DC-8FC7E15280E1}" name="Jakiego rodzaju prace wykonują absolwenci ocenianej uczelni w Twojej firmie?" totalsRowDxfId="129"/>
    <tableColumn id="153" xr3:uid="{A53B26E4-0EB5-4875-918F-C84DFA999490}" name="Czy będziesz oceniał drugą uczelnię?" totalsRowDxfId="128"/>
    <tableColumn id="154" xr3:uid="{C51996BB-6F72-462D-AF3A-889816D9376D}" name="Jak się nazywa uczelnia, którą ocenisz? 13" totalsRowDxfId="127"/>
    <tableColumn id="155" xr3:uid="{C4DC7D31-6CB7-4667-BEF7-8EFAA1443E26}" name="Moja satysfakcja z (efektów) usług edukacyjnych na ocenianej uczelni jest wysoka.14" totalsRowDxfId="126"/>
    <tableColumn id="156" xr3:uid="{6BE5AEB2-D87C-4FAD-8A78-12F3665EA35B}" name="Kompetencje absolwentów ocenianej uczelni są wysokie.15" totalsRowDxfId="125"/>
    <tableColumn id="157" xr3:uid="{E68B03D6-C361-4634-B98C-870BC31CEDD8}" name="Zarobki absolwentów ocenianej uczelni zatrudnionych w mojej firmie są wyższe od zarobków absolwentów innych polskich uczelni.16" totalsRowDxfId="124"/>
    <tableColumn id="158" xr3:uid="{7AE77260-6064-4321-A8D8-8F0B2D560514}" name="Czy w Twojej firmie są zatrudniani absolwenci uczelni w pierwszym roku po ukończeniu studiów (do 12 miesięcy od uzyskania dyplomu)?17" totalsRowDxfId="123"/>
    <tableColumn id="159" xr3:uid="{02179DC7-236C-405B-9717-3820DB37DCDE}" name="Jakie kompetencje absolwentów ocenianej uczelni są w Twojej firmie najwyżej wyceniane?18" totalsRowDxfId="122"/>
    <tableColumn id="160" xr3:uid="{ACD9DA00-A265-43F3-A8CD-4AB9D52D21A7}" name="Jakiego rodzaju prace wykonują absolwenci ocenianej uczelni w Twojej firmie?19" totalsRowDxfId="121"/>
    <tableColumn id="161" xr3:uid="{40C65435-9246-41B9-9D13-8617AD0D615B}" name="Czy będziesz oceniał trzecią uczelnię techniczną?" totalsRowDxfId="120"/>
    <tableColumn id="162" xr3:uid="{6D52B5AA-D38E-4A9C-9FC4-C5F27711E4B2}" name="Jak się nazywa uczelnia, którą ocenisz? 20" totalsRowDxfId="119"/>
    <tableColumn id="163" xr3:uid="{121D311A-63E4-4EF2-A0DA-FAA985067046}" name="Moja satysfakcja z (efektów) usług edukacyjnych na ocenianej uczelni jest wysoka.21" totalsRowDxfId="118"/>
    <tableColumn id="164" xr3:uid="{F282EA05-D156-4529-9BC1-8600524F81FD}" name="Kompetencje absolwentów ocenianej uczelni są wysokie.22" totalsRowDxfId="117"/>
    <tableColumn id="165" xr3:uid="{58F11C5E-414B-4C75-8CE5-1580D3F448A9}" name="Zarobki absolwentów ocenianej uczelni zatrudnionych w mojej firmie są wyższe od zarobków absolwentów innych polskich uczelni.23" totalsRowDxfId="116"/>
    <tableColumn id="166" xr3:uid="{3E1C84AB-DCF6-4B96-B25A-E3AA8A32B928}" name="Czy w Twojej firmie są zatrudniani absolwenci uczelni w pierwszym roku po ukończeniu studiów (do 12 miesięcy od uzyskania dyplomu)?24" totalsRowDxfId="115"/>
    <tableColumn id="167" xr3:uid="{4C87DA44-3851-4B6F-8471-F5B274EEF69E}" name="Jakie kompetencje absolwentów ocenianej uczelni są w Twojej firmie najwyżej wyceniane?25" totalsRowDxfId="114"/>
    <tableColumn id="168" xr3:uid="{4889D3B6-442C-490C-9642-B9781EC55E1C}" name="Jakiego rodzaju prace wykonują absolwenci ocenianej uczelni są w Twojej firmie?" totalsRowDxfId="113"/>
    <tableColumn id="169" xr3:uid="{370CF6EE-F46C-4CFF-9496-7844071DF992}" name="Czy jesteś przedstawicielem władz samorządowych lub centralnych Rzeczypospolitej Polskiej?" totalsRowFunction="custom" dataDxfId="112" totalsRowDxfId="111">
      <totalsRowFormula>COUNTIF(Wszystkie[Czy jesteś przedstawicielem władz samorządowych lub centralnych Rzeczypospolitej Polskiej?],"*")</totalsRowFormula>
    </tableColumn>
    <tableColumn id="170" xr3:uid="{9261FE12-83A6-465C-8E68-28C7DA3FDE01}" name="Proszę wskaż jaki poziom władzy samorządowej lub centralnej reprezentujesz."/>
    <tableColumn id="171" xr3:uid="{504E7BB3-01B7-4232-B58C-CB9149546A38}" name="Proszę o podanie nazwy organu władzy jaki reprezentujesz."/>
    <tableColumn id="172" xr3:uid="{F0820F8B-2F82-4DFA-AEC8-BE77C9C51CDA}" name="Ile uczelni będziesz oceniać?26"/>
    <tableColumn id="173" xr3:uid="{C16A0C02-95C1-494C-ACC7-07019FC0AC46}" name="Jak się nazywa uczelnia, którą ocenisz?"/>
    <tableColumn id="174" xr3:uid="{3CF04C4B-6447-4842-966F-B33568D81890}" name="Efekty działań ocenianej uczelni na rzesz jakości edukacji są zgodne ze strategią rozwoju w regionie."/>
    <tableColumn id="175" xr3:uid="{6EB8280B-E335-4320-AF84-33DBD55C7D94}" name="Wartość wykształcenia zdobywanego przez studentów na ocenianej uczelni jest wysoka.27"/>
    <tableColumn id="176" xr3:uid="{9C7EECF9-AAF3-4E91-8600-2D10B27607B3}" name="Zdobyte przez studentów ocenianej uczelni wykształcenie miało/ma pozytywny wpływ na ich zarobki.28"/>
    <tableColumn id="177" xr3:uid="{61CC84FE-04E8-41F4-B57C-1EB9A665C87F}" name="Efekty działań ocenianej uczelni na rzecz jakości edukacji mają dobry wpływ na rozwój regionu.29"/>
    <tableColumn id="178" xr3:uid="{57DB71D7-7025-472D-A6FD-F866450F8BFD}" name="Efekty działań ocenianej uczelni na rzecz jakości edukacji mają dobry wpływ na rozwój Polski.30"/>
    <tableColumn id="179" xr3:uid="{7079F110-01EC-450F-9478-B5DA8735AC4D}" name="Współpraca ocenianej uczelni z biznesem ma pozytywne efekty dla rozwoju regionu / kraju.31"/>
    <tableColumn id="180" xr3:uid="{975DB000-1C75-4100-B47F-F30B9B74E711}" name="Ogólny poziom mojej satysfakcji z jakości usług edukacyjnych ocenianej uczelni jest wysoki.32"/>
    <tableColumn id="181" xr3:uid="{129304EC-78D9-443F-92F4-86DFF02C34D2}" name="Pole dodatkowe33"/>
    <tableColumn id="182" xr3:uid="{A7D934E7-A8F1-4883-A95C-2B3BCE3A8626}" name="Jakie inne efekty pracy ocenianej uczelni technicznej dostrzegasz obecnie?"/>
    <tableColumn id="183" xr3:uid="{C2787C30-4692-4F8C-83E5-C55256B062A0}" name="Czy będziesz oceniać drugą uczelnię?"/>
    <tableColumn id="184" xr3:uid="{1CB8E0D0-595D-4E3C-A0FB-739F4A979C23}" name="Jak się nazywa uczelnia, którą ocenisz?34"/>
    <tableColumn id="185" xr3:uid="{0A47D662-DBF7-4FA1-921A-D3AA0A4E3E82}" name="Efekty działań ocenianej uczelni na rzesz jakości edukacji są zgodne ze strategią rozwoju w regionie.35"/>
    <tableColumn id="186" xr3:uid="{F8DC91DF-35FC-4B3F-A4B0-000678CDB2A7}" name="Wartość wykształcenia zdobywanego przez studentów na ocenianej uczelni jest wysoka.36"/>
    <tableColumn id="187" xr3:uid="{5288BBA8-059C-4C78-AE98-4DA4C84D2993}" name="Zdobyte przez studentów ocenianej uczelni wykształcenie miało/ma pozytywny wpływ na ich zarobki.37"/>
    <tableColumn id="188" xr3:uid="{216324B9-78A6-49DB-86A9-6BA13056E4ED}" name="Efekty działań ocenianej uczelni na rzecz jakości edukacji mają dobry wpływ na rozwój regionu.38"/>
    <tableColumn id="189" xr3:uid="{D2EEE79F-A830-4564-9B26-0BA833DDA443}" name="Efekty działań ocenianej uczelni na rzecz jakości edukacji mają dobry wpływ na rozwój Polski.39"/>
    <tableColumn id="190" xr3:uid="{304F0FEC-DB66-4520-BD5E-943865F6A4CC}" name="Współpraca ocenianej uczelni z biznesem ma pozytywne efekty dla rozwoju regionu / kraju.40"/>
    <tableColumn id="191" xr3:uid="{087ED0E3-7EC3-4814-8536-779118A3378B}" name="Ogólny poziom mojej satysfakcji z jakości usług edukacyjnych ocenianej uczelni jest wysoki.41"/>
    <tableColumn id="192" xr3:uid="{C950B1A9-3DF6-438F-A085-170EBEC02851}" name="Jakie inne efekty pracy ocenianej uczelni dostrzegasz obecnie?"/>
    <tableColumn id="193" xr3:uid="{6D9E0A6D-E530-4D4A-85AD-0B0A0B9D08BA}" name="Czy będziesz oceniać trzecią uczelnię?"/>
    <tableColumn id="194" xr3:uid="{67DAB786-5EE5-4424-A8C6-6F3D75137D81}" name="Jak się nazywa uczelnia, którą ocenisz?42"/>
    <tableColumn id="195" xr3:uid="{161E9BE4-A7ED-4D26-A42A-55D53A57BDB5}" name="Efekty działań ocenianej uczelni na rzesz jakości edukacji są zgodne ze strategią rozwoju w regionie.43"/>
    <tableColumn id="196" xr3:uid="{DA8FE611-84D4-46A2-8E09-D74BD1F07BA2}" name="Wartość wykształcenia zdobywanego przez studentów na ocenianej uczelni jest wysoka.44"/>
    <tableColumn id="197" xr3:uid="{5D792AB6-4D58-47D5-8293-BCFA65D1090D}" name="Zdobyte przez studentów ocenianej uczelni wykształcenie miało/ma pozytywny wpływ na ich zarobki.45"/>
    <tableColumn id="198" xr3:uid="{D6143F2E-8D39-471E-8332-9C079A9E132B}" name="Efekty działań ocenianej uczelni na rzecz jakości edukacji mają dobry wpływ na rozwój regionu.46"/>
    <tableColumn id="199" xr3:uid="{DF22A95F-2B46-4263-891C-CDE69E0CE18F}" name="Efekty działań ocenianej uczelni na rzecz jakości edukacji mają dobry wpływ na rozwój Polski.47"/>
    <tableColumn id="200" xr3:uid="{D65DB0E3-9B35-4269-9765-80A00F2F456A}" name="Współpraca ocenianej uczelni z biznesem ma pozytywne efekty dla rozwoju regionu / kraju.48"/>
    <tableColumn id="201" xr3:uid="{BE638256-91E5-4BF4-A1F5-00241D228748}" name="Ogólny poziom mojej satysfakcji z jakości usług edukacyjnych ocenianej uczelni jest wysoki.49"/>
    <tableColumn id="202" xr3:uid="{EFB72507-13B7-47EA-9BE8-4E505CCCAB5C}" name="Jakie inne efekty pracy ocenianej uczelni dostrzegasz obecnie?50"/>
    <tableColumn id="203" xr3:uid="{B67F79A4-0C3A-4990-A78B-B0EE415BB874}" name="Jakie, Twoim zdaniem, elementy decydują o tym, że uczelnie są lepsze lub gorsze."/>
    <tableColumn id="204" xr3:uid="{932263BE-2973-4862-AB72-71605F6C09D2}" name="Kolumna51"/>
    <tableColumn id="205" xr3:uid="{90E51671-C0C1-455F-833F-8A0C00175716}" name="Kolumna52"/>
    <tableColumn id="206" xr3:uid="{1CE1618F-6122-47C6-8CAA-5AB5E3F61A93}" name="Płeć"/>
    <tableColumn id="207" xr3:uid="{47EFE08B-583B-4FC0-A645-F215B2F5E1C5}" name="Rok urodzenia"/>
    <tableColumn id="208" xr3:uid="{BE141313-C687-40C5-9C76-55BE63800CA6}" name="Z jakiej wielkości miejscowości pochodzisz? (dotyczy miejscowości, w której się wychowałaś/eś"/>
    <tableColumn id="209" xr3:uid="{0C7E668A-2EC6-4663-B2EB-642914C11338}" name="Pole dodatkowe52"/>
    <tableColumn id="210" xr3:uid="{23075146-59F6-4BEB-9527-F5CBF28198D2}" name="Jakie inne wykształcenie poza tym uwzględnionym w niniejszej ankiecie posiadasz? (ukończone szkoły/studia)"/>
    <tableColumn id="211" xr3:uid="{F615B64E-6C3A-48AC-8408-CE464B5680B4}" name="Jakie inne wykształcenie poza tym uwzględnionym w niniejszej ankiecie zdobywasz? (nieukończone jeszcze lub przerwane szkoły/studia)"/>
    <tableColumn id="212" xr3:uid="{778B4920-A28C-4CED-BA16-E6B7C1E2FEE5}" name="Dziękuję za czas poświęcony na wypełnienie niniejszej ankiety. _x000a_Jeśli masz uwagi to proszę zamieść je poniżej._x000a_Po zakończeniu udzielania odpowiedzi proszę o naciśnięcie przycisku &quot;Zakończ&quot;."/>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9606F5-B66D-42E2-8199-37B3E6FD7362}" name="Zakończone" displayName="Zakończone" ref="A2:HD140" totalsRowShown="0" headerRowCellStyle="Normalny 2" dataCellStyle="Normalny 2">
  <autoFilter ref="A2:HD140" xr:uid="{5C9606F5-B66D-42E2-8199-37B3E6FD7362}"/>
  <tableColumns count="212">
    <tableColumn id="10" xr3:uid="{0AC2BF35-D525-42F8-9588-E405EE8676C9}" name="Zakończono wypełnianie" dataCellStyle="Normalny 2"/>
    <tableColumn id="1" xr3:uid="{D0F7BDB5-F1DE-4561-82AF-58B3213FE842}" name="Lp." dataCellStyle="Normalny 2"/>
    <tableColumn id="2" xr3:uid="{08408473-919F-4F13-9CD6-1D75FCD76416}" name="Adres IP" dataCellStyle="Normalny 2"/>
    <tableColumn id="3" xr3:uid="{82E8BF6A-C580-49D8-B973-C3376C0F2B0B}" name="Kolektor" dataCellStyle="Normalny 2"/>
    <tableColumn id="4" xr3:uid="{FDE5E52D-D5E6-4797-8732-3CE5144AEED5}" name="Adres referencyjny / Respondent email" dataCellStyle="Normalny 2"/>
    <tableColumn id="5" xr3:uid="{CBEB578D-9098-4C28-A3CD-841E7C78CE68}" name="Respondent imie" dataCellStyle="Normalny 2"/>
    <tableColumn id="6" xr3:uid="{A8F4F8A9-2A37-49E1-95D3-EDC25E5D1A9E}" name="Respondent nazwisko" dataCellStyle="Normalny 2"/>
    <tableColumn id="7" xr3:uid="{2F7D8555-5967-47E2-903C-77C51A9DA87F}" name="Respondent dodatkowe dane" dataCellStyle="Normalny 2"/>
    <tableColumn id="8" xr3:uid="{C7317C0E-0CD9-43FB-8F0F-E98476248BB1}" name="Status" dataCellStyle="Normalny 2"/>
    <tableColumn id="9" xr3:uid="{FF5A8A5C-D7B0-48EF-8BB8-F7062BBBF20D}" name="Rozpoczęto wypełnianie" dataCellStyle="Normalny 2"/>
    <tableColumn id="11" xr3:uid="{489718CC-0E79-46C1-BF23-1B43C5F17C22}" name="Czas trwania (s)" dataCellStyle="Normalny 2"/>
    <tableColumn id="12" xr3:uid="{F5195522-03CE-46E7-B558-6B1148B27A36}" name="Punktacja" dataCellStyle="Normalny 2"/>
    <tableColumn id="13" xr3:uid="{A8AA494F-EA73-4117-9332-412B4C9593F2}" name="Czy jesteś osobą pełnoletnią?" dataCellStyle="Normalny 2"/>
    <tableColumn id="14" xr3:uid="{860DF726-EB55-4758-BEC7-0CE7F7DE738E}" name="Czy jesteś studentem uczelni wyższej?" dataCellStyle="Normalny 2"/>
    <tableColumn id="15" xr3:uid="{69756836-F778-495A-B420-C1D84321517B}" name="Jak się nazywa uczelnia, na której studiujesz? (proszę o wybranie jednej uczelni podlegającej ocenie)" dataCellStyle="Normalny 2"/>
    <tableColumn id="16" xr3:uid="{C2273A04-DCC4-43C3-8F73-E5A275FC5FA4}" name="Czy studiujesz na kierunku technicznym, tzn. takim, po którym uzyskasz tytuł inżyniera?" dataCellStyle="Normalny 2"/>
    <tableColumn id="17" xr3:uid="{CF46ABEE-1F48-4AE5-AC0A-AFFE218B1DFF}" name="Jak się nazywa kierunek, na którym studiujesz?" dataCellStyle="Normalny 2"/>
    <tableColumn id="18" xr3:uid="{6931940F-9D97-4284-96FE-FABB1DAFFEE6}" name="Moja satysfakcja z usług edukacyjnych ocenianej uczelni jest wysoka." dataCellStyle="Normalny 2"/>
    <tableColumn id="19" xr3:uid="{D8B46FC9-D411-4FB7-9043-5415F96E35D6}" name="Usługi edukacyjne ocenianej uczelni mają wysoką wartość (okazja / szansa rozwoju własnego lub kariery)." dataCellStyle="Normalny 2"/>
    <tableColumn id="20" xr3:uid="{6415A00C-06E3-44C4-A80D-725F75902060}" name="Kształcenie na ocenianej uczelni ma/będzie miało pozytywny wpływ na zwiększenie moich zarobków." dataCellStyle="Normalny 2"/>
    <tableColumn id="21" xr3:uid="{CC60C480-2FA0-43DC-B5BA-225BE52B5721}" name="W ile miesięcy po ukończeniu studiów spodziewasz się  uzyskać zatrudnienie? Proszę podać liczbę miesięcy lub wpisać inną opcję (np. praca przed ukończeniem studiów; założenie własnej firmy; nie zamierzam pracować)" dataCellStyle="Normalny 2"/>
    <tableColumn id="22" xr3:uid="{6E85ED60-B070-4F89-9E57-BDE607AFB152}" name="w pierwszym roku po ukończeniu studiów : wybierz wartość z listy rozwijanej" dataCellStyle="Normalny 2"/>
    <tableColumn id="23" xr3:uid="{6169FB15-27E0-42DD-A10B-A673C54A3783}" name="w 3 lata po ukończeniu studiów : wybierz wartość z listy rozwijanej" dataCellStyle="Normalny 2"/>
    <tableColumn id="24" xr3:uid="{AC7CA9AD-9F4A-4EBB-B426-0BFACE261F4A}" name="Jakich innych (poza zarobkami) efektów kształcenia na ocenianej uczelni się spodziewasz?" dataCellStyle="Normalny 2"/>
    <tableColumn id="25" xr3:uid="{1FDBE4B3-52A8-40F2-8BB1-60C94AA56611}" name="Co wpływa na Twoją satysfakcję ze studiowania?" dataCellStyle="Normalny 2"/>
    <tableColumn id="26" xr3:uid="{7D28DFFF-1D87-4CC0-9177-55765B0B736E}" name="Kolumna1" dataCellStyle="Normalny 2"/>
    <tableColumn id="27" xr3:uid="{A7F2A556-FADB-4940-88B5-CAE4B1ADBB6F}" name="Jakiego rodzaju są Twoje studia?" dataCellStyle="Normalny 2"/>
    <tableColumn id="28" xr3:uid="{B0A52F2F-460F-4327-A169-0FFF3BF1FE41}" name="Pole dodatkowe" dataCellStyle="Normalny 2"/>
    <tableColumn id="29" xr3:uid="{B9D375C4-382E-4C26-9E4C-EFEB1DFBC6F6}" name="Na którym semestrze studiujesz obecnie?" dataCellStyle="Normalny 2"/>
    <tableColumn id="30" xr3:uid="{D74731D1-C2D8-48DF-A77A-D1DAC8E2FCF7}" name="Czy jesteś absolwentem uczelni wyższej?" dataCellStyle="Normalny 2"/>
    <tableColumn id="31" xr3:uid="{80439BB6-5744-472C-A0C0-541B51DC7EA5}" name="Jak się nazywa uczelnia którą ukończyłeś? (proszę o wybranie jednej uczelni podlegającej ocenie)" dataCellStyle="Normalny 2"/>
    <tableColumn id="32" xr3:uid="{3A7E672C-2B04-44DF-9F50-F172B334FA39}" name="W którym roku ukończyłaś/eś studia (rok w którym uzyskano dyplom ukończenia studiów drugiego stopnia, albo pierwszego stopnia, jeśli nie uzyskano dyplomu 2. stopnia)?" dataCellStyle="Normalny 2"/>
    <tableColumn id="33" xr3:uid="{073FE873-45E9-42F8-80F6-65FC660D5197}" name="Czy ukończony kierunek był kierunkiem technicznym, tzn. takim, po którym uzyskałaś/eś tytuł inżyniera?" dataCellStyle="Normalny 2"/>
    <tableColumn id="34" xr3:uid="{9DFBCAA7-4685-436F-9835-DE2137FC1499}" name="Jak się nazywa kierunek, który ukończyłaś/eś?" dataCellStyle="Normalny 2"/>
    <tableColumn id="35" xr3:uid="{F834ADB0-7EDC-4A96-9ADE-629E1D62F418}" name="Moja satysfakcja z (efektów) usług edukacyjnych ocenianej uczelni jest wysoka." dataCellStyle="Normalny 2"/>
    <tableColumn id="36" xr3:uid="{2B7353B2-9782-4291-9A5E-8E3D296B40F7}" name="Usługi edukacyjne ocenianej uczelni mają wysoką wartość (okazja / szansa rozwoju własnego lub kariery).2" dataCellStyle="Normalny 2"/>
    <tableColumn id="37" xr3:uid="{13B3FEA8-F22C-4F1C-AC7D-15112CF301C4}" name="Kształcenie na ocenianej uczelni ma/miało pozytywny wpływ na zwiększenie moich zarobków." dataCellStyle="Normalny 2"/>
    <tableColumn id="38" xr3:uid="{0F60E510-0B8E-4153-970E-3E0CDA97C63E}" name="Moje zarobki w pierwszym roku po ukończeniu studiów były satysfakcjonujące." dataCellStyle="Normalny 2"/>
    <tableColumn id="39" xr3:uid="{2921B3EC-C754-4B39-BCE2-59440272D28C}" name="Moje zarobki po 3. latach po ukończeniu studiów były satysfakcjonujące." dataCellStyle="Normalny 2"/>
    <tableColumn id="40" xr3:uid="{B5A62817-D5E9-4E47-9217-F9648CBB6B72}" name="W ile miesięcy po ukończeniu studiów uzyskałaś/eś zatrudnienie? Proszę podać liczbę miesięcy lub wpisać inną opcję (np. praca przed ukończeniem studiów; założenie własnej firmy; nie zamierzam pracować)" dataCellStyle="Normalny 2"/>
    <tableColumn id="41" xr3:uid="{AA43BA04-F7C8-486F-8045-B4808B4B7D50}" name="w pierwszym roku po ukończeniu studiów : wybierz wartość z listy rozwijanej3" dataCellStyle="Normalny 2"/>
    <tableColumn id="42" xr3:uid="{1D3CA923-FC42-4DF5-8C3D-DC6E21863A7E}" name="w 3 lata po ukończeniu studiów : wybierz wartość z listy rozwijanej4" dataCellStyle="Normalny 2"/>
    <tableColumn id="43" xr3:uid="{5FC9B827-5AD1-4B15-8A15-09A5E9B9C787}" name="Jakie inne (poza zarobkami) efekty kształcenia na ocenianej uczelni dostrzegasz obecnie?" dataCellStyle="Normalny 2"/>
    <tableColumn id="44" xr3:uid="{7DD0BE84-D469-42E5-9FE8-A1AEDB0E8509}" name="Co wpływało na twoją satysfakcję ze studiowania?_x000a_" dataCellStyle="Normalny 2"/>
    <tableColumn id="45" xr3:uid="{6FC0232B-C1BF-43E1-BDD2-71F433FEEC39}" name="Kolumna5" dataCellStyle="Normalny 2"/>
    <tableColumn id="46" xr3:uid="{E9618AAF-B6D8-465A-8818-C05756EE267A}" name="Jakiego rodzaju były Twoje studia?" dataCellStyle="Normalny 2"/>
    <tableColumn id="47" xr3:uid="{C11C3AC1-D703-49BB-AC55-756DA92EBB88}" name="Pole dodatkowe6" dataCellStyle="Normalny 2"/>
    <tableColumn id="48" xr3:uid="{B8266715-EE02-4C84-8BE6-5CA39FCBA3E5}" name="Czy jesteś rodzicem / opiekunem absolwenta uczelni wyższej?" dataCellStyle="Normalny 2"/>
    <tableColumn id="49" xr3:uid="{15637092-8ED7-4A82-B292-F67EBF80E015}" name="Uczelnie ilu podopiecznych będziesz oceniać?" dataCellStyle="Normalny 2"/>
    <tableColumn id="50" xr3:uid="{9586286A-F6AD-40A4-8359-EED24F3ADAAD}" name="Jak się nazywa uczelnia, którą ukończył/a Twoja/Twój podopieczna/podopieczny? (proszę o wybranie jednej uczelni podlegającej ocenie)" dataCellStyle="Normalny 2"/>
    <tableColumn id="51" xr3:uid="{635916AF-7B4F-435B-80A0-71232A4FFBE5}" name="W którym roku Twoja/Twój podopieczna/y ukończył/a studia (rok w którym uzyskano dyplom ukończenia studiów drugiego stopnia, albo pierwszego stopnia, jeśli nie uzyskano dyplomu 2. stopnia)?" dataCellStyle="Normalny 2"/>
    <tableColumn id="52" xr3:uid="{D79216FA-D3F6-4DDA-9CEC-D7EA265C46EF}" name="Czy ukończony kierunek był kierunkiem technicznym, tzn. takim, po którym uzyskano tytuł inżyniera?" dataCellStyle="Normalny 2"/>
    <tableColumn id="53" xr3:uid="{0FAC5841-AC58-4AC4-8E53-9FF37D8DA06D}" name="Jak się nazywa kierunek, który ukończył/a Twoja/Twój podopieczna/podopieczny?" dataCellStyle="Normalny 2"/>
    <tableColumn id="54" xr3:uid="{C226A6B2-09BD-4A69-941C-B4E3079A37B4}" name="Moja satysfakcja z (efektów) usług edukacyjnych ocenianej uczelni jest wysoka.7" dataCellStyle="Normalny 2"/>
    <tableColumn id="55" xr3:uid="{EDB9481D-FD67-4B80-91C5-7BC31EAC91BF}" name="Usługi edukacyjne ocenianej uczelni mają wysoką wartość (okazja / szansa rozwoju własnego lub kariery).8" dataCellStyle="Normalny 2"/>
    <tableColumn id="56" xr3:uid="{D331D3B9-89DE-4ACC-827C-C4CEF88FB700}" name="Kształcenie na ocenianej uczelni ma/będzie miało pozytywny wpływ na zwiększenie zarobków mojej/mojego podopiecznej/podopiecznego." dataCellStyle="Normalny 2"/>
    <tableColumn id="57" xr3:uid="{E7857AE1-C89B-44A9-B57D-071C03A163CE}" name="Zarobki uzyskiwane przez mojego/moją podopieczną/podopiecznego w pierwszym roku po ukończeniu studiów były satysfakcjonujące (z mojego punktu widzenia)" dataCellStyle="Normalny 2"/>
    <tableColumn id="58" xr3:uid="{B0851734-031A-4391-B393-A42A0710F4E4}" name="Zarobki uzyskiwane przez mojego/moją podopieczną/podopiecznego w 3 lata po ukończeniu studiów były satysfakcjonujące (z mojego punktu widzenia)" dataCellStyle="Normalny 2"/>
    <tableColumn id="59" xr3:uid="{B46BEC40-E051-4838-A76F-7B6FFF4527BB}" name="W ile miesięcy po ukończeniu studiów Twoja/Twój podopieczna/podopieczny uzyskał/a zatrudnienie? Proszę podać liczbę miesięcy lub wpisać inną opcję (np. praca przed ukończeniem studiów; założenie własnej firmy; nie zamierzam pracować)" dataCellStyle="Normalny 2"/>
    <tableColumn id="60" xr3:uid="{4D009803-6E6A-44D1-AB24-61207CDC66B2}" name="Jakie inne (poza zarobkami) efekty kształcenia na ocenianej uczelni się dostrzegasz obecnie?" dataCellStyle="Normalny 2"/>
    <tableColumn id="61" xr3:uid="{13A43C5E-673B-47CB-B3BE-19F64CDE0053}" name="Jakiego rodzaju były studia, które ukończył/a Twoja/Twój podopieczna/podopieczny?" dataCellStyle="Normalny 2"/>
    <tableColumn id="62" xr3:uid="{2E4B9A4A-3428-41F2-880D-ED12CE476029}" name="Pole dodatkowe9" dataCellStyle="Normalny 2"/>
    <tableColumn id="63" xr3:uid="{4588454E-3C67-4DD6-BB48-28E4B525D39C}" name="Jeśli Twoja/Twój podopieczna/podopieczny ukończył/a również inne szkoły / kierunki studiów to proszę wpisz je tutaj." dataCellStyle="Normalny 2"/>
    <tableColumn id="64" xr3:uid="{7FED2F00-678B-4DD2-9B8C-E3FB5A963BD7}" name="Czy będziesz oceniał uczelnię ukończoną przez drugiego podopiecznego?" dataCellStyle="Normalny 2"/>
    <tableColumn id="65" xr3:uid="{47AEC793-88CE-4BA9-98FB-437D42B96D98}" name="Jak się nazywa uczelnia, którą ukończył/a Twoja/Twój podopieczna/podopieczny? (proszę o wybranie jednej uczelni podlegającej ocenie)10" dataCellStyle="Normalny 2"/>
    <tableColumn id="66" xr3:uid="{3C36D269-B3C8-47F9-9474-367418CC26E9}" name="W którym roku Twoja/Twój podopieczna/y ukończył/a studia (rok w którym uzyskano dyplom ukończenia studiów drugiego stopnia, albo pierwszego stopnia, jeśli nie uzyskano dyplomu 2. stopnia)?11" dataCellStyle="Normalny 2"/>
    <tableColumn id="67" xr3:uid="{C65B0EB7-A1AB-48E2-8F47-A345DDC9D6E5}" name="Czy ukończony kierunek był kierunkiem technicznym, tzn. takim, po którym uzyskano tytuł inżyniera?12" dataCellStyle="Normalny 2"/>
    <tableColumn id="68" xr3:uid="{EC91F014-4B2B-4401-8B34-DC5CFA99988E}" name="Jak się nazywa kierunek, który ukończył/a Twoja/Twój podopieczna/podopieczny?13" dataCellStyle="Normalny 2"/>
    <tableColumn id="69" xr3:uid="{D9BB07FE-82F1-443F-81C1-CD664BE10C60}" name="Moja satysfakcja z (efektów) usług edukacyjnych ocenianej uczelni jest wysoka.14" dataCellStyle="Normalny 2"/>
    <tableColumn id="70" xr3:uid="{9C0AE0AB-2BE3-4BA8-BBAA-973531B3BEC2}" name="Usługi edukacyjne ocenianej uczelni mają wysoką wartość (okazja / szansa rozwoju własnego lub kariery).15" dataCellStyle="Normalny 2"/>
    <tableColumn id="71" xr3:uid="{D2BAAF50-F8AE-4DEF-8B85-D9331891C217}" name="Kształcenie na ocenianej uczelni ma/będzie miało pozytywny wpływ na zwiększenie zarobków mojej/mojego podopiecznej/podopiecznego.16" dataCellStyle="Normalny 2"/>
    <tableColumn id="72" xr3:uid="{BC7B308D-8F4B-4307-A4E3-FB2A7D68173C}" name="Zarobki uzyskiwane przez mojego/moją podopieczną/podopiecznego w pierwszym roku po ukończeniu studiów były satysfakcjonujące (z mojego punktu widzenia)17" dataCellStyle="Normalny 2"/>
    <tableColumn id="73" xr3:uid="{44B18966-CAF2-4282-BA60-DB60A848E30D}" name="Zarobki uzyskiwane przez mojego/moją podopieczną/podopiecznego w 3 lata po ukończeniu studiów były satysfakcjonujące (z mojego punktu widzenia)18" dataCellStyle="Normalny 2"/>
    <tableColumn id="74" xr3:uid="{0C51F27B-6E25-4E4A-AC8D-468405657774}" name="W ile miesięcy po ukończeniu studiów Twoja/Twój podopieczna/podopieczny uzyskał/a zatrudnienie? Proszę podać liczbę miesięcy lub wpisać inną opcję (np. praca przed ukończeniem studiów; założenie własnej firmy; nie zamierzam pracować)19" dataCellStyle="Normalny 2"/>
    <tableColumn id="75" xr3:uid="{9BCF01C5-AAFF-42B1-B184-B3C0596C9995}" name="Jakie inne (poza zarobkami) efekty kształcenia na ocenianej uczelni się dostrzegasz obecnie?20" dataCellStyle="Normalny 2"/>
    <tableColumn id="76" xr3:uid="{143FF37E-AF8D-4A3E-A0FE-8C9D0D51762F}" name="Jakiego rodzaju były studia, które ukończył/a Twoja/Twój podopieczna/podopieczny?21" dataCellStyle="Normalny 2"/>
    <tableColumn id="77" xr3:uid="{D5D4934C-C921-4C71-8863-9B0454A0C693}" name="Pole dodatkowe22" dataCellStyle="Normalny 2"/>
    <tableColumn id="78" xr3:uid="{695AF320-99ED-4CFA-97B8-D614B1E87F73}" name="Jeśli Twoja/Twój podopieczna/podopieczny ukończył/a również inne szkoły / kierunki studiów to proszę wpisz je tutaj.23" dataCellStyle="Normalny 2"/>
    <tableColumn id="79" xr3:uid="{5DCD8B33-6B70-4BC5-A22E-7F915BE8410A}" name="Czy będziesz oceniał uczelnię ukończoną przez trzeciego podopiecznego?" dataCellStyle="Normalny 2"/>
    <tableColumn id="80" xr3:uid="{C117D672-FF06-464F-82AD-DBA9E0EAAD95}" name="Jak się nazywa uczelnia, którą ukończył/a Twoja/Twój podopieczna/podopieczny? (proszę o wybranie jednej uczelni podlegającej ocenie)24" dataCellStyle="Normalny 2"/>
    <tableColumn id="81" xr3:uid="{1F66302D-98F9-4E23-9C56-C7ED64A55992}" name="W którym roku Twoja/Twój podopieczna/y ukończył/a studia (rok w którym uzyskano dyplom ukończenia studiów drugiego stopnia, albo pierwszego stopnia, jeśli nie uzyskano dyplomu 2. stopnia)?25" dataCellStyle="Normalny 2"/>
    <tableColumn id="82" xr3:uid="{D93976EE-D9BA-409C-A196-41F9C7840364}" name="Czy ukończony kierunek był kierunkiem technicznym, tzn. takim, po którym uzyskano tytuł inżyniera?26" dataCellStyle="Normalny 2"/>
    <tableColumn id="83" xr3:uid="{BA8CA152-3E5E-425F-A90D-F191704F0502}" name="Jak się nazywa kierunek, który ukończył/a Twoja/Twój podopieczna/podopieczny?27" dataCellStyle="Normalny 2"/>
    <tableColumn id="84" xr3:uid="{54B2841A-F866-4FC4-96BA-EF6E4D8C2527}" name="Moja satysfakcja z (efektów) usług edukacyjnych ocenianej uczelni jest wysoka.28" dataCellStyle="Normalny 2"/>
    <tableColumn id="85" xr3:uid="{2552B5F1-DC0D-43B0-9705-A3C932AC6829}" name="Usługi edukacyjne ocenianej uczelni mają wysoką wartość (okazja / szansa rozwoju własnego lub kariery).29" dataCellStyle="Normalny 2"/>
    <tableColumn id="86" xr3:uid="{0364CC9E-6F6B-4125-A238-534A0E9CECB4}" name="Kształcenie na ocenianej uczelni ma/będzie miało pozytywny wpływ na zwiększenie zarobków mojej/mojego podopiecznej/podopiecznego.30" dataCellStyle="Normalny 2"/>
    <tableColumn id="87" xr3:uid="{BED40B61-09EB-48ED-A082-E3EFD845CEDE}" name="Zarobki uzyskiwane przez mojego/moją podopieczną/podopiecznego w pierwszym roku po ukończeniu studiów były satysfakcjonujące (z mojego punktu widzenia)31" dataCellStyle="Normalny 2"/>
    <tableColumn id="88" xr3:uid="{93863897-7BFC-459C-AE75-1272B75E4228}" name="Zarobki uzyskiwane przez mojego/moją podopieczną/podopiecznego w 3 lata po ukończeniu studiów były satysfakcjonujące (z mojego punktu widzenia)32" dataCellStyle="Normalny 2"/>
    <tableColumn id="89" xr3:uid="{6480B5EC-5779-47A4-A935-D3B654C40426}" name="W ile miesięcy po ukończeniu studiów Twoja/Twój podopieczna/podopieczny uzyskał/a zatrudnienie? Proszę podać liczbę miesięcy lub wpisać inną opcję (np. praca przed ukończeniem studiów; założenie własnej firmy; nie zamierzam pracować)33" dataCellStyle="Normalny 2"/>
    <tableColumn id="90" xr3:uid="{A2C0BEA5-22FE-4C85-980F-252D9F7D1E94}" name="Jakie inne (poza zarobkami) efekty kształcenia na ocenianej uczelni się dostrzegasz obecnie?34" dataCellStyle="Normalny 2"/>
    <tableColumn id="91" xr3:uid="{D86C9440-D785-473B-AFB1-4C6C87402D9B}" name="Jakiego rodzaju były studia, które ukończył/a Twoja/Twój podopieczna/podopieczny?35" dataCellStyle="Normalny 2"/>
    <tableColumn id="92" xr3:uid="{CB13D978-728C-4ACB-9645-A8A6856C36A9}" name="Pole dodatkowe36" dataCellStyle="Normalny 2"/>
    <tableColumn id="93" xr3:uid="{4CEC6126-AB78-4411-8D08-13549731E224}" name="Jeśli Twoja/Twój podopieczna/podopieczny ukończył/a również inne szkoły / kierunki studiów to proszę wpisz je tutaj.37" dataCellStyle="Normalny 2"/>
    <tableColumn id="94" xr3:uid="{666C882D-3CAC-4CFB-83A0-7E454A7783C8}" name="Czy jesteś aktualnie pracownikiem administracyjnym uczelni wyższej?" dataCellStyle="Normalny 2"/>
    <tableColumn id="95" xr3:uid="{B1A54CF9-7324-463D-B30D-7ED3E40670CE}" name="Jak się nazywa uczelnia, na której pracujesz? (proszę o wybranie jednej uczelni podlegającej ocenie)" dataCellStyle="Normalny 2"/>
    <tableColumn id="96" xr3:uid="{E2512729-F97D-444C-9AFF-34822611EE49}" name="Na jakim wydziale pracujesz?" dataCellStyle="Normalny 2"/>
    <tableColumn id="97" xr3:uid="{F73A9866-8D28-4CC9-A2C7-051F89817984}" name="Moja satysfakcja z pracy na ocenianej uczelni jest wysoka." dataCellStyle="Normalny 2"/>
    <tableColumn id="98" xr3:uid="{28DED136-9BA7-4F69-B459-670F4F346A5A}" name="Atmosfera w zespole współpracowników jest dobra." dataCellStyle="Normalny 2"/>
    <tableColumn id="99" xr3:uid="{D9E15C50-0F2D-4245-AF24-5878C3C4EDD7}" name="Moje zarobki są satysfakcjonujące." dataCellStyle="Normalny 2"/>
    <tableColumn id="100" xr3:uid="{5FC570EE-7ACA-4327-9D70-87C413C9300B}" name="Praca na ocenianej uczelni daje mi duże szanse rozwoju." dataCellStyle="Normalny 2"/>
    <tableColumn id="101" xr3:uid="{9ED19612-451B-453A-AD2C-97754AED97FE}" name="Wartość wykształcenia zdobywanego przez studentów ocenianej uczelni jest wysoka." dataCellStyle="Normalny 2"/>
    <tableColumn id="102" xr3:uid="{4C55692E-B06F-427C-8884-2E0C192583A3}" name="Zdobyte na ocenianej uczelni wykształcenie ma pozytywny wpływ na zwiększenie zarobków absolwentów." dataCellStyle="Normalny 2"/>
    <tableColumn id="103" xr3:uid="{85582560-8093-4EDE-8DF7-7AC787AF74CE}" name="Jakie inne (poza zarobkami) efekty kształcenia na ocenianej uczelni się dostrzegasz obecnie?38" dataCellStyle="Normalny 2"/>
    <tableColumn id="104" xr3:uid="{BB34A713-FD5E-4385-A7EE-3C9861F78B6E}" name="Czy jesteś aktualnie pracownikiem naukowym lub dydaktycznym uczelni wyższej?" dataCellStyle="Normalny 2"/>
    <tableColumn id="105" xr3:uid="{18967455-15D9-45B0-8787-F7DAD1F73496}" name="Jak się nazywa uczelnia, na której pracujesz? (proszę o wybranie jednej uczelni podlegającej ocenie)39" dataCellStyle="Normalny 2"/>
    <tableColumn id="106" xr3:uid="{6187A40C-32C1-4C51-B0B5-C6A88FCF6C0A}" name="Na jakim wydziale pracujesz?40" dataCellStyle="Normalny 2"/>
    <tableColumn id="107" xr3:uid="{4E9360D2-3A07-4069-896E-9F33A3325B5A}" name="Moja satysfakcja z pracy na ocenianej uczelni jest wysoka.41" dataCellStyle="Normalny 2"/>
    <tableColumn id="108" xr3:uid="{E1B594C1-ECE6-4199-BFDC-568F5DE62AB3}" name="Atmosfera w zespole współpracowników jest dobra.42" dataCellStyle="Normalny 2"/>
    <tableColumn id="109" xr3:uid="{2A07BB24-2DE8-48A9-82E5-770EF2DA5FF6}" name="Moje zarobki są satysfakcjonujące.43" dataCellStyle="Normalny 2"/>
    <tableColumn id="110" xr3:uid="{C788D03E-3550-4283-8291-5E22B946DD6A}" name="Praca na ocenianej uczelni daje mi duże szanse rozwoju.44" dataCellStyle="Normalny 2"/>
    <tableColumn id="111" xr3:uid="{E516549C-0276-4F00-A097-843556AB9B14}" name="Wartość wykształcenia zdobywanego przez studentów ocenianej uczelni jest wysoka.45" dataCellStyle="Normalny 2"/>
    <tableColumn id="112" xr3:uid="{E4BFF03B-E0E7-457C-9865-EDA932B5B145}" name="Zdobyte na ocenianej uczelni wykształcenie ma pozytywny wpływ na zwiększenie zarobków absolwentów.46" dataCellStyle="Normalny 2"/>
    <tableColumn id="113" xr3:uid="{AD9A2A17-DEF7-45B0-AAC7-D92DB396CBAC}" name="Jakie inne (poza zarobkami) efekty kształcenia na ocenianej uczelni dostrzegasz obecnie?47" dataCellStyle="Normalny 2"/>
    <tableColumn id="114" xr3:uid="{990CDDDE-FDA9-4C11-88B2-C0FF5E011EB1}" name="Czy jesteś przedstawicielem władz uczelni z grupy rektorów, prorektorów, dziekanów, prodziekanów, członków senatu lub członków rady uczelni?" dataCellStyle="Normalny 2"/>
    <tableColumn id="115" xr3:uid="{5AB3BA79-16E9-4962-90DC-595CABEBB26A}" name="Proszę podać pełnioną funkcję" dataCellStyle="Normalny 2"/>
    <tableColumn id="116" xr3:uid="{E952AE8D-AF9F-420F-B0B0-829A51128C1B}" name="Kolumna48" dataCellStyle="Normalny 2"/>
    <tableColumn id="117" xr3:uid="{0643E503-2492-4737-A466-512FA3C3EF6F}" name="Kolumna49" dataCellStyle="Normalny 2"/>
    <tableColumn id="118" xr3:uid="{0B897FF4-5C48-420E-98DC-DA2701834AAC}" name="Kolumna50" dataCellStyle="Normalny 2"/>
    <tableColumn id="119" xr3:uid="{DADE5314-FBF7-4BB6-A280-BD3E4E598B90}" name="Jak się nazywa uczelnia którą będziesz oceniać (jako przedstawiciel jej władz)?" dataCellStyle="Normalny 2"/>
    <tableColumn id="120" xr3:uid="{9E7109BE-F389-46BE-B633-BEC6691AFE56}" name="Efekty działań ocenianej uczelni na rzesz jakości edukacji są dobre" dataCellStyle="Normalny 2"/>
    <tableColumn id="121" xr3:uid="{3B2A8092-3110-4DE9-83F3-6F85AD27039A}" name="Wartość wykształcenia zdobywanego przez studentów na ocenianej uczelni jest wysoka." dataCellStyle="Normalny 2"/>
    <tableColumn id="122" xr3:uid="{75E405A5-034D-4FF6-839C-03BBE14D9C97}" name="Zdobyte przez studentów ocenianej uczelni wykształcenie miało/ma pozytywny wpływ na ich zarobki." dataCellStyle="Normalny 2"/>
    <tableColumn id="123" xr3:uid="{A6403C7F-D331-4070-A23D-53174C603333}" name="Efekty działań ocenianej uczelni na rzecz jakości edukacji mają dobry wpływ na rozwój regionu." dataCellStyle="Normalny 2"/>
    <tableColumn id="124" xr3:uid="{6412E56F-46D7-4F63-995A-61558C76BFFF}" name="Efekty działań ocenianej uczelni na rzecz jakości edukacji mają dobry wpływ na rozwój Polski." dataCellStyle="Normalny 2"/>
    <tableColumn id="125" xr3:uid="{721383E9-8282-4BEC-8F49-3BD60FC86C73}" name="Współpraca ocenianej uczelni z biznesem ma pozytywne efekty dla rozwoju regionu / kraju." dataCellStyle="Normalny 2"/>
    <tableColumn id="126" xr3:uid="{C2E454CF-FFCE-47B3-A978-AF04116DE776}" name="Ogólny poziom mojej satysfakcji z jakości usług edukacyjnych ocenianej uczelni jest wysoki." dataCellStyle="Normalny 2"/>
    <tableColumn id="127" xr3:uid="{560D6E6A-C1B5-443F-9730-3A9279F33055}" name="Studenci : wybierz wartość z listy rozwijanej" dataCellStyle="Normalny 2"/>
    <tableColumn id="128" xr3:uid="{0F1238D6-127B-43F2-8D4C-233709831663}" name="Absolwenci : wybierz wartość z listy rozwijanej" dataCellStyle="Normalny 2"/>
    <tableColumn id="129" xr3:uid="{843BD4B2-D370-42CF-8788-5EAC0BF8994F}" name="Rodzice absolwentów : wybierz wartość z listy rozwijanej" dataCellStyle="Normalny 2"/>
    <tableColumn id="130" xr3:uid="{1B60FF51-9D53-4024-83E2-CE6A40F83F27}" name="Pracownicy administracyjni : wybierz wartość z listy rozwijanej" dataCellStyle="Normalny 2"/>
    <tableColumn id="131" xr3:uid="{D344D961-2ECA-49C6-AFF1-73E830AE2E5E}" name="Pracownicy naukowi i dydaktyczni : wybierz wartość z listy rozwijanej" dataCellStyle="Normalny 2"/>
    <tableColumn id="132" xr3:uid="{39F1F214-0370-46B5-A78A-3D3E2BB59790}" name="Pracodawcy : wybierz wartość z listy rozwijanej" dataCellStyle="Normalny 2"/>
    <tableColumn id="133" xr3:uid="{A05B0C86-A94C-4729-8E24-9DF55B8C60E6}" name="Władze samorządowe i centralne : wybierz wartość z listy rozwijanej" dataCellStyle="Normalny 2"/>
    <tableColumn id="134" xr3:uid="{FD83BC19-86E5-4A64-9B41-2022AEC9A446}" name="Pole dodatkowe51" dataCellStyle="Normalny 2"/>
    <tableColumn id="135" xr3:uid="{FB49CC91-A81E-48C5-B058-970D020406B2}" name="Studenci : wybierz wartość z listy rozwijanej52" dataCellStyle="Normalny 2"/>
    <tableColumn id="136" xr3:uid="{058613BA-4C4A-4CCB-94E8-B314C8534F0B}" name="Absolwenci : wybierz wartość z listy rozwijanej53" dataCellStyle="Normalny 2"/>
    <tableColumn id="137" xr3:uid="{BCC1CADE-3BDA-40D8-B904-3F62B865BF0E}" name="Rodzice absolwentów : wybierz wartość z listy rozwijanej54" dataCellStyle="Normalny 2"/>
    <tableColumn id="138" xr3:uid="{7289DA8C-5E20-4C0A-9AFF-68A0446DAF6F}" name="Pracownicy administracyjni : wybierz wartość z listy rozwijanej55" dataCellStyle="Normalny 2"/>
    <tableColumn id="139" xr3:uid="{C927E823-24F5-4556-87E1-5934AF25F16D}" name="Pracownicy naukowi i dydaktyczni : wybierz wartość z listy rozwijanej56" dataCellStyle="Normalny 2"/>
    <tableColumn id="140" xr3:uid="{10E4BEC4-AFB0-403C-99F5-66AE3E297475}" name="Pracodawcy : wybierz wartość z listy rozwijanej57" dataCellStyle="Normalny 2"/>
    <tableColumn id="141" xr3:uid="{83ADA906-44EE-4E46-A0E5-EB2AA3B8AD6E}" name="Władze samorządowe i centralne : wybierz wartość z listy rozwijanej58" dataCellStyle="Normalny 2"/>
    <tableColumn id="142" xr3:uid="{ED86DEBF-394D-490A-81FF-CDAFC592F5F8}" name="Pole dodatkowe59" dataCellStyle="Normalny 2"/>
    <tableColumn id="143" xr3:uid="{E1CA7C3C-9ACB-4076-9F49-AB0F8B33478E}" name="Czy jesteś przedstawicielem firmy, w której są zatrudniani absolwenci uczelni wyższych (tytuł licencjata, magistra lub wyższy)?" dataCellStyle="Normalny 2"/>
    <tableColumn id="144" xr3:uid="{2687D4A0-70AB-49EB-8D25-82A9A57EEB8B}" name="Czy w Twojej firmie są zatrudnieni absolwenci uczelni technicznych (posiadają tytuł inżyniera)?" dataCellStyle="Normalny 2"/>
    <tableColumn id="145" xr3:uid="{4262C7B7-A239-413E-A79D-C1EB1FE06CF8}" name="Ile uczelni będziesz oceniać?" dataCellStyle="Normalny 2"/>
    <tableColumn id="146" xr3:uid="{D3229E83-2F0E-471D-8F53-858E0A4EEBCC}" name="Jak się nazywa uczelnia, którą ocenisz? " dataCellStyle="Normalny 2"/>
    <tableColumn id="147" xr3:uid="{E292C881-CB01-46A1-B3B8-281CE2938F8B}" name="Moja satysfakcja z (efektów) usług edukacyjnych na ocenianej uczelni jest wysoka." dataCellStyle="Normalny 2"/>
    <tableColumn id="148" xr3:uid="{81717CB1-3F46-4D5F-A86B-8ABD338D44CE}" name="Kompetencje absolwentów ocenianej uczelni są wysokie." dataCellStyle="Normalny 2"/>
    <tableColumn id="149" xr3:uid="{1E122298-BB35-4E54-BB28-5D4E37016D64}" name="Zarobki absolwentów ocenianej uczelni zatrudnionych w mojej firmie są wyższe od zarobków absolwentów innych polskich uczelni." dataCellStyle="Normalny 2"/>
    <tableColumn id="150" xr3:uid="{28198B93-CE8A-4BAB-AD96-B47B8289799F}" name="Czy w Twojej firmie są zatrudniani absolwenci uczelni w pierwszym roku po ukończeniu studiów (do 12 miesięcy od uzyskania dyplomu)?" dataCellStyle="Normalny 2"/>
    <tableColumn id="151" xr3:uid="{4EF260D4-CFE7-4DC7-B19A-332C6E85DC95}" name="Jakie kompetencje absolwentów ocenianej uczelni są w Twojej firmie najwyżej wyceniane?" dataCellStyle="Normalny 2"/>
    <tableColumn id="152" xr3:uid="{569E9220-B370-42A9-9231-54AB527CDC8C}" name="Jakiego rodzaju prace wykonują absolwenci ocenianej uczelni w Twojej firmie?" dataCellStyle="Normalny 2"/>
    <tableColumn id="153" xr3:uid="{17D7F89D-0F7B-4027-8D20-1FA3AE54DADF}" name="Czy będziesz oceniał drugą uczelnię?" dataCellStyle="Normalny 2"/>
    <tableColumn id="154" xr3:uid="{A1C11982-84F3-41BE-A4F6-D0D243903208}" name="Jak się nazywa uczelnia, którą ocenisz? 60" dataCellStyle="Normalny 2"/>
    <tableColumn id="155" xr3:uid="{392DFCA0-C916-49BA-9171-01362FCAAB2F}" name="Moja satysfakcja z (efektów) usług edukacyjnych na ocenianej uczelni jest wysoka.61" dataCellStyle="Normalny 2"/>
    <tableColumn id="156" xr3:uid="{7B069D39-3E83-4C1A-8D3D-4B1CD6B978B6}" name="Kompetencje absolwentów ocenianej uczelni są wysokie.62" dataCellStyle="Normalny 2"/>
    <tableColumn id="157" xr3:uid="{5BD66F4B-6251-4D06-9CC9-B9D2A295A9ED}" name="Zarobki absolwentów ocenianej uczelni zatrudnionych w mojej firmie są wyższe od zarobków absolwentów innych polskich uczelni.63" dataCellStyle="Normalny 2"/>
    <tableColumn id="158" xr3:uid="{FDDD6DC2-B837-4691-9E47-FA9424D519D0}" name="Czy w Twojej firmie są zatrudniani absolwenci uczelni w pierwszym roku po ukończeniu studiów (do 12 miesięcy od uzyskania dyplomu)?64" dataCellStyle="Normalny 2"/>
    <tableColumn id="159" xr3:uid="{4E7553A2-DB79-48E0-829B-E839FAA49D24}" name="Jakie kompetencje absolwentów ocenianej uczelni są w Twojej firmie najwyżej wyceniane?65" dataCellStyle="Normalny 2"/>
    <tableColumn id="160" xr3:uid="{C972591E-30FD-4DFB-B23E-B08B9F735EA7}" name="Jakiego rodzaju prace wykonują absolwenci ocenianej uczelni w Twojej firmie?66" dataCellStyle="Normalny 2"/>
    <tableColumn id="161" xr3:uid="{E3765297-DD85-464F-A572-0E174BFF5AF3}" name="Czy będziesz oceniał trzecią uczelnię techniczną?" dataCellStyle="Normalny 2"/>
    <tableColumn id="162" xr3:uid="{90EED4A5-EC0D-4B7F-B7B2-0EBEC1EA21F0}" name="Jak się nazywa uczelnia, którą ocenisz? 67" dataCellStyle="Normalny 2"/>
    <tableColumn id="163" xr3:uid="{05510E32-0711-40CB-9268-8B3A640C11B8}" name="Moja satysfakcja z (efektów) usług edukacyjnych na ocenianej uczelni jest wysoka.68" dataCellStyle="Normalny 2"/>
    <tableColumn id="164" xr3:uid="{C387393A-5F42-447D-A323-74210401CD95}" name="Kompetencje absolwentów ocenianej uczelni są wysokie.69" dataCellStyle="Normalny 2"/>
    <tableColumn id="165" xr3:uid="{D1D9A253-96B4-4B34-9F8A-C57315C6319C}" name="Zarobki absolwentów ocenianej uczelni zatrudnionych w mojej firmie są wyższe od zarobków absolwentów innych polskich uczelni.70" dataCellStyle="Normalny 2"/>
    <tableColumn id="166" xr3:uid="{36C1CB29-F998-46C4-AD70-678C16A16664}" name="Czy w Twojej firmie są zatrudniani absolwenci uczelni w pierwszym roku po ukończeniu studiów (do 12 miesięcy od uzyskania dyplomu)?71" dataCellStyle="Normalny 2"/>
    <tableColumn id="167" xr3:uid="{DB325C70-2419-4453-95FE-20267F60D0E7}" name="Jakie kompetencje absolwentów ocenianej uczelni są w Twojej firmie najwyżej wyceniane?72" dataCellStyle="Normalny 2"/>
    <tableColumn id="168" xr3:uid="{D94E00D5-9937-4980-8D20-DE5D753F00D7}" name="Jakiego rodzaju prace wykonują absolwenci ocenianej uczelni są w Twojej firmie?" dataCellStyle="Normalny 2"/>
    <tableColumn id="169" xr3:uid="{57EED464-6F43-46F9-B341-7C5A377D50FD}" name="Czy jesteś przedstawicielem władz samorządowych lub centralnych Rzeczypospolitej Polskiej?" dataCellStyle="Normalny 2"/>
    <tableColumn id="170" xr3:uid="{6FDFE67D-E445-4BB3-A0FF-633D6E4F9496}" name="Proszę wskaż jaki poziom władzy samorządowej lub centralnej reprezentujesz." dataCellStyle="Normalny 2"/>
    <tableColumn id="171" xr3:uid="{2F166724-CB55-4B49-8D2E-B02A769F836B}" name="Proszę o podanie nazwy organu władzy jaki reprezentujesz." dataCellStyle="Normalny 2"/>
    <tableColumn id="172" xr3:uid="{F9FC0433-E540-49DA-8D6E-5993171DEE51}" name="Ile uczelni będziesz oceniać?73" dataCellStyle="Normalny 2"/>
    <tableColumn id="173" xr3:uid="{5E1125E8-C2D7-4B0F-A47F-DE7919A2FED8}" name="Jak się nazywa uczelnia, którą ocenisz?" dataCellStyle="Normalny 2"/>
    <tableColumn id="174" xr3:uid="{F8AB6ED8-0F10-40AE-8FC7-000B7F96E96C}" name="Efekty działań ocenianej uczelni na rzesz jakości edukacji są zgodne ze strategią rozwoju w regionie." dataCellStyle="Normalny 2"/>
    <tableColumn id="175" xr3:uid="{86DCFC62-3F79-4473-867C-451F20D7A6CE}" name="Wartość wykształcenia zdobywanego przez studentów na ocenianej uczelni jest wysoka.74" dataCellStyle="Normalny 2"/>
    <tableColumn id="176" xr3:uid="{E82C9FB7-078B-4DF7-9450-1D3322DCB680}" name="Zdobyte przez studentów ocenianej uczelni wykształcenie miało/ma pozytywny wpływ na ich zarobki.75" dataCellStyle="Normalny 2"/>
    <tableColumn id="177" xr3:uid="{E55501BC-CDF6-417E-AEAF-A154A0E5BD4F}" name="Efekty działań ocenianej uczelni na rzecz jakości edukacji mają dobry wpływ na rozwój regionu.76" dataCellStyle="Normalny 2"/>
    <tableColumn id="178" xr3:uid="{F53E86A7-02B7-472C-8265-0F5D6315320F}" name="Efekty działań ocenianej uczelni na rzecz jakości edukacji mają dobry wpływ na rozwój Polski.77" dataCellStyle="Normalny 2"/>
    <tableColumn id="179" xr3:uid="{234ACE91-CD8B-48FD-951B-61D5B96043D0}" name="Współpraca ocenianej uczelni z biznesem ma pozytywne efekty dla rozwoju regionu / kraju.78" dataCellStyle="Normalny 2"/>
    <tableColumn id="180" xr3:uid="{8EA524A6-AF4A-4CE6-9EB1-6020E91CAA81}" name="Ogólny poziom mojej satysfakcji z jakości usług edukacyjnych ocenianej uczelni jest wysoki.79" dataCellStyle="Normalny 2"/>
    <tableColumn id="181" xr3:uid="{D44D1C88-9132-46A1-AD03-554E66D99999}" name="Pole dodatkowe80" dataCellStyle="Normalny 2"/>
    <tableColumn id="182" xr3:uid="{B149B31B-FB77-4576-9980-C86C0707A144}" name="Jakie inne efekty pracy ocenianej uczelni technicznej dostrzegasz obecnie?" dataCellStyle="Normalny 2"/>
    <tableColumn id="183" xr3:uid="{0B343CA7-BB0F-48A5-97DA-129033B7A172}" name="Czy będziesz oceniać drugą uczelnię?" dataCellStyle="Normalny 2"/>
    <tableColumn id="184" xr3:uid="{D9E86899-FB37-41EB-A500-7C87CC40869F}" name="Jak się nazywa uczelnia, którą ocenisz?81" dataCellStyle="Normalny 2"/>
    <tableColumn id="185" xr3:uid="{AD110E0B-9889-4D55-8155-28FEC1BF4F3D}" name="Efekty działań ocenianej uczelni na rzesz jakości edukacji są zgodne ze strategią rozwoju w regionie.82" dataCellStyle="Normalny 2"/>
    <tableColumn id="186" xr3:uid="{F7C0009E-8C94-424C-A848-3CA0315F1EB4}" name="Wartość wykształcenia zdobywanego przez studentów na ocenianej uczelni jest wysoka.83" dataCellStyle="Normalny 2"/>
    <tableColumn id="187" xr3:uid="{677CBFBB-DDDC-4291-B0F8-6F31A32EED4B}" name="Zdobyte przez studentów ocenianej uczelni wykształcenie miało/ma pozytywny wpływ na ich zarobki.84" dataCellStyle="Normalny 2"/>
    <tableColumn id="188" xr3:uid="{CCF37801-8A02-44EE-B5D9-64F52A5AE159}" name="Efekty działań ocenianej uczelni na rzecz jakości edukacji mają dobry wpływ na rozwój regionu.85" dataCellStyle="Normalny 2"/>
    <tableColumn id="189" xr3:uid="{DA36F849-0F47-4AB2-9F75-C59697F2A970}" name="Efekty działań ocenianej uczelni na rzecz jakości edukacji mają dobry wpływ na rozwój Polski.86" dataCellStyle="Normalny 2"/>
    <tableColumn id="190" xr3:uid="{E69203F5-3300-470D-8F7E-694820213EA3}" name="Współpraca ocenianej uczelni z biznesem ma pozytywne efekty dla rozwoju regionu / kraju.87" dataCellStyle="Normalny 2"/>
    <tableColumn id="191" xr3:uid="{D48A24F7-EDC7-4AE6-B5F6-1902A6E63512}" name="Ogólny poziom mojej satysfakcji z jakości usług edukacyjnych ocenianej uczelni jest wysoki.88" dataCellStyle="Normalny 2"/>
    <tableColumn id="192" xr3:uid="{D4E7BB30-188D-4052-818F-B81306B9B7A7}" name="Jakie inne efekty pracy ocenianej uczelni dostrzegasz obecnie?" dataCellStyle="Normalny 2"/>
    <tableColumn id="193" xr3:uid="{A19C2831-1EB9-4077-BA10-68B4145E1C3C}" name="Czy będziesz oceniać trzecią uczelnię?" dataCellStyle="Normalny 2"/>
    <tableColumn id="194" xr3:uid="{4F7881F4-C95A-42D9-A94E-1B02565AD360}" name="Jak się nazywa uczelnia, którą ocenisz?89" dataCellStyle="Normalny 2"/>
    <tableColumn id="195" xr3:uid="{DA7E3D9F-83C0-43B9-AA11-E04410681096}" name="Efekty działań ocenianej uczelni na rzesz jakości edukacji są zgodne ze strategią rozwoju w regionie.90" dataCellStyle="Normalny 2"/>
    <tableColumn id="196" xr3:uid="{E7B3A4F8-D8E8-4C33-B23F-1928FBF86E6A}" name="Wartość wykształcenia zdobywanego przez studentów na ocenianej uczelni jest wysoka.91" dataCellStyle="Normalny 2"/>
    <tableColumn id="197" xr3:uid="{D6ED2206-69AB-4085-B8E2-0056DCABC529}" name="Zdobyte przez studentów ocenianej uczelni wykształcenie miało/ma pozytywny wpływ na ich zarobki.92" dataCellStyle="Normalny 2"/>
    <tableColumn id="198" xr3:uid="{82A3DA10-F59C-40DA-92E7-E3B751F81B3E}" name="Efekty działań ocenianej uczelni na rzecz jakości edukacji mają dobry wpływ na rozwój regionu.93" dataCellStyle="Normalny 2"/>
    <tableColumn id="199" xr3:uid="{079AA76D-B0C2-4EBB-8071-DB8DB20ADCFA}" name="Efekty działań ocenianej uczelni na rzecz jakości edukacji mają dobry wpływ na rozwój Polski.94" dataCellStyle="Normalny 2"/>
    <tableColumn id="200" xr3:uid="{9EAF3916-F91D-4731-BAD2-F3B28253A304}" name="Współpraca ocenianej uczelni z biznesem ma pozytywne efekty dla rozwoju regionu / kraju.95" dataCellStyle="Normalny 2"/>
    <tableColumn id="201" xr3:uid="{816567B4-C3E4-4B54-9222-6ACD062E600D}" name="Ogólny poziom mojej satysfakcji z jakości usług edukacyjnych ocenianej uczelni jest wysoki.96" dataCellStyle="Normalny 2"/>
    <tableColumn id="202" xr3:uid="{8ADD409D-82AA-4F5E-BD1D-9A53AAB19C62}" name="Jakie inne efekty pracy ocenianej uczelni dostrzegasz obecnie?97" dataCellStyle="Normalny 2"/>
    <tableColumn id="203" xr3:uid="{95E05CC0-AFCF-434D-BA73-7F04F8C7E48D}" name="Jakie, Twoim zdaniem, elementy decydują o tym, że uczelnie są lepsze lub gorsze." dataCellStyle="Normalny 2"/>
    <tableColumn id="204" xr3:uid="{CC7AA612-B396-45FD-A0C7-B3AC9294A131}" name="Kolumna98" dataCellStyle="Normalny 2"/>
    <tableColumn id="205" xr3:uid="{2372F47B-B929-4467-9E38-DC5F46632A58}" name="Kolumna99" dataCellStyle="Normalny 2"/>
    <tableColumn id="206" xr3:uid="{949CBC35-C947-4046-B1B4-4D5B1E12644F}" name="Płeć" dataCellStyle="Normalny 2"/>
    <tableColumn id="207" xr3:uid="{FA7EDC2E-8677-40A0-A3EF-AF7899202865}" name="Rok urodzenia" dataCellStyle="Normalny 2"/>
    <tableColumn id="208" xr3:uid="{26F29751-5A64-4873-B418-AA071A0970B5}" name="Z jakiej wielkości miejscowości pochodzisz? (dotyczy miejscowości, w której się wychowałaś/eś" dataCellStyle="Normalny 2"/>
    <tableColumn id="209" xr3:uid="{54B289C0-7362-4E56-8F5A-EB739011FC83}" name="Pole dodatkowe100" dataCellStyle="Normalny 2"/>
    <tableColumn id="210" xr3:uid="{1C640D33-2962-43D3-8F26-675240C9293B}" name="Jakie inne wykształcenie poza tym uwzględnionym w niniejszej ankiecie posiadasz? (ukończone szkoły/studia)" dataCellStyle="Normalny 2"/>
    <tableColumn id="211" xr3:uid="{B6D3D217-DC9F-45BD-8330-BA2276606BA8}" name="Jakie inne wykształcenie poza tym uwzględnionym w niniejszej ankiecie zdobywasz? (nieukończone jeszcze lub przerwane szkoły/studia)" dataCellStyle="Normalny 2"/>
    <tableColumn id="212" xr3:uid="{6755377F-0B0D-405E-885A-BA5FED1E3028}" name="Dziękuję za czas poświęcony na wypełnienie niniejszej ankiety. _x000a_Jeśli masz uwagi to proszę zamieść je poniżej._x000a_Po zakończeniu udzielania odpowiedzi proszę o naciśnięcie przycisku &quot;Zakończ&quot;." dataCellStyle="Normalny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91921-989A-4B81-A886-040924B6E366}">
  <dimension ref="A1:IA42"/>
  <sheetViews>
    <sheetView tabSelected="1" topLeftCell="H1" zoomScaleNormal="100" workbookViewId="0">
      <pane ySplit="2" topLeftCell="A3" activePane="bottomLeft" state="frozen"/>
      <selection activeCell="J1" sqref="J1"/>
      <selection pane="bottomLeft" activeCell="Q10" sqref="Q10"/>
    </sheetView>
  </sheetViews>
  <sheetFormatPr defaultColWidth="8.1328125" defaultRowHeight="14.25" outlineLevelCol="2" x14ac:dyDescent="0.45"/>
  <cols>
    <col min="1" max="1" width="8.1328125" customWidth="1" outlineLevel="1"/>
    <col min="2" max="2" width="5.59765625" customWidth="1"/>
    <col min="3" max="3" width="8.1328125" hidden="1" customWidth="1" outlineLevel="1"/>
    <col min="4" max="5" width="5.9296875" hidden="1" customWidth="1" outlineLevel="1"/>
    <col min="6" max="6" width="8.1328125" hidden="1" customWidth="1" outlineLevel="1"/>
    <col min="7" max="7" width="4.46484375" customWidth="1" collapsed="1"/>
    <col min="8" max="8" width="4.46484375" customWidth="1"/>
    <col min="9" max="9" width="12" customWidth="1"/>
    <col min="10" max="10" width="33.86328125" customWidth="1"/>
    <col min="11" max="11" width="12.33203125" customWidth="1" outlineLevel="1"/>
    <col min="12" max="12" width="15.6640625" customWidth="1" outlineLevel="1"/>
    <col min="13" max="14" width="12.33203125" customWidth="1" outlineLevel="1"/>
    <col min="15" max="15" width="5.46484375" customWidth="1" outlineLevel="1"/>
    <col min="16" max="16" width="68.265625" customWidth="1" outlineLevel="1"/>
    <col min="17" max="17" width="70.59765625" customWidth="1" outlineLevel="1"/>
    <col min="18" max="18" width="16.265625" customWidth="1" outlineLevel="1"/>
    <col min="19" max="19" width="11.6640625" customWidth="1" outlineLevel="1"/>
    <col min="20" max="20" width="18.59765625" style="28" customWidth="1" outlineLevel="1"/>
    <col min="21" max="21" width="10" style="28" hidden="1" customWidth="1" outlineLevel="2"/>
    <col min="22" max="22" width="10.265625" style="28" hidden="1" customWidth="1" outlineLevel="2"/>
    <col min="23" max="28" width="10.796875" style="28" hidden="1" customWidth="1" outlineLevel="2"/>
    <col min="29" max="29" width="14.59765625" customWidth="1" outlineLevel="1" collapsed="1"/>
    <col min="30" max="30" width="6.6640625" customWidth="1" outlineLevel="1"/>
    <col min="31" max="31" width="7" customWidth="1" outlineLevel="1"/>
    <col min="32" max="32" width="6.53125" customWidth="1" outlineLevel="1"/>
    <col min="33" max="33" width="8.73046875" customWidth="1" outlineLevel="1"/>
    <col min="34" max="34" width="3.796875" customWidth="1"/>
    <col min="35" max="35" width="8.1328125" customWidth="1"/>
    <col min="36" max="36" width="7.796875" hidden="1" customWidth="1" outlineLevel="1"/>
    <col min="37" max="37" width="33.1328125" hidden="1" customWidth="1" outlineLevel="1"/>
    <col min="38" max="38" width="8.1328125" hidden="1" customWidth="1" outlineLevel="1"/>
    <col min="39" max="39" width="16.1328125" hidden="1" customWidth="1" outlineLevel="1"/>
    <col min="40" max="40" width="14.59765625" hidden="1" customWidth="1" outlineLevel="1"/>
    <col min="41" max="50" width="8.1328125" hidden="1" customWidth="1" outlineLevel="1"/>
    <col min="51" max="51" width="8.1328125" customWidth="1" collapsed="1"/>
    <col min="52" max="52" width="6.73046875" hidden="1" customWidth="1" outlineLevel="1"/>
    <col min="53" max="53" width="23.1328125" hidden="1" customWidth="1" outlineLevel="1"/>
    <col min="54" max="54" width="11.6640625" hidden="1" customWidth="1" outlineLevel="1"/>
    <col min="55" max="55" width="8.3984375" hidden="1" customWidth="1" outlineLevel="1"/>
    <col min="56" max="56" width="6.53125" hidden="1" customWidth="1" outlineLevel="1"/>
    <col min="57" max="69" width="23.1328125" hidden="1" customWidth="1" outlineLevel="1"/>
    <col min="70" max="70" width="8.19921875" customWidth="1" collapsed="1"/>
    <col min="71" max="71" width="6.9296875" hidden="1" customWidth="1" outlineLevel="1"/>
    <col min="72" max="115" width="7.86328125" hidden="1" customWidth="1" outlineLevel="1"/>
    <col min="116" max="116" width="9.06640625" customWidth="1" collapsed="1"/>
    <col min="117" max="125" width="8.06640625" hidden="1" customWidth="1" outlineLevel="1"/>
    <col min="126" max="126" width="10.265625" customWidth="1" collapsed="1"/>
    <col min="127" max="135" width="10.265625" hidden="1" customWidth="1" outlineLevel="1"/>
    <col min="136" max="136" width="8.59765625" customWidth="1" collapsed="1"/>
    <col min="137" max="137" width="8.6640625" hidden="1" customWidth="1" outlineLevel="1"/>
    <col min="138" max="164" width="8.1328125" hidden="1" customWidth="1" outlineLevel="1"/>
    <col min="165" max="165" width="8.1328125" customWidth="1" collapsed="1"/>
    <col min="166" max="166" width="8.06640625" hidden="1" customWidth="1" outlineLevel="1"/>
    <col min="167" max="190" width="8.1328125" hidden="1" customWidth="1" outlineLevel="1"/>
    <col min="191" max="191" width="8.1328125" customWidth="1" collapsed="1"/>
    <col min="192" max="192" width="7.265625" hidden="1" customWidth="1" outlineLevel="1"/>
    <col min="193" max="227" width="8.1328125" hidden="1" customWidth="1" outlineLevel="1"/>
    <col min="228" max="228" width="8.1328125" customWidth="1" collapsed="1"/>
    <col min="229" max="229" width="5.19921875" customWidth="1"/>
    <col min="230" max="230" width="4.86328125" customWidth="1"/>
    <col min="232" max="232" width="5.9296875" customWidth="1"/>
    <col min="233" max="233" width="2.06640625" customWidth="1"/>
  </cols>
  <sheetData>
    <row r="1" spans="1:235" ht="71.650000000000006" customHeight="1" x14ac:dyDescent="0.45">
      <c r="A1" t="s">
        <v>0</v>
      </c>
      <c r="D1" t="s">
        <v>8</v>
      </c>
      <c r="E1" t="s">
        <v>9</v>
      </c>
      <c r="F1" t="s">
        <v>10</v>
      </c>
      <c r="AI1" s="3" t="s">
        <v>13</v>
      </c>
      <c r="AJ1" t="s">
        <v>14</v>
      </c>
      <c r="AK1" t="s">
        <v>15</v>
      </c>
      <c r="AL1" t="s">
        <v>16</v>
      </c>
      <c r="AM1" t="s">
        <v>17</v>
      </c>
      <c r="AP1" t="s">
        <v>18</v>
      </c>
      <c r="AQ1" t="s">
        <v>19</v>
      </c>
      <c r="AS1" t="s">
        <v>20</v>
      </c>
      <c r="AT1" t="s">
        <v>21</v>
      </c>
      <c r="AV1" t="s">
        <v>22</v>
      </c>
      <c r="AX1" t="s">
        <v>23</v>
      </c>
      <c r="AY1" s="3" t="s">
        <v>24</v>
      </c>
      <c r="AZ1" t="s">
        <v>25</v>
      </c>
      <c r="BB1" t="s">
        <v>26</v>
      </c>
      <c r="BC1" t="s">
        <v>27</v>
      </c>
      <c r="BD1" t="s">
        <v>28</v>
      </c>
      <c r="BE1" t="s">
        <v>17</v>
      </c>
      <c r="BJ1" t="s">
        <v>29</v>
      </c>
      <c r="BK1" t="s">
        <v>30</v>
      </c>
      <c r="BM1" t="s">
        <v>31</v>
      </c>
      <c r="BN1" t="s">
        <v>32</v>
      </c>
      <c r="BP1" t="s">
        <v>33</v>
      </c>
      <c r="BR1" s="3" t="s">
        <v>34</v>
      </c>
      <c r="BS1" t="s">
        <v>35</v>
      </c>
      <c r="BT1" t="s">
        <v>36</v>
      </c>
      <c r="BU1" t="s">
        <v>37</v>
      </c>
      <c r="BV1" t="s">
        <v>38</v>
      </c>
      <c r="BW1" t="s">
        <v>39</v>
      </c>
      <c r="BX1" t="s">
        <v>17</v>
      </c>
      <c r="CC1" t="s">
        <v>40</v>
      </c>
      <c r="CD1" t="s">
        <v>41</v>
      </c>
      <c r="CE1" t="s">
        <v>42</v>
      </c>
      <c r="CG1" t="s">
        <v>43</v>
      </c>
      <c r="CH1" t="s">
        <v>44</v>
      </c>
      <c r="CI1" t="s">
        <v>36</v>
      </c>
      <c r="CJ1" t="s">
        <v>37</v>
      </c>
      <c r="CK1" t="s">
        <v>38</v>
      </c>
      <c r="CL1" t="s">
        <v>39</v>
      </c>
      <c r="CM1" t="s">
        <v>17</v>
      </c>
      <c r="CR1" t="s">
        <v>40</v>
      </c>
      <c r="CS1" t="s">
        <v>41</v>
      </c>
      <c r="CT1" t="s">
        <v>42</v>
      </c>
      <c r="CV1" t="s">
        <v>43</v>
      </c>
      <c r="CW1" t="s">
        <v>45</v>
      </c>
      <c r="CX1" t="s">
        <v>36</v>
      </c>
      <c r="CY1" t="s">
        <v>37</v>
      </c>
      <c r="CZ1" t="s">
        <v>38</v>
      </c>
      <c r="DA1" t="s">
        <v>39</v>
      </c>
      <c r="DB1" t="s">
        <v>17</v>
      </c>
      <c r="DG1" t="s">
        <v>40</v>
      </c>
      <c r="DH1" t="s">
        <v>41</v>
      </c>
      <c r="DI1" t="s">
        <v>42</v>
      </c>
      <c r="DK1" t="s">
        <v>43</v>
      </c>
      <c r="DL1" s="3" t="s">
        <v>46</v>
      </c>
      <c r="DM1" t="s">
        <v>47</v>
      </c>
      <c r="DN1" t="s">
        <v>48</v>
      </c>
      <c r="DO1" t="s">
        <v>17</v>
      </c>
      <c r="DU1" t="s">
        <v>41</v>
      </c>
      <c r="DV1" s="3" t="s">
        <v>49</v>
      </c>
      <c r="DW1" t="s">
        <v>47</v>
      </c>
      <c r="DX1" t="s">
        <v>48</v>
      </c>
      <c r="DY1" t="s">
        <v>17</v>
      </c>
      <c r="EE1" t="s">
        <v>31</v>
      </c>
      <c r="EF1" s="3" t="s">
        <v>50</v>
      </c>
      <c r="EG1" t="s">
        <v>51</v>
      </c>
      <c r="EK1" t="s">
        <v>52</v>
      </c>
      <c r="EL1" t="s">
        <v>17</v>
      </c>
      <c r="ES1" t="s">
        <v>53</v>
      </c>
      <c r="FA1" t="s">
        <v>54</v>
      </c>
      <c r="FI1" s="3" t="s">
        <v>55</v>
      </c>
      <c r="FJ1" t="s">
        <v>56</v>
      </c>
      <c r="FK1" t="s">
        <v>57</v>
      </c>
      <c r="FL1" t="s">
        <v>58</v>
      </c>
      <c r="FM1" t="s">
        <v>17</v>
      </c>
      <c r="FP1" t="s">
        <v>59</v>
      </c>
      <c r="FQ1" t="s">
        <v>60</v>
      </c>
      <c r="FR1" t="s">
        <v>61</v>
      </c>
      <c r="FS1" t="s">
        <v>62</v>
      </c>
      <c r="FT1" t="s">
        <v>58</v>
      </c>
      <c r="FU1" t="s">
        <v>17</v>
      </c>
      <c r="FX1" t="s">
        <v>59</v>
      </c>
      <c r="FY1" t="s">
        <v>60</v>
      </c>
      <c r="FZ1" t="s">
        <v>61</v>
      </c>
      <c r="GA1" t="s">
        <v>63</v>
      </c>
      <c r="GB1" t="s">
        <v>58</v>
      </c>
      <c r="GC1" t="s">
        <v>17</v>
      </c>
      <c r="GF1" t="s">
        <v>59</v>
      </c>
      <c r="GG1" t="s">
        <v>60</v>
      </c>
      <c r="GH1" t="s">
        <v>64</v>
      </c>
      <c r="GI1" s="3" t="s">
        <v>65</v>
      </c>
      <c r="GJ1" t="s">
        <v>66</v>
      </c>
      <c r="GK1" t="s">
        <v>67</v>
      </c>
      <c r="GL1" t="s">
        <v>57</v>
      </c>
      <c r="GM1" t="s">
        <v>68</v>
      </c>
      <c r="GN1" t="s">
        <v>17</v>
      </c>
      <c r="GV1" t="s">
        <v>69</v>
      </c>
      <c r="GW1" t="s">
        <v>70</v>
      </c>
      <c r="GX1" t="s">
        <v>68</v>
      </c>
      <c r="GY1" t="s">
        <v>17</v>
      </c>
      <c r="HF1" t="s">
        <v>71</v>
      </c>
      <c r="HG1" t="s">
        <v>72</v>
      </c>
      <c r="HH1" t="s">
        <v>68</v>
      </c>
      <c r="HI1" t="s">
        <v>17</v>
      </c>
      <c r="HP1" t="s">
        <v>71</v>
      </c>
      <c r="HQ1" t="s">
        <v>73</v>
      </c>
      <c r="HT1" t="s">
        <v>74</v>
      </c>
      <c r="HU1" t="s">
        <v>75</v>
      </c>
      <c r="HW1" t="s">
        <v>76</v>
      </c>
      <c r="HY1" t="s">
        <v>77</v>
      </c>
      <c r="HZ1" t="s">
        <v>78</v>
      </c>
      <c r="IA1" t="s">
        <v>79</v>
      </c>
    </row>
    <row r="2" spans="1:235" ht="114" x14ac:dyDescent="0.45">
      <c r="A2" t="s">
        <v>2765</v>
      </c>
      <c r="B2" t="s">
        <v>2264</v>
      </c>
      <c r="C2" t="s">
        <v>2267</v>
      </c>
      <c r="D2" t="s">
        <v>8</v>
      </c>
      <c r="E2" t="s">
        <v>9</v>
      </c>
      <c r="F2" t="s">
        <v>10</v>
      </c>
      <c r="G2" t="s">
        <v>2447</v>
      </c>
      <c r="H2" s="20" t="s">
        <v>2784</v>
      </c>
      <c r="I2" s="20" t="s">
        <v>2454</v>
      </c>
      <c r="J2" s="58" t="s">
        <v>2764</v>
      </c>
      <c r="K2" s="58" t="s">
        <v>2499</v>
      </c>
      <c r="L2" s="58" t="s">
        <v>2498</v>
      </c>
      <c r="M2" s="58" t="s">
        <v>2497</v>
      </c>
      <c r="N2" s="58" t="s">
        <v>2496</v>
      </c>
      <c r="O2" s="58" t="s">
        <v>2495</v>
      </c>
      <c r="P2" s="58" t="s">
        <v>2493</v>
      </c>
      <c r="Q2" s="58" t="s">
        <v>2494</v>
      </c>
      <c r="R2" s="58" t="s">
        <v>2492</v>
      </c>
      <c r="S2" s="58" t="s">
        <v>2489</v>
      </c>
      <c r="T2" s="58" t="s">
        <v>2490</v>
      </c>
      <c r="U2" s="58" t="s">
        <v>2296</v>
      </c>
      <c r="V2" s="58" t="s">
        <v>2297</v>
      </c>
      <c r="W2" s="58" t="s">
        <v>2781</v>
      </c>
      <c r="X2" s="58" t="s">
        <v>2774</v>
      </c>
      <c r="Y2" s="58" t="s">
        <v>2772</v>
      </c>
      <c r="Z2" s="58" t="s">
        <v>2773</v>
      </c>
      <c r="AA2" s="58" t="s">
        <v>2775</v>
      </c>
      <c r="AB2" s="58" t="s">
        <v>2778</v>
      </c>
      <c r="AC2" s="58" t="s">
        <v>2491</v>
      </c>
      <c r="AD2" s="58" t="s">
        <v>2488</v>
      </c>
      <c r="AE2" s="58" t="s">
        <v>2762</v>
      </c>
      <c r="AF2" s="58" t="s">
        <v>2761</v>
      </c>
      <c r="AG2" s="58" t="s">
        <v>2066</v>
      </c>
      <c r="AH2" s="58" t="s">
        <v>2767</v>
      </c>
      <c r="AI2" s="1" t="s">
        <v>13</v>
      </c>
      <c r="AJ2" t="s">
        <v>14</v>
      </c>
      <c r="AK2" t="s">
        <v>15</v>
      </c>
      <c r="AL2" t="s">
        <v>16</v>
      </c>
      <c r="AM2" t="s">
        <v>80</v>
      </c>
      <c r="AN2" t="s">
        <v>81</v>
      </c>
      <c r="AO2" t="s">
        <v>82</v>
      </c>
      <c r="AP2" t="s">
        <v>2065</v>
      </c>
      <c r="AQ2" t="s">
        <v>83</v>
      </c>
      <c r="AR2" t="s">
        <v>84</v>
      </c>
      <c r="AS2" t="s">
        <v>20</v>
      </c>
      <c r="AT2" t="s">
        <v>2265</v>
      </c>
      <c r="AU2" t="s">
        <v>2266</v>
      </c>
      <c r="AV2" t="s">
        <v>22</v>
      </c>
      <c r="AW2" t="s">
        <v>85</v>
      </c>
      <c r="AX2" t="s">
        <v>23</v>
      </c>
      <c r="AY2" s="1" t="s">
        <v>24</v>
      </c>
      <c r="AZ2" t="s">
        <v>25</v>
      </c>
      <c r="BA2" s="20" t="s">
        <v>2325</v>
      </c>
      <c r="BB2" t="s">
        <v>26</v>
      </c>
      <c r="BC2" t="s">
        <v>27</v>
      </c>
      <c r="BD2" t="s">
        <v>28</v>
      </c>
      <c r="BE2" t="s">
        <v>86</v>
      </c>
      <c r="BF2" t="s">
        <v>2071</v>
      </c>
      <c r="BG2" t="s">
        <v>87</v>
      </c>
      <c r="BH2" t="s">
        <v>88</v>
      </c>
      <c r="BI2" t="s">
        <v>89</v>
      </c>
      <c r="BJ2" t="s">
        <v>29</v>
      </c>
      <c r="BK2" t="s">
        <v>2072</v>
      </c>
      <c r="BL2" t="s">
        <v>2073</v>
      </c>
      <c r="BM2" t="s">
        <v>31</v>
      </c>
      <c r="BN2" t="s">
        <v>32</v>
      </c>
      <c r="BO2" t="s">
        <v>2070</v>
      </c>
      <c r="BP2" t="s">
        <v>33</v>
      </c>
      <c r="BQ2" t="s">
        <v>2074</v>
      </c>
      <c r="BR2" s="1" t="s">
        <v>34</v>
      </c>
      <c r="BS2" t="s">
        <v>35</v>
      </c>
      <c r="BT2" t="s">
        <v>36</v>
      </c>
      <c r="BU2" t="s">
        <v>37</v>
      </c>
      <c r="BV2" t="s">
        <v>38</v>
      </c>
      <c r="BW2" t="s">
        <v>39</v>
      </c>
      <c r="BX2" s="20" t="s">
        <v>2075</v>
      </c>
      <c r="BY2" t="s">
        <v>2076</v>
      </c>
      <c r="BZ2" t="s">
        <v>90</v>
      </c>
      <c r="CA2" t="s">
        <v>91</v>
      </c>
      <c r="CB2" t="s">
        <v>92</v>
      </c>
      <c r="CC2" t="s">
        <v>40</v>
      </c>
      <c r="CD2" t="s">
        <v>41</v>
      </c>
      <c r="CE2" t="s">
        <v>42</v>
      </c>
      <c r="CF2" t="s">
        <v>2077</v>
      </c>
      <c r="CG2" t="s">
        <v>43</v>
      </c>
      <c r="CH2" t="s">
        <v>44</v>
      </c>
      <c r="CI2" t="s">
        <v>2078</v>
      </c>
      <c r="CJ2" t="s">
        <v>2079</v>
      </c>
      <c r="CK2" t="s">
        <v>2080</v>
      </c>
      <c r="CL2" t="s">
        <v>2081</v>
      </c>
      <c r="CM2" t="s">
        <v>2082</v>
      </c>
      <c r="CN2" t="s">
        <v>2083</v>
      </c>
      <c r="CO2" t="s">
        <v>2084</v>
      </c>
      <c r="CP2" t="s">
        <v>2085</v>
      </c>
      <c r="CQ2" t="s">
        <v>2086</v>
      </c>
      <c r="CR2" t="s">
        <v>2087</v>
      </c>
      <c r="CS2" t="s">
        <v>2088</v>
      </c>
      <c r="CT2" t="s">
        <v>2089</v>
      </c>
      <c r="CU2" t="s">
        <v>2090</v>
      </c>
      <c r="CV2" t="s">
        <v>2091</v>
      </c>
      <c r="CW2" t="s">
        <v>45</v>
      </c>
      <c r="CX2" t="s">
        <v>2092</v>
      </c>
      <c r="CY2" t="s">
        <v>2093</v>
      </c>
      <c r="CZ2" t="s">
        <v>2094</v>
      </c>
      <c r="DA2" t="s">
        <v>2095</v>
      </c>
      <c r="DB2" t="s">
        <v>2096</v>
      </c>
      <c r="DC2" t="s">
        <v>2097</v>
      </c>
      <c r="DD2" t="s">
        <v>2098</v>
      </c>
      <c r="DE2" t="s">
        <v>2099</v>
      </c>
      <c r="DF2" t="s">
        <v>2100</v>
      </c>
      <c r="DG2" t="s">
        <v>2101</v>
      </c>
      <c r="DH2" t="s">
        <v>2102</v>
      </c>
      <c r="DI2" t="s">
        <v>2103</v>
      </c>
      <c r="DJ2" t="s">
        <v>2104</v>
      </c>
      <c r="DK2" t="s">
        <v>2105</v>
      </c>
      <c r="DL2" s="1" t="s">
        <v>46</v>
      </c>
      <c r="DM2" t="s">
        <v>47</v>
      </c>
      <c r="DN2" t="s">
        <v>48</v>
      </c>
      <c r="DO2" t="s">
        <v>93</v>
      </c>
      <c r="DP2" t="s">
        <v>94</v>
      </c>
      <c r="DQ2" s="20" t="s">
        <v>95</v>
      </c>
      <c r="DR2" s="20" t="s">
        <v>96</v>
      </c>
      <c r="DS2" t="s">
        <v>97</v>
      </c>
      <c r="DT2" t="s">
        <v>98</v>
      </c>
      <c r="DU2" t="s">
        <v>2106</v>
      </c>
      <c r="DV2" s="1" t="s">
        <v>49</v>
      </c>
      <c r="DW2" t="s">
        <v>2107</v>
      </c>
      <c r="DX2" t="s">
        <v>2108</v>
      </c>
      <c r="DY2" t="s">
        <v>2109</v>
      </c>
      <c r="DZ2" s="20" t="s">
        <v>2110</v>
      </c>
      <c r="EA2" s="20" t="s">
        <v>2111</v>
      </c>
      <c r="EB2" s="20" t="s">
        <v>2112</v>
      </c>
      <c r="EC2" s="20" t="s">
        <v>2113</v>
      </c>
      <c r="ED2" t="s">
        <v>2114</v>
      </c>
      <c r="EE2" t="s">
        <v>2115</v>
      </c>
      <c r="EF2" s="1" t="s">
        <v>50</v>
      </c>
      <c r="EG2" t="s">
        <v>51</v>
      </c>
      <c r="EH2" t="s">
        <v>2067</v>
      </c>
      <c r="EI2" t="s">
        <v>2068</v>
      </c>
      <c r="EJ2" t="s">
        <v>2069</v>
      </c>
      <c r="EK2" t="s">
        <v>52</v>
      </c>
      <c r="EL2" s="20" t="s">
        <v>99</v>
      </c>
      <c r="EM2" s="20" t="s">
        <v>100</v>
      </c>
      <c r="EN2" s="20" t="s">
        <v>101</v>
      </c>
      <c r="EO2" t="s">
        <v>102</v>
      </c>
      <c r="EP2" t="s">
        <v>103</v>
      </c>
      <c r="EQ2" s="20" t="s">
        <v>104</v>
      </c>
      <c r="ER2" s="20" t="s">
        <v>105</v>
      </c>
      <c r="ES2" t="s">
        <v>106</v>
      </c>
      <c r="ET2" t="s">
        <v>107</v>
      </c>
      <c r="EU2" t="s">
        <v>108</v>
      </c>
      <c r="EV2" t="s">
        <v>109</v>
      </c>
      <c r="EW2" t="s">
        <v>110</v>
      </c>
      <c r="EX2" t="s">
        <v>111</v>
      </c>
      <c r="EY2" t="s">
        <v>112</v>
      </c>
      <c r="EZ2" t="s">
        <v>2116</v>
      </c>
      <c r="FA2" t="s">
        <v>2117</v>
      </c>
      <c r="FB2" t="s">
        <v>2118</v>
      </c>
      <c r="FC2" t="s">
        <v>2119</v>
      </c>
      <c r="FD2" t="s">
        <v>2120</v>
      </c>
      <c r="FE2" t="s">
        <v>2121</v>
      </c>
      <c r="FF2" t="s">
        <v>2122</v>
      </c>
      <c r="FG2" t="s">
        <v>2123</v>
      </c>
      <c r="FH2" t="s">
        <v>2124</v>
      </c>
      <c r="FI2" s="1" t="s">
        <v>55</v>
      </c>
      <c r="FJ2" t="s">
        <v>56</v>
      </c>
      <c r="FK2" t="s">
        <v>57</v>
      </c>
      <c r="FL2" t="s">
        <v>58</v>
      </c>
      <c r="FM2" s="20" t="s">
        <v>113</v>
      </c>
      <c r="FN2" t="s">
        <v>114</v>
      </c>
      <c r="FO2" t="s">
        <v>115</v>
      </c>
      <c r="FP2" t="s">
        <v>59</v>
      </c>
      <c r="FQ2" t="s">
        <v>60</v>
      </c>
      <c r="FR2" t="s">
        <v>61</v>
      </c>
      <c r="FS2" t="s">
        <v>62</v>
      </c>
      <c r="FT2" t="s">
        <v>2125</v>
      </c>
      <c r="FU2" t="s">
        <v>2126</v>
      </c>
      <c r="FV2" t="s">
        <v>2127</v>
      </c>
      <c r="FW2" t="s">
        <v>2128</v>
      </c>
      <c r="FX2" t="s">
        <v>2129</v>
      </c>
      <c r="FY2" t="s">
        <v>2130</v>
      </c>
      <c r="FZ2" t="s">
        <v>2131</v>
      </c>
      <c r="GA2" t="s">
        <v>63</v>
      </c>
      <c r="GB2" t="s">
        <v>2132</v>
      </c>
      <c r="GC2" t="s">
        <v>2133</v>
      </c>
      <c r="GD2" t="s">
        <v>2134</v>
      </c>
      <c r="GE2" t="s">
        <v>2135</v>
      </c>
      <c r="GF2" t="s">
        <v>2136</v>
      </c>
      <c r="GG2" t="s">
        <v>2137</v>
      </c>
      <c r="GH2" t="s">
        <v>64</v>
      </c>
      <c r="GI2" s="1" t="s">
        <v>65</v>
      </c>
      <c r="GJ2" t="s">
        <v>66</v>
      </c>
      <c r="GK2" t="s">
        <v>67</v>
      </c>
      <c r="GL2" t="s">
        <v>2138</v>
      </c>
      <c r="GM2" t="s">
        <v>68</v>
      </c>
      <c r="GN2" s="20" t="s">
        <v>116</v>
      </c>
      <c r="GO2" t="s">
        <v>2139</v>
      </c>
      <c r="GP2" t="s">
        <v>2140</v>
      </c>
      <c r="GQ2" t="s">
        <v>2141</v>
      </c>
      <c r="GR2" t="s">
        <v>2142</v>
      </c>
      <c r="GS2" t="s">
        <v>2143</v>
      </c>
      <c r="GT2" t="s">
        <v>2144</v>
      </c>
      <c r="GU2" t="s">
        <v>2145</v>
      </c>
      <c r="GV2" t="s">
        <v>69</v>
      </c>
      <c r="GW2" t="s">
        <v>70</v>
      </c>
      <c r="GX2" t="s">
        <v>2146</v>
      </c>
      <c r="GY2" t="s">
        <v>2147</v>
      </c>
      <c r="GZ2" t="s">
        <v>2148</v>
      </c>
      <c r="HA2" t="s">
        <v>2149</v>
      </c>
      <c r="HB2" t="s">
        <v>2150</v>
      </c>
      <c r="HC2" t="s">
        <v>2151</v>
      </c>
      <c r="HD2" t="s">
        <v>2152</v>
      </c>
      <c r="HE2" t="s">
        <v>2153</v>
      </c>
      <c r="HF2" t="s">
        <v>71</v>
      </c>
      <c r="HG2" t="s">
        <v>72</v>
      </c>
      <c r="HH2" t="s">
        <v>2154</v>
      </c>
      <c r="HI2" t="s">
        <v>2155</v>
      </c>
      <c r="HJ2" t="s">
        <v>2156</v>
      </c>
      <c r="HK2" t="s">
        <v>2157</v>
      </c>
      <c r="HL2" t="s">
        <v>2158</v>
      </c>
      <c r="HM2" t="s">
        <v>2159</v>
      </c>
      <c r="HN2" t="s">
        <v>2160</v>
      </c>
      <c r="HO2" t="s">
        <v>2161</v>
      </c>
      <c r="HP2" t="s">
        <v>2162</v>
      </c>
      <c r="HQ2" t="s">
        <v>73</v>
      </c>
      <c r="HR2" t="s">
        <v>2163</v>
      </c>
      <c r="HS2" t="s">
        <v>2164</v>
      </c>
      <c r="HT2" t="s">
        <v>74</v>
      </c>
      <c r="HU2" t="s">
        <v>75</v>
      </c>
      <c r="HV2" s="20" t="s">
        <v>2316</v>
      </c>
      <c r="HW2" t="s">
        <v>76</v>
      </c>
      <c r="HX2" t="s">
        <v>2165</v>
      </c>
      <c r="HY2" t="s">
        <v>77</v>
      </c>
      <c r="HZ2" t="s">
        <v>78</v>
      </c>
      <c r="IA2" t="s">
        <v>79</v>
      </c>
    </row>
    <row r="3" spans="1:235" ht="56.35" customHeight="1" x14ac:dyDescent="0.45">
      <c r="A3" s="61">
        <v>1</v>
      </c>
      <c r="B3" s="61">
        <f>_xlfn.IFNA(VLOOKUP(AnalizaCzyste[[#This Row],[Zakończono wypełnianie]],Zakończone[],2,0),"BRAK")</f>
        <v>2</v>
      </c>
      <c r="C3" s="61">
        <f t="shared" ref="C3:C35" si="0">COUNTA(AI3:IA3)</f>
        <v>96</v>
      </c>
      <c r="D3" s="61" t="s">
        <v>145</v>
      </c>
      <c r="E3" s="61" t="s">
        <v>146</v>
      </c>
      <c r="F3" s="61">
        <v>1573</v>
      </c>
      <c r="G3" s="59" t="s">
        <v>2292</v>
      </c>
      <c r="H3" s="59" t="s">
        <v>2292</v>
      </c>
      <c r="I3" s="59" t="s">
        <v>2480</v>
      </c>
      <c r="J3" s="59" t="str">
        <f>"("&amp;"ID:"&amp;AnalizaCzyste[[#This Row],[Lp. wywiadu]]&amp;"; "&amp;AnalizaCzyste[[#This Row],[Czy kierunek techniczny?]]&amp;"; "&amp;MID(AnalizaCzyste[[#This Row],[Info metryczkowe]],2,40)</f>
        <v>(ID:1; NTech; A_R_P_U; 5; m; F; t/n)</v>
      </c>
      <c r="K3" s="60"/>
      <c r="L3" s="55" t="s">
        <v>2513</v>
      </c>
      <c r="M3" s="55" t="s">
        <v>2512</v>
      </c>
      <c r="N3" s="55" t="s">
        <v>2511</v>
      </c>
      <c r="O3" s="55" t="s">
        <v>2503</v>
      </c>
      <c r="P3" s="55" t="s">
        <v>2509</v>
      </c>
      <c r="Q3" s="55" t="s">
        <v>2508</v>
      </c>
      <c r="R3" s="55" t="s">
        <v>2510</v>
      </c>
      <c r="S3" s="60" t="s">
        <v>2507</v>
      </c>
      <c r="T3" s="60" t="s">
        <v>2506</v>
      </c>
      <c r="U3" s="62"/>
      <c r="V3" s="62" t="s">
        <v>2297</v>
      </c>
      <c r="W3" s="62" t="s">
        <v>2769</v>
      </c>
      <c r="X3" s="62"/>
      <c r="Y3" s="62"/>
      <c r="Z3" s="62"/>
      <c r="AA3" s="62"/>
      <c r="AB3" s="62"/>
      <c r="AC3" s="60" t="s">
        <v>2505</v>
      </c>
      <c r="AD3" s="55" t="s">
        <v>2730</v>
      </c>
      <c r="AE3" s="55" t="s">
        <v>2766</v>
      </c>
      <c r="AF3" s="55" t="str">
        <f>VLOOKUP(AnalizaCzyste[[#This Row],[Jak się nazywa uczelnia którą ukończyłeś? (proszę o wybranie jednej uczelni podlegającej ocenie)]],KategorieUczelni[],3,0)</f>
        <v>Nietechniczna</v>
      </c>
      <c r="AG3" s="55" t="str">
        <f>MID(AnalizaCzyste[[#This Row],[Info metryczkowe]],2,40)</f>
        <v>A_R_P_U; 5; m; F; t/n)</v>
      </c>
      <c r="AH3" s="55"/>
      <c r="AI3" s="1" t="s">
        <v>123</v>
      </c>
      <c r="AY3" s="56" t="s">
        <v>124</v>
      </c>
      <c r="AZ3" t="s">
        <v>234</v>
      </c>
      <c r="BA3" t="str">
        <f>VLOOKUP(AnalizaCzyste[[#This Row],[Jak się nazywa uczelnia którą ukończyłeś? (proszę o wybranie jednej uczelni podlegającej ocenie)]],KategorieUczelni[],2,0)</f>
        <v>Publiczna</v>
      </c>
      <c r="BB3">
        <v>1986</v>
      </c>
      <c r="BC3" t="s">
        <v>148</v>
      </c>
      <c r="BD3" t="s">
        <v>149</v>
      </c>
      <c r="BE3" t="s">
        <v>150</v>
      </c>
      <c r="BF3" t="s">
        <v>150</v>
      </c>
      <c r="BG3" t="s">
        <v>150</v>
      </c>
      <c r="BH3" t="s">
        <v>151</v>
      </c>
      <c r="BI3" t="s">
        <v>150</v>
      </c>
      <c r="BJ3">
        <v>3</v>
      </c>
      <c r="BK3" t="s">
        <v>152</v>
      </c>
      <c r="BL3" t="s">
        <v>153</v>
      </c>
      <c r="BM3" t="s">
        <v>154</v>
      </c>
      <c r="BN3" t="s">
        <v>155</v>
      </c>
      <c r="BO3" t="s">
        <v>156</v>
      </c>
      <c r="BP3" t="s">
        <v>157</v>
      </c>
      <c r="BQ3" t="s">
        <v>158</v>
      </c>
      <c r="BR3" s="56" t="s">
        <v>159</v>
      </c>
      <c r="BS3">
        <v>2</v>
      </c>
      <c r="BT3" t="s">
        <v>160</v>
      </c>
      <c r="BU3">
        <v>2013</v>
      </c>
      <c r="BV3" t="s">
        <v>148</v>
      </c>
      <c r="BW3" t="s">
        <v>161</v>
      </c>
      <c r="BX3" t="s">
        <v>162</v>
      </c>
      <c r="BY3" t="s">
        <v>150</v>
      </c>
      <c r="BZ3" t="s">
        <v>150</v>
      </c>
      <c r="CA3" t="s">
        <v>150</v>
      </c>
      <c r="CB3" t="s">
        <v>150</v>
      </c>
      <c r="CC3" t="s">
        <v>163</v>
      </c>
      <c r="CD3" t="s">
        <v>164</v>
      </c>
      <c r="CE3" t="s">
        <v>157</v>
      </c>
      <c r="CG3" t="s">
        <v>165</v>
      </c>
      <c r="CH3" t="s">
        <v>166</v>
      </c>
      <c r="CI3" t="s">
        <v>167</v>
      </c>
      <c r="CJ3">
        <v>2015</v>
      </c>
      <c r="CK3" t="s">
        <v>148</v>
      </c>
      <c r="CL3" t="s">
        <v>168</v>
      </c>
      <c r="CM3" t="s">
        <v>150</v>
      </c>
      <c r="CN3" t="s">
        <v>169</v>
      </c>
      <c r="CO3" t="s">
        <v>150</v>
      </c>
      <c r="CP3" t="s">
        <v>150</v>
      </c>
      <c r="CQ3" t="s">
        <v>150</v>
      </c>
      <c r="CR3" t="s">
        <v>170</v>
      </c>
      <c r="CS3" t="s">
        <v>171</v>
      </c>
      <c r="CT3" t="s">
        <v>172</v>
      </c>
      <c r="CW3" t="s">
        <v>173</v>
      </c>
      <c r="DL3" s="1" t="s">
        <v>123</v>
      </c>
      <c r="DV3" s="1" t="s">
        <v>123</v>
      </c>
      <c r="EF3" s="56" t="s">
        <v>174</v>
      </c>
      <c r="EJ3" t="s">
        <v>175</v>
      </c>
      <c r="EK3" t="s">
        <v>176</v>
      </c>
      <c r="EL3" t="s">
        <v>162</v>
      </c>
      <c r="EM3" t="s">
        <v>150</v>
      </c>
      <c r="EN3" t="s">
        <v>151</v>
      </c>
      <c r="EO3" t="s">
        <v>151</v>
      </c>
      <c r="EP3" t="s">
        <v>162</v>
      </c>
      <c r="EQ3" t="s">
        <v>162</v>
      </c>
      <c r="ER3" t="s">
        <v>150</v>
      </c>
      <c r="ES3">
        <v>25</v>
      </c>
      <c r="ET3">
        <v>25</v>
      </c>
      <c r="EU3">
        <v>2</v>
      </c>
      <c r="EV3">
        <v>5</v>
      </c>
      <c r="EW3">
        <v>8</v>
      </c>
      <c r="EX3">
        <v>25</v>
      </c>
      <c r="EY3">
        <v>10</v>
      </c>
      <c r="FA3">
        <v>20</v>
      </c>
      <c r="FB3">
        <v>20</v>
      </c>
      <c r="FC3">
        <v>1</v>
      </c>
      <c r="FD3">
        <v>4</v>
      </c>
      <c r="FE3">
        <v>25</v>
      </c>
      <c r="FF3">
        <v>25</v>
      </c>
      <c r="FG3">
        <v>5</v>
      </c>
      <c r="FI3" s="56" t="s">
        <v>177</v>
      </c>
      <c r="FJ3" t="s">
        <v>178</v>
      </c>
      <c r="FK3">
        <v>1</v>
      </c>
      <c r="FL3" t="s">
        <v>179</v>
      </c>
      <c r="FM3" t="s">
        <v>150</v>
      </c>
      <c r="FN3" t="s">
        <v>150</v>
      </c>
      <c r="FO3" t="s">
        <v>151</v>
      </c>
      <c r="FP3" t="s">
        <v>180</v>
      </c>
      <c r="FQ3" t="s">
        <v>181</v>
      </c>
      <c r="FR3" t="s">
        <v>182</v>
      </c>
      <c r="FS3" t="s">
        <v>173</v>
      </c>
      <c r="GI3" s="1" t="s">
        <v>123</v>
      </c>
      <c r="GJ3" t="s">
        <v>132</v>
      </c>
      <c r="HQ3" t="s">
        <v>183</v>
      </c>
      <c r="HR3" t="s">
        <v>184</v>
      </c>
      <c r="HS3" t="s">
        <v>185</v>
      </c>
      <c r="HT3" t="s">
        <v>186</v>
      </c>
      <c r="HU3">
        <v>1961</v>
      </c>
      <c r="HV3" t="str">
        <f>VLOOKUP(AnalizaCzyste[[#This Row],[Rok urodzenia]],KategorieWiekowe[],2,1)</f>
        <v>56–65 lat</v>
      </c>
      <c r="HW3" t="s">
        <v>141</v>
      </c>
      <c r="HY3" t="s">
        <v>187</v>
      </c>
    </row>
    <row r="4" spans="1:235" ht="56.35" customHeight="1" x14ac:dyDescent="0.45">
      <c r="A4" s="61">
        <v>2</v>
      </c>
      <c r="B4" s="61">
        <f>_xlfn.IFNA(VLOOKUP(AnalizaCzyste[[#This Row],[Zakończono wypełnianie]],Zakończone[],2,0),"BRAK")</f>
        <v>5</v>
      </c>
      <c r="C4" s="61">
        <f t="shared" si="0"/>
        <v>84</v>
      </c>
      <c r="D4" s="61" t="s">
        <v>221</v>
      </c>
      <c r="E4" s="61" t="s">
        <v>222</v>
      </c>
      <c r="F4" s="61">
        <v>1659</v>
      </c>
      <c r="G4" s="59" t="s">
        <v>2292</v>
      </c>
      <c r="H4" s="59" t="s">
        <v>2292</v>
      </c>
      <c r="I4" s="59" t="s">
        <v>2472</v>
      </c>
      <c r="J4" s="59" t="str">
        <f>"("&amp;"ID:"&amp;AnalizaCzyste[[#This Row],[Lp. wywiadu]]&amp;"; "&amp;AnalizaCzyste[[#This Row],[Czy kierunek techniczny?]]&amp;"; "&amp;MID(AnalizaCzyste[[#This Row],[Info metryczkowe]],2,40)</f>
        <v>(ID:2; NTech; A_R_W; 5; m; D; t/n)</v>
      </c>
      <c r="K4" s="55"/>
      <c r="L4" s="55" t="s">
        <v>2521</v>
      </c>
      <c r="M4" s="55" t="s">
        <v>2520</v>
      </c>
      <c r="N4" s="55" t="s">
        <v>2519</v>
      </c>
      <c r="O4" s="55" t="s">
        <v>2503</v>
      </c>
      <c r="P4" s="55" t="s">
        <v>2518</v>
      </c>
      <c r="Q4" s="55" t="s">
        <v>2517</v>
      </c>
      <c r="R4" s="55" t="s">
        <v>2538</v>
      </c>
      <c r="S4" s="60" t="s">
        <v>2516</v>
      </c>
      <c r="T4" s="60" t="s">
        <v>2515</v>
      </c>
      <c r="U4" s="62" t="s">
        <v>2296</v>
      </c>
      <c r="V4" s="62" t="s">
        <v>2297</v>
      </c>
      <c r="W4" s="62"/>
      <c r="X4" s="62" t="s">
        <v>2771</v>
      </c>
      <c r="Y4" s="62"/>
      <c r="Z4" s="62"/>
      <c r="AA4" s="62"/>
      <c r="AB4" s="62"/>
      <c r="AC4" s="60" t="s">
        <v>2514</v>
      </c>
      <c r="AD4" s="20" t="s">
        <v>2731</v>
      </c>
      <c r="AE4" s="55" t="s">
        <v>2766</v>
      </c>
      <c r="AF4" s="20" t="str">
        <f>VLOOKUP(AnalizaCzyste[[#This Row],[Jak się nazywa uczelnia którą ukończyłeś? (proszę o wybranie jednej uczelni podlegającej ocenie)]],KategorieUczelni[],3,0)</f>
        <v>Nietechniczna</v>
      </c>
      <c r="AG4" s="20" t="str">
        <f>MID(AnalizaCzyste[[#This Row],[Info metryczkowe]],2,40)</f>
        <v>A_R_W; 5; m; D; t/n)</v>
      </c>
      <c r="AH4" s="20"/>
      <c r="AI4" s="1" t="s">
        <v>123</v>
      </c>
      <c r="AY4" s="56" t="s">
        <v>124</v>
      </c>
      <c r="AZ4" t="s">
        <v>223</v>
      </c>
      <c r="BA4" t="str">
        <f>VLOOKUP(AnalizaCzyste[[#This Row],[Jak się nazywa uczelnia którą ukończyłeś? (proszę o wybranie jednej uczelni podlegającej ocenie)]],KategorieUczelni[],2,0)</f>
        <v>Publiczna</v>
      </c>
      <c r="BB4">
        <v>1999</v>
      </c>
      <c r="BC4" t="s">
        <v>148</v>
      </c>
      <c r="BD4" t="s">
        <v>224</v>
      </c>
      <c r="BE4" t="s">
        <v>162</v>
      </c>
      <c r="BF4" t="s">
        <v>162</v>
      </c>
      <c r="BG4" t="s">
        <v>150</v>
      </c>
      <c r="BH4" t="s">
        <v>150</v>
      </c>
      <c r="BI4" t="s">
        <v>169</v>
      </c>
      <c r="BJ4" t="s">
        <v>225</v>
      </c>
      <c r="BK4" t="s">
        <v>153</v>
      </c>
      <c r="BL4" t="s">
        <v>226</v>
      </c>
      <c r="BM4" t="s">
        <v>227</v>
      </c>
      <c r="BN4" t="s">
        <v>228</v>
      </c>
      <c r="BO4" t="s">
        <v>229</v>
      </c>
      <c r="BP4" t="s">
        <v>230</v>
      </c>
      <c r="BR4" s="56" t="s">
        <v>159</v>
      </c>
      <c r="BS4">
        <v>3</v>
      </c>
      <c r="BT4" t="s">
        <v>191</v>
      </c>
      <c r="BU4">
        <v>2011</v>
      </c>
      <c r="BV4" t="s">
        <v>126</v>
      </c>
      <c r="BW4" t="s">
        <v>2273</v>
      </c>
      <c r="BX4" t="s">
        <v>169</v>
      </c>
      <c r="BY4" t="s">
        <v>169</v>
      </c>
      <c r="BZ4" t="s">
        <v>150</v>
      </c>
      <c r="CA4" t="s">
        <v>162</v>
      </c>
      <c r="CB4" t="s">
        <v>150</v>
      </c>
      <c r="CC4">
        <v>1</v>
      </c>
      <c r="CD4" t="s">
        <v>232</v>
      </c>
      <c r="CE4" t="s">
        <v>157</v>
      </c>
      <c r="CG4" t="s">
        <v>233</v>
      </c>
      <c r="CH4" t="s">
        <v>166</v>
      </c>
      <c r="CI4" t="s">
        <v>234</v>
      </c>
      <c r="CJ4">
        <v>2011</v>
      </c>
      <c r="CK4" t="s">
        <v>148</v>
      </c>
      <c r="CL4" t="s">
        <v>235</v>
      </c>
      <c r="CM4" t="s">
        <v>151</v>
      </c>
      <c r="CN4" t="s">
        <v>128</v>
      </c>
      <c r="CO4" t="s">
        <v>236</v>
      </c>
      <c r="CP4" t="s">
        <v>128</v>
      </c>
      <c r="CQ4" t="s">
        <v>162</v>
      </c>
      <c r="CR4" t="s">
        <v>237</v>
      </c>
      <c r="CT4" t="s">
        <v>172</v>
      </c>
      <c r="CV4" t="s">
        <v>233</v>
      </c>
      <c r="CW4" t="s">
        <v>238</v>
      </c>
      <c r="CX4" t="s">
        <v>223</v>
      </c>
      <c r="CY4">
        <v>2016</v>
      </c>
      <c r="CZ4" t="s">
        <v>148</v>
      </c>
      <c r="DA4" t="s">
        <v>239</v>
      </c>
      <c r="DB4" t="s">
        <v>169</v>
      </c>
      <c r="DC4" t="s">
        <v>169</v>
      </c>
      <c r="DD4" t="s">
        <v>169</v>
      </c>
      <c r="DE4" t="s">
        <v>150</v>
      </c>
      <c r="DF4" t="s">
        <v>150</v>
      </c>
      <c r="DG4">
        <v>1</v>
      </c>
      <c r="DH4" t="s">
        <v>240</v>
      </c>
      <c r="DI4" t="s">
        <v>157</v>
      </c>
      <c r="DK4" t="s">
        <v>233</v>
      </c>
      <c r="DL4" s="1" t="s">
        <v>123</v>
      </c>
      <c r="DV4" s="56" t="s">
        <v>214</v>
      </c>
      <c r="DW4" t="s">
        <v>234</v>
      </c>
      <c r="DX4" t="s">
        <v>241</v>
      </c>
      <c r="DY4" t="s">
        <v>162</v>
      </c>
      <c r="DZ4" t="s">
        <v>169</v>
      </c>
      <c r="EA4" t="s">
        <v>169</v>
      </c>
      <c r="EB4" t="s">
        <v>151</v>
      </c>
      <c r="EC4" t="s">
        <v>151</v>
      </c>
      <c r="ED4" t="s">
        <v>151</v>
      </c>
      <c r="EE4" t="s">
        <v>242</v>
      </c>
      <c r="EF4" s="1" t="s">
        <v>123</v>
      </c>
      <c r="FI4" s="1" t="s">
        <v>123</v>
      </c>
      <c r="GI4" s="1" t="s">
        <v>123</v>
      </c>
      <c r="GJ4" t="s">
        <v>132</v>
      </c>
      <c r="HQ4" t="s">
        <v>243</v>
      </c>
      <c r="HR4" t="s">
        <v>244</v>
      </c>
      <c r="HS4" t="s">
        <v>245</v>
      </c>
      <c r="HT4" t="s">
        <v>186</v>
      </c>
      <c r="HU4">
        <v>1961</v>
      </c>
      <c r="HV4" t="str">
        <f>VLOOKUP(AnalizaCzyste[[#This Row],[Rok urodzenia]],KategorieWiekowe[],2,1)</f>
        <v>56–65 lat</v>
      </c>
      <c r="HW4" t="s">
        <v>246</v>
      </c>
      <c r="HY4" t="s">
        <v>247</v>
      </c>
    </row>
    <row r="5" spans="1:235" ht="56.35" customHeight="1" x14ac:dyDescent="0.45">
      <c r="A5" s="61">
        <v>3</v>
      </c>
      <c r="B5" s="61">
        <f>_xlfn.IFNA(VLOOKUP(AnalizaCzyste[[#This Row],[Zakończono wypełnianie]],Zakończone[],2,0),"BRAK")</f>
        <v>10</v>
      </c>
      <c r="C5" s="61">
        <f t="shared" si="0"/>
        <v>63</v>
      </c>
      <c r="D5" s="61" t="s">
        <v>299</v>
      </c>
      <c r="E5" s="61" t="s">
        <v>300</v>
      </c>
      <c r="F5" s="61">
        <v>1404</v>
      </c>
      <c r="G5" s="59" t="s">
        <v>2292</v>
      </c>
      <c r="H5" s="59" t="s">
        <v>2292</v>
      </c>
      <c r="I5" s="59" t="s">
        <v>2473</v>
      </c>
      <c r="J5" s="59" t="str">
        <f>"("&amp;"ID:"&amp;AnalizaCzyste[[#This Row],[Lp. wywiadu]]&amp;"; "&amp;AnalizaCzyste[[#This Row],[Czy kierunek techniczny?]]&amp;"; "&amp;MID(AnalizaCzyste[[#This Row],[Info metryczkowe]],2,40)</f>
        <v>(ID:3; Tech; A_R_W_U_WŁ; 5; m; F; t/n)</v>
      </c>
      <c r="K5" s="55"/>
      <c r="L5" s="55"/>
      <c r="M5" s="55"/>
      <c r="N5" s="55" t="s">
        <v>2527</v>
      </c>
      <c r="O5" s="55" t="s">
        <v>2503</v>
      </c>
      <c r="P5" s="55" t="s">
        <v>2526</v>
      </c>
      <c r="Q5" s="55" t="s">
        <v>2525</v>
      </c>
      <c r="R5" s="55"/>
      <c r="S5" s="60" t="s">
        <v>2524</v>
      </c>
      <c r="T5" s="60" t="s">
        <v>2523</v>
      </c>
      <c r="U5" s="62" t="s">
        <v>2296</v>
      </c>
      <c r="V5" s="62" t="s">
        <v>2297</v>
      </c>
      <c r="W5" s="62" t="s">
        <v>2769</v>
      </c>
      <c r="X5" s="62" t="s">
        <v>2771</v>
      </c>
      <c r="Y5" s="62" t="s">
        <v>2770</v>
      </c>
      <c r="Z5" s="62" t="s">
        <v>2773</v>
      </c>
      <c r="AA5" s="62"/>
      <c r="AB5" s="62"/>
      <c r="AC5" s="60" t="s">
        <v>2522</v>
      </c>
      <c r="AD5" s="55" t="s">
        <v>2732</v>
      </c>
      <c r="AE5" s="55" t="s">
        <v>2763</v>
      </c>
      <c r="AF5" s="55" t="str">
        <f>VLOOKUP(AnalizaCzyste[[#This Row],[Jak się nazywa uczelnia którą ukończyłeś? (proszę o wybranie jednej uczelni podlegającej ocenie)]],KategorieUczelni[],3,0)</f>
        <v>Techniczna</v>
      </c>
      <c r="AG5" s="55" t="str">
        <f>MID(AnalizaCzyste[[#This Row],[Info metryczkowe]],2,40)</f>
        <v>A_R_W_U_WŁ; 5; m; F; t/n)</v>
      </c>
      <c r="AH5" s="55"/>
      <c r="AI5" s="1" t="s">
        <v>123</v>
      </c>
      <c r="AY5" s="56" t="s">
        <v>124</v>
      </c>
      <c r="AZ5" t="s">
        <v>191</v>
      </c>
      <c r="BA5" t="str">
        <f>VLOOKUP(AnalizaCzyste[[#This Row],[Jak się nazywa uczelnia którą ukończyłeś? (proszę o wybranie jednej uczelni podlegającej ocenie)]],KategorieUczelni[],2,0)</f>
        <v>Publiczna</v>
      </c>
      <c r="BB5">
        <v>1986</v>
      </c>
      <c r="BC5" t="s">
        <v>126</v>
      </c>
      <c r="BD5" t="s">
        <v>301</v>
      </c>
      <c r="BE5" t="s">
        <v>150</v>
      </c>
      <c r="BF5" t="s">
        <v>150</v>
      </c>
      <c r="BG5" t="s">
        <v>162</v>
      </c>
      <c r="BH5" t="s">
        <v>151</v>
      </c>
      <c r="BI5" t="s">
        <v>151</v>
      </c>
      <c r="BJ5">
        <v>2</v>
      </c>
      <c r="BK5" t="s">
        <v>302</v>
      </c>
      <c r="BL5" t="s">
        <v>153</v>
      </c>
      <c r="BM5" t="s">
        <v>303</v>
      </c>
      <c r="BN5" t="s">
        <v>304</v>
      </c>
      <c r="BO5" t="s">
        <v>305</v>
      </c>
      <c r="BP5" t="s">
        <v>157</v>
      </c>
      <c r="BR5" s="56" t="s">
        <v>159</v>
      </c>
      <c r="BS5">
        <v>1</v>
      </c>
      <c r="BT5" t="s">
        <v>223</v>
      </c>
      <c r="BU5">
        <v>2011</v>
      </c>
      <c r="BV5" t="s">
        <v>148</v>
      </c>
      <c r="BW5" t="s">
        <v>127</v>
      </c>
      <c r="BX5" t="s">
        <v>150</v>
      </c>
      <c r="BY5" t="s">
        <v>150</v>
      </c>
      <c r="BZ5" t="s">
        <v>169</v>
      </c>
      <c r="CA5" t="s">
        <v>169</v>
      </c>
      <c r="CB5" t="s">
        <v>169</v>
      </c>
      <c r="CC5">
        <v>1</v>
      </c>
      <c r="CD5" t="s">
        <v>306</v>
      </c>
      <c r="CE5" t="s">
        <v>157</v>
      </c>
      <c r="CG5" t="s">
        <v>307</v>
      </c>
      <c r="CH5" t="s">
        <v>173</v>
      </c>
      <c r="DL5" s="1" t="s">
        <v>123</v>
      </c>
      <c r="DV5" s="56" t="s">
        <v>214</v>
      </c>
      <c r="DW5" t="s">
        <v>191</v>
      </c>
      <c r="DX5" t="s">
        <v>308</v>
      </c>
      <c r="DY5" t="s">
        <v>150</v>
      </c>
      <c r="DZ5" t="s">
        <v>150</v>
      </c>
      <c r="EA5" t="s">
        <v>162</v>
      </c>
      <c r="EB5" t="s">
        <v>150</v>
      </c>
      <c r="EC5" t="s">
        <v>150</v>
      </c>
      <c r="ED5" t="s">
        <v>150</v>
      </c>
      <c r="EE5" t="s">
        <v>309</v>
      </c>
      <c r="EF5" s="57" t="s">
        <v>2487</v>
      </c>
      <c r="FI5" s="1" t="s">
        <v>123</v>
      </c>
      <c r="FJ5" t="s">
        <v>180</v>
      </c>
      <c r="FK5" t="s">
        <v>132</v>
      </c>
      <c r="GI5" s="1" t="s">
        <v>123</v>
      </c>
      <c r="GJ5" t="s">
        <v>132</v>
      </c>
      <c r="GL5" t="s">
        <v>132</v>
      </c>
      <c r="HQ5" t="s">
        <v>310</v>
      </c>
      <c r="HR5" t="s">
        <v>311</v>
      </c>
      <c r="HS5" t="s">
        <v>312</v>
      </c>
      <c r="HT5" t="s">
        <v>186</v>
      </c>
      <c r="HU5">
        <v>1963</v>
      </c>
      <c r="HV5" t="str">
        <f>VLOOKUP(AnalizaCzyste[[#This Row],[Rok urodzenia]],KategorieWiekowe[],2,1)</f>
        <v>56–65 lat</v>
      </c>
      <c r="HW5" t="s">
        <v>141</v>
      </c>
      <c r="HX5" t="s">
        <v>313</v>
      </c>
      <c r="HY5" t="s">
        <v>314</v>
      </c>
      <c r="HZ5" t="s">
        <v>315</v>
      </c>
    </row>
    <row r="6" spans="1:235" ht="56.35" customHeight="1" x14ac:dyDescent="0.45">
      <c r="A6" s="61">
        <v>4</v>
      </c>
      <c r="B6" s="61">
        <f>_xlfn.IFNA(VLOOKUP(AnalizaCzyste[[#This Row],[Zakończono wypełnianie]],Zakończone[],2,0),"BRAK")</f>
        <v>12</v>
      </c>
      <c r="C6" s="61">
        <f t="shared" si="0"/>
        <v>36</v>
      </c>
      <c r="D6" s="61" t="s">
        <v>327</v>
      </c>
      <c r="E6" s="61" t="s">
        <v>328</v>
      </c>
      <c r="F6" s="61">
        <v>1387173</v>
      </c>
      <c r="G6" s="59" t="s">
        <v>2292</v>
      </c>
      <c r="H6" s="59" t="s">
        <v>2292</v>
      </c>
      <c r="I6" s="59" t="s">
        <v>2474</v>
      </c>
      <c r="J6" s="59" t="str">
        <f>"("&amp;"ID:"&amp;AnalizaCzyste[[#This Row],[Lp. wywiadu]]&amp;"; "&amp;AnalizaCzyste[[#This Row],[Czy kierunek techniczny?]]&amp;"; "&amp;MID(AnalizaCzyste[[#This Row],[Info metryczkowe]],2,40)</f>
        <v>(ID:4; Tech; A; 2; m; D; t/t)</v>
      </c>
      <c r="K6" s="55" t="s">
        <v>2535</v>
      </c>
      <c r="L6" s="55"/>
      <c r="M6" s="55"/>
      <c r="N6" s="55" t="s">
        <v>2534</v>
      </c>
      <c r="O6" s="55" t="s">
        <v>2503</v>
      </c>
      <c r="P6" s="55" t="s">
        <v>2533</v>
      </c>
      <c r="Q6" s="55" t="s">
        <v>2531</v>
      </c>
      <c r="R6" s="55" t="s">
        <v>2532</v>
      </c>
      <c r="S6" s="60" t="s">
        <v>2530</v>
      </c>
      <c r="T6" s="60" t="s">
        <v>2529</v>
      </c>
      <c r="U6" s="62" t="s">
        <v>2296</v>
      </c>
      <c r="V6" s="62"/>
      <c r="W6" s="62"/>
      <c r="X6" s="62"/>
      <c r="Y6" s="62"/>
      <c r="Z6" s="62"/>
      <c r="AA6" s="62"/>
      <c r="AB6" s="62"/>
      <c r="AC6" s="60" t="s">
        <v>2528</v>
      </c>
      <c r="AD6" s="55" t="s">
        <v>2733</v>
      </c>
      <c r="AE6" s="55" t="s">
        <v>2763</v>
      </c>
      <c r="AF6" s="55" t="str">
        <f>VLOOKUP(AnalizaCzyste[[#This Row],[Jak się nazywa uczelnia którą ukończyłeś? (proszę o wybranie jednej uczelni podlegającej ocenie)]],KategorieUczelni[],3,0)</f>
        <v>Techniczna</v>
      </c>
      <c r="AG6" s="55" t="str">
        <f>MID(AnalizaCzyste[[#This Row],[Info metryczkowe]],2,40)</f>
        <v>A; 2; m; D; t/t)</v>
      </c>
      <c r="AH6" s="55"/>
      <c r="AI6" s="1" t="s">
        <v>123</v>
      </c>
      <c r="AY6" s="56" t="s">
        <v>124</v>
      </c>
      <c r="AZ6" t="s">
        <v>191</v>
      </c>
      <c r="BA6" t="str">
        <f>VLOOKUP(AnalizaCzyste[[#This Row],[Jak się nazywa uczelnia którą ukończyłeś? (proszę o wybranie jednej uczelni podlegającej ocenie)]],KategorieUczelni[],2,0)</f>
        <v>Publiczna</v>
      </c>
      <c r="BB6">
        <v>2011</v>
      </c>
      <c r="BC6" t="s">
        <v>126</v>
      </c>
      <c r="BD6" t="s">
        <v>330</v>
      </c>
      <c r="BE6" t="s">
        <v>169</v>
      </c>
      <c r="BF6" t="s">
        <v>169</v>
      </c>
      <c r="BG6" t="s">
        <v>150</v>
      </c>
      <c r="BH6" t="s">
        <v>162</v>
      </c>
      <c r="BI6" t="s">
        <v>169</v>
      </c>
      <c r="BJ6" t="s">
        <v>331</v>
      </c>
      <c r="BK6" t="s">
        <v>302</v>
      </c>
      <c r="BL6" t="s">
        <v>226</v>
      </c>
      <c r="BM6" t="s">
        <v>332</v>
      </c>
      <c r="BN6" t="s">
        <v>333</v>
      </c>
      <c r="BO6" t="s">
        <v>334</v>
      </c>
      <c r="BP6" t="s">
        <v>157</v>
      </c>
      <c r="BQ6" t="s">
        <v>335</v>
      </c>
      <c r="BR6" s="1" t="s">
        <v>123</v>
      </c>
      <c r="DL6" s="1" t="s">
        <v>123</v>
      </c>
      <c r="DV6" s="1" t="s">
        <v>123</v>
      </c>
      <c r="EF6" s="1" t="s">
        <v>123</v>
      </c>
      <c r="FI6" s="1" t="s">
        <v>123</v>
      </c>
      <c r="GI6" s="1" t="s">
        <v>123</v>
      </c>
      <c r="GJ6" t="s">
        <v>132</v>
      </c>
      <c r="HQ6" t="s">
        <v>336</v>
      </c>
      <c r="HR6" t="s">
        <v>337</v>
      </c>
      <c r="HS6" t="s">
        <v>338</v>
      </c>
      <c r="HT6" t="s">
        <v>186</v>
      </c>
      <c r="HU6">
        <v>1987</v>
      </c>
      <c r="HV6" t="str">
        <f>VLOOKUP(AnalizaCzyste[[#This Row],[Rok urodzenia]],KategorieWiekowe[],2,1)</f>
        <v>26–35 lat</v>
      </c>
      <c r="HW6" t="s">
        <v>246</v>
      </c>
      <c r="HY6" t="s">
        <v>339</v>
      </c>
      <c r="HZ6" t="s">
        <v>340</v>
      </c>
    </row>
    <row r="7" spans="1:235" ht="56.35" customHeight="1" x14ac:dyDescent="0.45">
      <c r="A7" s="61">
        <v>5</v>
      </c>
      <c r="B7" s="61">
        <f>_xlfn.IFNA(VLOOKUP(AnalizaCzyste[[#This Row],[Zakończono wypełnianie]],Zakończone[],2,0),"BRAK")</f>
        <v>18</v>
      </c>
      <c r="C7" s="61">
        <f t="shared" si="0"/>
        <v>77</v>
      </c>
      <c r="D7" s="61" t="s">
        <v>379</v>
      </c>
      <c r="E7" s="61" t="s">
        <v>380</v>
      </c>
      <c r="F7" s="61">
        <v>5438</v>
      </c>
      <c r="G7" s="59" t="s">
        <v>2292</v>
      </c>
      <c r="H7" s="59"/>
      <c r="I7" s="59" t="s">
        <v>2468</v>
      </c>
      <c r="J7" s="59" t="str">
        <f>"("&amp;"ID:"&amp;AnalizaCzyste[[#This Row],[Lp. wywiadu]]&amp;"; "&amp;AnalizaCzyste[[#This Row],[Czy kierunek techniczny?]]&amp;"; "&amp;MID(AnalizaCzyste[[#This Row],[Info metryczkowe]],2,40)</f>
        <v>(ID:5; NTech; A_AD_W_U_WŁ; 5; m; E; t/n)</v>
      </c>
      <c r="K7" s="55" t="s">
        <v>2542</v>
      </c>
      <c r="L7" s="55"/>
      <c r="M7" s="55"/>
      <c r="N7" s="55" t="s">
        <v>2541</v>
      </c>
      <c r="O7" s="55" t="s">
        <v>2503</v>
      </c>
      <c r="P7" s="55" t="s">
        <v>2540</v>
      </c>
      <c r="Q7" s="55" t="s">
        <v>2539</v>
      </c>
      <c r="R7" s="55" t="s">
        <v>2538</v>
      </c>
      <c r="S7" s="60" t="s">
        <v>2537</v>
      </c>
      <c r="T7" s="60" t="s">
        <v>2536</v>
      </c>
      <c r="U7" s="62" t="s">
        <v>2296</v>
      </c>
      <c r="V7" s="62" t="s">
        <v>2297</v>
      </c>
      <c r="W7" s="62"/>
      <c r="X7" s="62" t="s">
        <v>2771</v>
      </c>
      <c r="Y7" s="62" t="s">
        <v>2770</v>
      </c>
      <c r="Z7" s="62"/>
      <c r="AA7" s="62" t="s">
        <v>2776</v>
      </c>
      <c r="AB7" s="62"/>
      <c r="AC7" s="60" t="s">
        <v>2542</v>
      </c>
      <c r="AD7" s="55" t="s">
        <v>2734</v>
      </c>
      <c r="AE7" s="55" t="s">
        <v>2766</v>
      </c>
      <c r="AF7" s="55" t="str">
        <f>VLOOKUP(AnalizaCzyste[[#This Row],[Jak się nazywa uczelnia którą ukończyłeś? (proszę o wybranie jednej uczelni podlegającej ocenie)]],KategorieUczelni[],3,0)</f>
        <v>Nietechniczna</v>
      </c>
      <c r="AG7" s="55" t="str">
        <f>MID(AnalizaCzyste[[#This Row],[Info metryczkowe]],2,40)</f>
        <v>A_AD_W_U_WŁ; 5; m; E; t/n)</v>
      </c>
      <c r="AH7" s="55"/>
      <c r="AI7" s="1" t="s">
        <v>123</v>
      </c>
      <c r="AY7" s="56" t="s">
        <v>124</v>
      </c>
      <c r="AZ7" t="s">
        <v>2268</v>
      </c>
      <c r="BA7" t="str">
        <f>VLOOKUP(AnalizaCzyste[[#This Row],[Jak się nazywa uczelnia którą ukończyłeś? (proszę o wybranie jednej uczelni podlegającej ocenie)]],KategorieUczelni[],2,0)</f>
        <v>Publiczna</v>
      </c>
      <c r="BB7">
        <v>1985</v>
      </c>
      <c r="BC7" t="s">
        <v>148</v>
      </c>
      <c r="BD7" t="s">
        <v>382</v>
      </c>
      <c r="BE7" t="s">
        <v>169</v>
      </c>
      <c r="BF7" t="s">
        <v>169</v>
      </c>
      <c r="BG7" t="s">
        <v>128</v>
      </c>
      <c r="BH7" t="s">
        <v>236</v>
      </c>
      <c r="BI7" t="s">
        <v>236</v>
      </c>
      <c r="BJ7" t="s">
        <v>383</v>
      </c>
      <c r="BK7" t="s">
        <v>152</v>
      </c>
      <c r="BL7" t="s">
        <v>152</v>
      </c>
      <c r="BM7" t="s">
        <v>384</v>
      </c>
      <c r="BN7" t="s">
        <v>385</v>
      </c>
      <c r="BO7" t="s">
        <v>386</v>
      </c>
      <c r="BP7" t="s">
        <v>172</v>
      </c>
      <c r="BR7" s="1" t="s">
        <v>123</v>
      </c>
      <c r="DL7" s="56" t="s">
        <v>387</v>
      </c>
      <c r="DM7" t="s">
        <v>388</v>
      </c>
      <c r="DN7" t="s">
        <v>389</v>
      </c>
      <c r="DO7" t="s">
        <v>169</v>
      </c>
      <c r="DP7" t="s">
        <v>169</v>
      </c>
      <c r="DQ7" t="s">
        <v>169</v>
      </c>
      <c r="DR7" t="s">
        <v>169</v>
      </c>
      <c r="DS7" t="s">
        <v>169</v>
      </c>
      <c r="DT7" t="s">
        <v>169</v>
      </c>
      <c r="DU7" t="s">
        <v>390</v>
      </c>
      <c r="DV7" s="56" t="s">
        <v>214</v>
      </c>
      <c r="DW7" t="s">
        <v>388</v>
      </c>
      <c r="DX7" t="s">
        <v>2274</v>
      </c>
      <c r="DY7" t="s">
        <v>169</v>
      </c>
      <c r="DZ7" t="s">
        <v>169</v>
      </c>
      <c r="EA7" t="s">
        <v>169</v>
      </c>
      <c r="EB7" t="s">
        <v>169</v>
      </c>
      <c r="EC7" t="s">
        <v>169</v>
      </c>
      <c r="ED7" t="s">
        <v>169</v>
      </c>
      <c r="EE7" t="s">
        <v>393</v>
      </c>
      <c r="EF7" s="56" t="s">
        <v>174</v>
      </c>
      <c r="EG7" t="s">
        <v>394</v>
      </c>
      <c r="EK7" t="s">
        <v>391</v>
      </c>
      <c r="EL7" t="s">
        <v>169</v>
      </c>
      <c r="EM7" t="s">
        <v>169</v>
      </c>
      <c r="EN7" t="s">
        <v>169</v>
      </c>
      <c r="EO7" t="s">
        <v>169</v>
      </c>
      <c r="EP7" t="s">
        <v>169</v>
      </c>
      <c r="EQ7" t="s">
        <v>169</v>
      </c>
      <c r="ER7" t="s">
        <v>169</v>
      </c>
      <c r="ES7">
        <v>20</v>
      </c>
      <c r="ET7">
        <v>20</v>
      </c>
      <c r="EU7">
        <v>0</v>
      </c>
      <c r="EV7">
        <v>15</v>
      </c>
      <c r="EW7">
        <v>30</v>
      </c>
      <c r="EX7">
        <v>0</v>
      </c>
      <c r="EY7">
        <v>15</v>
      </c>
      <c r="FA7">
        <v>30</v>
      </c>
      <c r="FB7">
        <v>20</v>
      </c>
      <c r="FC7">
        <v>0</v>
      </c>
      <c r="FD7">
        <v>10</v>
      </c>
      <c r="FE7">
        <v>25</v>
      </c>
      <c r="FF7">
        <v>0</v>
      </c>
      <c r="FG7">
        <v>15</v>
      </c>
      <c r="FI7" s="1" t="s">
        <v>123</v>
      </c>
      <c r="FJ7" t="s">
        <v>178</v>
      </c>
      <c r="FK7" t="s">
        <v>132</v>
      </c>
      <c r="GI7" s="1" t="s">
        <v>123</v>
      </c>
      <c r="GJ7" t="s">
        <v>132</v>
      </c>
      <c r="GL7" t="s">
        <v>132</v>
      </c>
      <c r="HQ7" t="s">
        <v>395</v>
      </c>
      <c r="HR7" t="s">
        <v>396</v>
      </c>
      <c r="HS7" t="s">
        <v>397</v>
      </c>
      <c r="HT7" t="s">
        <v>186</v>
      </c>
      <c r="HU7">
        <v>1960</v>
      </c>
      <c r="HV7" t="str">
        <f>VLOOKUP(AnalizaCzyste[[#This Row],[Rok urodzenia]],KategorieWiekowe[],2,1)</f>
        <v>56–65 lat</v>
      </c>
      <c r="HW7" t="s">
        <v>398</v>
      </c>
    </row>
    <row r="8" spans="1:235" ht="56.35" customHeight="1" x14ac:dyDescent="0.45">
      <c r="A8" s="61">
        <v>6</v>
      </c>
      <c r="B8" s="61">
        <f>_xlfn.IFNA(VLOOKUP(AnalizaCzyste[[#This Row],[Zakończono wypełnianie]],Zakończone[],2,0),"BRAK")</f>
        <v>21</v>
      </c>
      <c r="C8" s="61">
        <f t="shared" si="0"/>
        <v>47</v>
      </c>
      <c r="D8" s="61" t="s">
        <v>443</v>
      </c>
      <c r="E8" s="61" t="s">
        <v>444</v>
      </c>
      <c r="F8" s="61">
        <v>6812</v>
      </c>
      <c r="G8" s="59" t="s">
        <v>2292</v>
      </c>
      <c r="H8" s="59" t="s">
        <v>2292</v>
      </c>
      <c r="I8" s="59" t="s">
        <v>2471</v>
      </c>
      <c r="J8" s="59" t="str">
        <f>"("&amp;"ID:"&amp;AnalizaCzyste[[#This Row],[Lp. wywiadu]]&amp;"; "&amp;AnalizaCzyste[[#This Row],[Czy kierunek techniczny?]]&amp;"; "&amp;MID(AnalizaCzyste[[#This Row],[Info metryczkowe]],2,40)</f>
        <v>(ID:6; NTech; A_AD; 2; k; C; t/t)</v>
      </c>
      <c r="K8" s="55" t="s">
        <v>2549</v>
      </c>
      <c r="L8" s="55"/>
      <c r="M8" s="55"/>
      <c r="N8" s="55" t="s">
        <v>2548</v>
      </c>
      <c r="O8" s="55" t="s">
        <v>2503</v>
      </c>
      <c r="P8" s="55" t="s">
        <v>2547</v>
      </c>
      <c r="Q8" s="55" t="s">
        <v>2546</v>
      </c>
      <c r="R8" s="55" t="s">
        <v>2538</v>
      </c>
      <c r="S8" s="60" t="s">
        <v>2545</v>
      </c>
      <c r="T8" s="60" t="s">
        <v>2544</v>
      </c>
      <c r="U8" s="62" t="s">
        <v>2777</v>
      </c>
      <c r="V8" s="62"/>
      <c r="W8" s="62"/>
      <c r="X8" s="62"/>
      <c r="Y8" s="62"/>
      <c r="Z8" s="62"/>
      <c r="AA8" s="62"/>
      <c r="AB8" s="62"/>
      <c r="AC8" s="60" t="s">
        <v>2543</v>
      </c>
      <c r="AD8" s="55" t="s">
        <v>2735</v>
      </c>
      <c r="AE8" s="55" t="s">
        <v>2766</v>
      </c>
      <c r="AF8" s="55" t="str">
        <f>VLOOKUP(AnalizaCzyste[[#This Row],[Jak się nazywa uczelnia którą ukończyłeś? (proszę o wybranie jednej uczelni podlegającej ocenie)]],KategorieUczelni[],3,0)</f>
        <v>Nietechniczna</v>
      </c>
      <c r="AG8" s="55" t="str">
        <f>MID(AnalizaCzyste[[#This Row],[Info metryczkowe]],2,40)</f>
        <v>A_AD; 2; k; C; t/t)</v>
      </c>
      <c r="AH8" s="55"/>
      <c r="AI8" s="1" t="s">
        <v>123</v>
      </c>
      <c r="AY8" s="56" t="s">
        <v>124</v>
      </c>
      <c r="AZ8" t="s">
        <v>445</v>
      </c>
      <c r="BA8" t="str">
        <f>VLOOKUP(AnalizaCzyste[[#This Row],[Jak się nazywa uczelnia którą ukończyłeś? (proszę o wybranie jednej uczelni podlegającej ocenie)]],KategorieUczelni[],2,0)</f>
        <v>Publiczna</v>
      </c>
      <c r="BB8">
        <v>2019</v>
      </c>
      <c r="BC8" t="s">
        <v>148</v>
      </c>
      <c r="BD8" t="s">
        <v>446</v>
      </c>
      <c r="BE8" t="s">
        <v>150</v>
      </c>
      <c r="BF8" t="s">
        <v>150</v>
      </c>
      <c r="BG8" t="s">
        <v>169</v>
      </c>
      <c r="BH8" t="s">
        <v>169</v>
      </c>
      <c r="BI8" t="s">
        <v>132</v>
      </c>
      <c r="BJ8" t="s">
        <v>237</v>
      </c>
      <c r="BK8" t="s">
        <v>226</v>
      </c>
      <c r="BL8" t="s">
        <v>132</v>
      </c>
      <c r="BM8" t="s">
        <v>447</v>
      </c>
      <c r="BN8" t="s">
        <v>448</v>
      </c>
      <c r="BO8" t="s">
        <v>449</v>
      </c>
      <c r="BP8" t="s">
        <v>157</v>
      </c>
      <c r="BR8" s="1" t="s">
        <v>123</v>
      </c>
      <c r="DL8" s="56" t="s">
        <v>387</v>
      </c>
      <c r="DM8" t="s">
        <v>445</v>
      </c>
      <c r="DN8" t="s">
        <v>450</v>
      </c>
      <c r="DO8" t="s">
        <v>169</v>
      </c>
      <c r="DP8" t="s">
        <v>169</v>
      </c>
      <c r="DQ8" t="s">
        <v>169</v>
      </c>
      <c r="DR8" t="s">
        <v>150</v>
      </c>
      <c r="DS8" t="s">
        <v>150</v>
      </c>
      <c r="DT8" t="s">
        <v>150</v>
      </c>
      <c r="DU8" t="s">
        <v>451</v>
      </c>
      <c r="DV8" s="1" t="s">
        <v>123</v>
      </c>
      <c r="EF8" s="1" t="s">
        <v>123</v>
      </c>
      <c r="FI8" s="1" t="s">
        <v>123</v>
      </c>
      <c r="FJ8" t="s">
        <v>180</v>
      </c>
      <c r="FK8" t="s">
        <v>132</v>
      </c>
      <c r="GI8" s="1" t="s">
        <v>123</v>
      </c>
      <c r="GJ8" t="s">
        <v>132</v>
      </c>
      <c r="GL8" t="s">
        <v>132</v>
      </c>
      <c r="HQ8" t="s">
        <v>452</v>
      </c>
      <c r="HR8" t="s">
        <v>453</v>
      </c>
      <c r="HS8" t="s">
        <v>454</v>
      </c>
      <c r="HT8" t="s">
        <v>140</v>
      </c>
      <c r="HU8">
        <v>1994</v>
      </c>
      <c r="HV8" t="str">
        <f>VLOOKUP(AnalizaCzyste[[#This Row],[Rok urodzenia]],KategorieWiekowe[],2,1)</f>
        <v>26–35 lat</v>
      </c>
      <c r="HW8" t="s">
        <v>220</v>
      </c>
      <c r="HY8" t="s">
        <v>455</v>
      </c>
      <c r="HZ8" t="s">
        <v>456</v>
      </c>
    </row>
    <row r="9" spans="1:235" ht="56.35" customHeight="1" x14ac:dyDescent="0.45">
      <c r="A9" s="61">
        <v>7</v>
      </c>
      <c r="B9" s="61">
        <f>_xlfn.IFNA(VLOOKUP(AnalizaCzyste[[#This Row],[Zakończono wypełnianie]],Zakończone[],2,0),"BRAK")</f>
        <v>39</v>
      </c>
      <c r="C9" s="61">
        <f t="shared" si="0"/>
        <v>55</v>
      </c>
      <c r="D9" s="61" t="s">
        <v>715</v>
      </c>
      <c r="E9" s="61" t="s">
        <v>716</v>
      </c>
      <c r="F9" s="61">
        <v>1868</v>
      </c>
      <c r="G9" s="59" t="s">
        <v>2292</v>
      </c>
      <c r="H9" s="59" t="s">
        <v>2292</v>
      </c>
      <c r="I9" s="59" t="s">
        <v>2470</v>
      </c>
      <c r="J9" s="59" t="str">
        <f>"("&amp;"ID:"&amp;AnalizaCzyste[[#This Row],[Lp. wywiadu]]&amp;"; "&amp;AnalizaCzyste[[#This Row],[Czy kierunek techniczny?]]&amp;"; "&amp;MID(AnalizaCzyste[[#This Row],[Info metryczkowe]],2,40)</f>
        <v>(ID:7; Tech; A_W_P; 3; m; F; t/n)</v>
      </c>
      <c r="K9" s="55"/>
      <c r="L9" s="55"/>
      <c r="M9" s="55"/>
      <c r="N9" s="55" t="s">
        <v>2555</v>
      </c>
      <c r="O9" s="55" t="s">
        <v>2503</v>
      </c>
      <c r="P9" s="55" t="s">
        <v>2554</v>
      </c>
      <c r="Q9" s="55" t="s">
        <v>2553</v>
      </c>
      <c r="R9" s="55" t="s">
        <v>2556</v>
      </c>
      <c r="S9" s="60" t="s">
        <v>2552</v>
      </c>
      <c r="T9" s="60" t="s">
        <v>2551</v>
      </c>
      <c r="U9" s="62" t="s">
        <v>2296</v>
      </c>
      <c r="V9" s="62" t="s">
        <v>2297</v>
      </c>
      <c r="W9" s="62" t="s">
        <v>2769</v>
      </c>
      <c r="X9" s="62"/>
      <c r="Y9" s="62" t="s">
        <v>2770</v>
      </c>
      <c r="Z9" s="62"/>
      <c r="AA9" s="62"/>
      <c r="AB9" s="62"/>
      <c r="AC9" s="60" t="s">
        <v>2550</v>
      </c>
      <c r="AD9" s="55" t="s">
        <v>2736</v>
      </c>
      <c r="AE9" s="55" t="s">
        <v>2763</v>
      </c>
      <c r="AF9" s="55" t="str">
        <f>VLOOKUP(AnalizaCzyste[[#This Row],[Jak się nazywa uczelnia którą ukończyłeś? (proszę o wybranie jednej uczelni podlegającej ocenie)]],KategorieUczelni[],3,0)</f>
        <v>Techniczna</v>
      </c>
      <c r="AG9" s="55" t="str">
        <f>MID(AnalizaCzyste[[#This Row],[Info metryczkowe]],2,40)</f>
        <v>A_W_P; 3; m; F; t/n)</v>
      </c>
      <c r="AH9" s="55"/>
      <c r="AI9" s="1" t="s">
        <v>123</v>
      </c>
      <c r="AY9" s="56" t="s">
        <v>124</v>
      </c>
      <c r="AZ9" t="s">
        <v>191</v>
      </c>
      <c r="BA9" t="str">
        <f>VLOOKUP(AnalizaCzyste[[#This Row],[Jak się nazywa uczelnia którą ukończyłeś? (proszę o wybranie jednej uczelni podlegającej ocenie)]],KategorieUczelni[],2,0)</f>
        <v>Publiczna</v>
      </c>
      <c r="BB9">
        <v>2008</v>
      </c>
      <c r="BC9" t="s">
        <v>126</v>
      </c>
      <c r="BD9" t="s">
        <v>717</v>
      </c>
      <c r="BE9" t="s">
        <v>162</v>
      </c>
      <c r="BF9" t="s">
        <v>151</v>
      </c>
      <c r="BG9" t="s">
        <v>162</v>
      </c>
      <c r="BH9" t="s">
        <v>236</v>
      </c>
      <c r="BI9" t="s">
        <v>236</v>
      </c>
      <c r="BJ9" t="s">
        <v>718</v>
      </c>
      <c r="BK9" t="s">
        <v>131</v>
      </c>
      <c r="BL9" t="s">
        <v>302</v>
      </c>
      <c r="BM9" t="s">
        <v>719</v>
      </c>
      <c r="BN9" t="s">
        <v>720</v>
      </c>
      <c r="BO9" t="s">
        <v>721</v>
      </c>
      <c r="BP9" t="s">
        <v>172</v>
      </c>
      <c r="BR9" s="1" t="s">
        <v>123</v>
      </c>
      <c r="DL9" s="1" t="s">
        <v>123</v>
      </c>
      <c r="DV9" s="56" t="s">
        <v>214</v>
      </c>
      <c r="DW9" t="s">
        <v>2275</v>
      </c>
      <c r="DX9" t="s">
        <v>2276</v>
      </c>
      <c r="DY9" t="s">
        <v>150</v>
      </c>
      <c r="DZ9" t="s">
        <v>162</v>
      </c>
      <c r="EA9" t="s">
        <v>151</v>
      </c>
      <c r="EB9" t="s">
        <v>162</v>
      </c>
      <c r="EC9" t="s">
        <v>128</v>
      </c>
      <c r="ED9" t="s">
        <v>128</v>
      </c>
      <c r="EE9" t="s">
        <v>724</v>
      </c>
      <c r="EF9" s="1" t="s">
        <v>123</v>
      </c>
      <c r="FI9" s="56" t="s">
        <v>177</v>
      </c>
      <c r="FJ9" t="s">
        <v>180</v>
      </c>
      <c r="FK9">
        <v>1</v>
      </c>
      <c r="FL9" t="s">
        <v>722</v>
      </c>
      <c r="FM9" t="s">
        <v>162</v>
      </c>
      <c r="FN9" t="s">
        <v>150</v>
      </c>
      <c r="FO9" t="s">
        <v>236</v>
      </c>
      <c r="FP9" t="s">
        <v>178</v>
      </c>
      <c r="FQ9" t="s">
        <v>725</v>
      </c>
      <c r="FR9" t="s">
        <v>726</v>
      </c>
      <c r="FS9" t="s">
        <v>173</v>
      </c>
      <c r="GI9" s="1" t="s">
        <v>123</v>
      </c>
      <c r="GJ9" t="s">
        <v>132</v>
      </c>
      <c r="GL9" t="s">
        <v>132</v>
      </c>
      <c r="HQ9" t="s">
        <v>727</v>
      </c>
      <c r="HR9" t="s">
        <v>728</v>
      </c>
      <c r="HS9" t="s">
        <v>729</v>
      </c>
      <c r="HT9" t="s">
        <v>186</v>
      </c>
      <c r="HU9">
        <v>1983</v>
      </c>
      <c r="HV9" t="str">
        <f>VLOOKUP(AnalizaCzyste[[#This Row],[Rok urodzenia]],KategorieWiekowe[],2,1)</f>
        <v>36–45 lat</v>
      </c>
      <c r="HW9" t="s">
        <v>141</v>
      </c>
      <c r="HY9" t="s">
        <v>730</v>
      </c>
      <c r="IA9" t="s">
        <v>731</v>
      </c>
    </row>
    <row r="10" spans="1:235" ht="56.35" customHeight="1" x14ac:dyDescent="0.45">
      <c r="A10" s="61">
        <v>8</v>
      </c>
      <c r="B10" s="61">
        <f>_xlfn.IFNA(VLOOKUP(AnalizaCzyste[[#This Row],[Zakończono wypełnianie]],Zakończone[],2,0),"BRAK")</f>
        <v>40</v>
      </c>
      <c r="C10" s="61">
        <f t="shared" si="0"/>
        <v>47</v>
      </c>
      <c r="D10" s="61" t="s">
        <v>740</v>
      </c>
      <c r="E10" s="61" t="s">
        <v>741</v>
      </c>
      <c r="F10" s="61">
        <v>341</v>
      </c>
      <c r="G10" s="59" t="s">
        <v>2292</v>
      </c>
      <c r="H10" s="59" t="s">
        <v>2292</v>
      </c>
      <c r="I10" s="59" t="s">
        <v>2476</v>
      </c>
      <c r="J10" s="59" t="str">
        <f>"("&amp;"ID:"&amp;AnalizaCzyste[[#This Row],[Lp. wywiadu]]&amp;"; "&amp;AnalizaCzyste[[#This Row],[Czy kierunek techniczny?]]&amp;"; "&amp;MID(AnalizaCzyste[[#This Row],[Info metryczkowe]],2,40)</f>
        <v>(ID:8; NTech; A_AD; 3; m; E; t/n)</v>
      </c>
      <c r="K10" s="55" t="s">
        <v>2565</v>
      </c>
      <c r="L10" s="55"/>
      <c r="M10" s="55" t="s">
        <v>2564</v>
      </c>
      <c r="N10" s="55" t="s">
        <v>2563</v>
      </c>
      <c r="O10" s="55" t="s">
        <v>2503</v>
      </c>
      <c r="P10" s="55" t="s">
        <v>2562</v>
      </c>
      <c r="Q10" s="55" t="s">
        <v>2561</v>
      </c>
      <c r="R10" s="55" t="s">
        <v>2560</v>
      </c>
      <c r="S10" s="60" t="s">
        <v>2559</v>
      </c>
      <c r="T10" s="60" t="s">
        <v>2558</v>
      </c>
      <c r="U10" s="62" t="s">
        <v>2296</v>
      </c>
      <c r="V10" s="62" t="s">
        <v>2297</v>
      </c>
      <c r="W10" s="62"/>
      <c r="X10" s="62"/>
      <c r="Y10" s="62" t="s">
        <v>2770</v>
      </c>
      <c r="Z10" s="62"/>
      <c r="AA10" s="62"/>
      <c r="AB10" s="62"/>
      <c r="AC10" s="60" t="s">
        <v>2557</v>
      </c>
      <c r="AD10" s="55" t="s">
        <v>2737</v>
      </c>
      <c r="AE10" s="55" t="s">
        <v>2766</v>
      </c>
      <c r="AF10" s="55" t="str">
        <f>VLOOKUP(AnalizaCzyste[[#This Row],[Jak się nazywa uczelnia którą ukończyłeś? (proszę o wybranie jednej uczelni podlegającej ocenie)]],KategorieUczelni[],3,0)</f>
        <v>Nietechniczna</v>
      </c>
      <c r="AG10" s="55" t="str">
        <f>MID(AnalizaCzyste[[#This Row],[Info metryczkowe]],2,40)</f>
        <v>A_AD; 3; m; E; t/n)</v>
      </c>
      <c r="AH10" s="55"/>
      <c r="AI10" s="1" t="s">
        <v>123</v>
      </c>
      <c r="AY10" s="56" t="s">
        <v>124</v>
      </c>
      <c r="AZ10" t="s">
        <v>223</v>
      </c>
      <c r="BA10" t="str">
        <f>VLOOKUP(AnalizaCzyste[[#This Row],[Jak się nazywa uczelnia którą ukończyłeś? (proszę o wybranie jednej uczelni podlegającej ocenie)]],KategorieUczelni[],2,0)</f>
        <v>Publiczna</v>
      </c>
      <c r="BB10">
        <v>2007</v>
      </c>
      <c r="BC10" t="s">
        <v>148</v>
      </c>
      <c r="BD10" t="s">
        <v>743</v>
      </c>
      <c r="BE10" t="s">
        <v>236</v>
      </c>
      <c r="BF10" t="s">
        <v>129</v>
      </c>
      <c r="BG10" t="s">
        <v>128</v>
      </c>
      <c r="BH10" t="s">
        <v>162</v>
      </c>
      <c r="BI10" t="s">
        <v>150</v>
      </c>
      <c r="BJ10" t="s">
        <v>237</v>
      </c>
      <c r="BK10" t="s">
        <v>302</v>
      </c>
      <c r="BL10" t="s">
        <v>153</v>
      </c>
      <c r="BM10" t="s">
        <v>744</v>
      </c>
      <c r="BN10" t="s">
        <v>745</v>
      </c>
      <c r="BO10" t="s">
        <v>746</v>
      </c>
      <c r="BP10" t="s">
        <v>172</v>
      </c>
      <c r="BR10" s="1" t="s">
        <v>123</v>
      </c>
      <c r="DL10" s="56" t="s">
        <v>387</v>
      </c>
      <c r="DM10" t="s">
        <v>191</v>
      </c>
      <c r="DN10" t="s">
        <v>748</v>
      </c>
      <c r="DO10" t="s">
        <v>150</v>
      </c>
      <c r="DP10" t="s">
        <v>150</v>
      </c>
      <c r="DQ10" t="s">
        <v>169</v>
      </c>
      <c r="DR10" t="s">
        <v>169</v>
      </c>
      <c r="DS10" t="s">
        <v>150</v>
      </c>
      <c r="DT10" t="s">
        <v>150</v>
      </c>
      <c r="DU10" t="s">
        <v>749</v>
      </c>
      <c r="DV10" s="1" t="s">
        <v>123</v>
      </c>
      <c r="EF10" s="1" t="s">
        <v>123</v>
      </c>
      <c r="FI10" s="1" t="s">
        <v>123</v>
      </c>
      <c r="FJ10" t="s">
        <v>178</v>
      </c>
      <c r="FK10" t="s">
        <v>132</v>
      </c>
      <c r="GI10" s="1" t="s">
        <v>123</v>
      </c>
      <c r="GJ10" t="s">
        <v>132</v>
      </c>
      <c r="GL10" t="s">
        <v>132</v>
      </c>
      <c r="HQ10" t="s">
        <v>750</v>
      </c>
      <c r="HR10" t="s">
        <v>751</v>
      </c>
      <c r="HS10" t="s">
        <v>752</v>
      </c>
      <c r="HT10" t="s">
        <v>186</v>
      </c>
      <c r="HU10">
        <v>1983</v>
      </c>
      <c r="HV10" t="str">
        <f>VLOOKUP(AnalizaCzyste[[#This Row],[Rok urodzenia]],KategorieWiekowe[],2,1)</f>
        <v>36–45 lat</v>
      </c>
      <c r="HW10" t="s">
        <v>398</v>
      </c>
      <c r="HY10" t="s">
        <v>753</v>
      </c>
      <c r="HZ10" t="s">
        <v>532</v>
      </c>
    </row>
    <row r="11" spans="1:235" ht="56.35" customHeight="1" x14ac:dyDescent="0.45">
      <c r="A11" s="61">
        <v>9</v>
      </c>
      <c r="B11" s="61">
        <f>_xlfn.IFNA(VLOOKUP(AnalizaCzyste[[#This Row],[Zakończono wypełnianie]],Zakończone[],2,0),"BRAK")</f>
        <v>41</v>
      </c>
      <c r="C11" s="61">
        <f t="shared" si="0"/>
        <v>52</v>
      </c>
      <c r="D11" s="61" t="s">
        <v>756</v>
      </c>
      <c r="E11" s="61" t="s">
        <v>757</v>
      </c>
      <c r="F11" s="61">
        <v>487</v>
      </c>
      <c r="G11" s="59" t="s">
        <v>2292</v>
      </c>
      <c r="H11" s="59" t="s">
        <v>2292</v>
      </c>
      <c r="I11" s="59" t="s">
        <v>2469</v>
      </c>
      <c r="J11" s="59" t="str">
        <f>"("&amp;"ID:"&amp;AnalizaCzyste[[#This Row],[Lp. wywiadu]]&amp;"; "&amp;AnalizaCzyste[[#This Row],[Czy kierunek techniczny?]]&amp;"; "&amp;MID(AnalizaCzyste[[#This Row],[Info metryczkowe]],2,40)</f>
        <v>(ID:9; NTech; S_A; 2; m; F; t/t)</v>
      </c>
      <c r="K11" s="55" t="s">
        <v>2572</v>
      </c>
      <c r="L11" s="55"/>
      <c r="M11" s="55"/>
      <c r="N11" s="55" t="s">
        <v>2571</v>
      </c>
      <c r="O11" s="55" t="s">
        <v>2503</v>
      </c>
      <c r="P11" s="55" t="s">
        <v>2570</v>
      </c>
      <c r="Q11" s="55" t="s">
        <v>2569</v>
      </c>
      <c r="R11" s="55" t="s">
        <v>2573</v>
      </c>
      <c r="S11" s="60" t="s">
        <v>2568</v>
      </c>
      <c r="T11" s="64" t="s">
        <v>2567</v>
      </c>
      <c r="U11" s="62"/>
      <c r="V11" s="63" t="s">
        <v>2297</v>
      </c>
      <c r="W11" s="62"/>
      <c r="X11" s="62"/>
      <c r="Y11" s="62"/>
      <c r="Z11" s="62"/>
      <c r="AA11" s="62"/>
      <c r="AB11" s="62"/>
      <c r="AC11" s="60" t="s">
        <v>2566</v>
      </c>
      <c r="AD11" s="55" t="s">
        <v>2738</v>
      </c>
      <c r="AE11" s="55" t="s">
        <v>2766</v>
      </c>
      <c r="AF11" s="55" t="str">
        <f>VLOOKUP(AnalizaCzyste[[#This Row],[Jak się nazywa uczelnia którą ukończyłeś? (proszę o wybranie jednej uczelni podlegającej ocenie)]],KategorieUczelni[],3,0)</f>
        <v>Nietechniczna</v>
      </c>
      <c r="AG11" s="55" t="str">
        <f>MID(AnalizaCzyste[[#This Row],[Info metryczkowe]],2,40)</f>
        <v>S_A; 2; m; F; t/t)</v>
      </c>
      <c r="AH11" s="55"/>
      <c r="AI11" s="56" t="s">
        <v>416</v>
      </c>
      <c r="AJ11" t="s">
        <v>147</v>
      </c>
      <c r="AK11" t="s">
        <v>148</v>
      </c>
      <c r="AL11" t="s">
        <v>758</v>
      </c>
      <c r="AM11" t="s">
        <v>236</v>
      </c>
      <c r="AN11" t="s">
        <v>129</v>
      </c>
      <c r="AO11" t="s">
        <v>236</v>
      </c>
      <c r="AP11" t="s">
        <v>718</v>
      </c>
      <c r="AQ11" t="s">
        <v>759</v>
      </c>
      <c r="AR11" t="s">
        <v>194</v>
      </c>
      <c r="AS11" t="s">
        <v>760</v>
      </c>
      <c r="AT11" t="s">
        <v>761</v>
      </c>
      <c r="AU11" t="s">
        <v>762</v>
      </c>
      <c r="AV11" t="s">
        <v>157</v>
      </c>
      <c r="AX11">
        <v>2</v>
      </c>
      <c r="AY11" s="56" t="s">
        <v>124</v>
      </c>
      <c r="AZ11" t="s">
        <v>223</v>
      </c>
      <c r="BA11" t="str">
        <f>VLOOKUP(AnalizaCzyste[[#This Row],[Jak się nazywa uczelnia którą ukończyłeś? (proszę o wybranie jednej uczelni podlegającej ocenie)]],KategorieUczelni[],2,0)</f>
        <v>Publiczna</v>
      </c>
      <c r="BB11">
        <v>2012</v>
      </c>
      <c r="BC11" t="s">
        <v>148</v>
      </c>
      <c r="BD11" t="s">
        <v>764</v>
      </c>
      <c r="BE11" t="s">
        <v>236</v>
      </c>
      <c r="BF11" t="s">
        <v>236</v>
      </c>
      <c r="BG11" t="s">
        <v>236</v>
      </c>
      <c r="BH11" t="s">
        <v>129</v>
      </c>
      <c r="BI11" t="s">
        <v>236</v>
      </c>
      <c r="BJ11" t="s">
        <v>237</v>
      </c>
      <c r="BK11" t="s">
        <v>302</v>
      </c>
      <c r="BL11" t="s">
        <v>153</v>
      </c>
      <c r="BM11" t="s">
        <v>765</v>
      </c>
      <c r="BN11" t="s">
        <v>766</v>
      </c>
      <c r="BO11" t="s">
        <v>767</v>
      </c>
      <c r="BP11" t="s">
        <v>230</v>
      </c>
      <c r="BR11" s="1" t="s">
        <v>123</v>
      </c>
      <c r="DL11" s="1" t="s">
        <v>123</v>
      </c>
      <c r="DV11" s="1" t="s">
        <v>123</v>
      </c>
      <c r="EF11" s="1" t="s">
        <v>123</v>
      </c>
      <c r="FI11" s="1" t="s">
        <v>123</v>
      </c>
      <c r="FJ11" t="s">
        <v>180</v>
      </c>
      <c r="FK11" t="s">
        <v>132</v>
      </c>
      <c r="GI11" s="1" t="s">
        <v>123</v>
      </c>
      <c r="GJ11" t="s">
        <v>132</v>
      </c>
      <c r="GL11" t="s">
        <v>132</v>
      </c>
      <c r="HQ11" t="s">
        <v>768</v>
      </c>
      <c r="HR11" t="s">
        <v>769</v>
      </c>
      <c r="HS11" t="s">
        <v>770</v>
      </c>
      <c r="HT11" t="s">
        <v>186</v>
      </c>
      <c r="HU11">
        <v>1990</v>
      </c>
      <c r="HV11" t="str">
        <f>VLOOKUP(AnalizaCzyste[[#This Row],[Rok urodzenia]],KategorieWiekowe[],2,1)</f>
        <v>26–35 lat</v>
      </c>
      <c r="HW11" t="s">
        <v>141</v>
      </c>
      <c r="HY11" t="s">
        <v>771</v>
      </c>
      <c r="HZ11" t="s">
        <v>772</v>
      </c>
    </row>
    <row r="12" spans="1:235" ht="56.35" customHeight="1" x14ac:dyDescent="0.45">
      <c r="A12" s="61">
        <v>10</v>
      </c>
      <c r="B12" s="61">
        <f>_xlfn.IFNA(VLOOKUP(AnalizaCzyste[[#This Row],[Zakończono wypełnianie]],Zakończone[],2,0),"BRAK")</f>
        <v>47</v>
      </c>
      <c r="C12" s="61">
        <f t="shared" si="0"/>
        <v>30</v>
      </c>
      <c r="D12" s="61" t="s">
        <v>829</v>
      </c>
      <c r="E12" s="61" t="s">
        <v>830</v>
      </c>
      <c r="F12" s="61">
        <v>3349</v>
      </c>
      <c r="G12" s="59" t="s">
        <v>2292</v>
      </c>
      <c r="H12" s="59" t="s">
        <v>2292</v>
      </c>
      <c r="I12" s="59" t="s">
        <v>2467</v>
      </c>
      <c r="J12" s="59" t="str">
        <f>"("&amp;"ID:"&amp;AnalizaCzyste[[#This Row],[Lp. wywiadu]]&amp;"; "&amp;AnalizaCzyste[[#This Row],[Czy kierunek techniczny?]]&amp;"; "&amp;MID(AnalizaCzyste[[#This Row],[Info metryczkowe]],2,40)</f>
        <v>(ID:10; NTech; A_P; 3; k; E; t/n)</v>
      </c>
      <c r="K12" s="55" t="s">
        <v>2580</v>
      </c>
      <c r="L12" s="55"/>
      <c r="M12" s="55"/>
      <c r="N12" s="55" t="s">
        <v>2579</v>
      </c>
      <c r="O12" s="55" t="s">
        <v>2503</v>
      </c>
      <c r="P12" s="55" t="s">
        <v>2578</v>
      </c>
      <c r="Q12" s="55" t="s">
        <v>2577</v>
      </c>
      <c r="R12" s="55" t="s">
        <v>2538</v>
      </c>
      <c r="S12" s="60" t="s">
        <v>2576</v>
      </c>
      <c r="T12" s="60" t="s">
        <v>2575</v>
      </c>
      <c r="U12" s="62" t="s">
        <v>2296</v>
      </c>
      <c r="V12" s="62"/>
      <c r="W12" s="62" t="s">
        <v>2769</v>
      </c>
      <c r="X12" s="62"/>
      <c r="Y12" s="62"/>
      <c r="Z12" s="62"/>
      <c r="AA12" s="62"/>
      <c r="AB12" s="62"/>
      <c r="AC12" s="60" t="s">
        <v>2574</v>
      </c>
      <c r="AD12" s="55" t="s">
        <v>2739</v>
      </c>
      <c r="AE12" s="55" t="s">
        <v>2766</v>
      </c>
      <c r="AF12" s="55" t="str">
        <f>VLOOKUP(AnalizaCzyste[[#This Row],[Jak się nazywa uczelnia którą ukończyłeś? (proszę o wybranie jednej uczelni podlegającej ocenie)]],KategorieUczelni[],3,0)</f>
        <v>Nietechniczna</v>
      </c>
      <c r="AG12" s="55" t="str">
        <f>MID(AnalizaCzyste[[#This Row],[Info metryczkowe]],2,40)</f>
        <v>A_P; 3; k; E; t/n)</v>
      </c>
      <c r="AH12" s="55"/>
      <c r="AI12" s="1" t="s">
        <v>123</v>
      </c>
      <c r="AY12" s="57" t="s">
        <v>2487</v>
      </c>
      <c r="AZ12" s="42" t="s">
        <v>223</v>
      </c>
      <c r="BA12" t="str">
        <f>VLOOKUP(AnalizaCzyste[[#This Row],[Jak się nazywa uczelnia którą ukończyłeś? (proszę o wybranie jednej uczelni podlegającej ocenie)]],KategorieUczelni[],2,0)</f>
        <v>Publiczna</v>
      </c>
      <c r="BR12" s="1" t="s">
        <v>123</v>
      </c>
      <c r="DL12" s="1" t="s">
        <v>123</v>
      </c>
      <c r="DV12" s="1" t="s">
        <v>123</v>
      </c>
      <c r="EF12" s="1" t="s">
        <v>123</v>
      </c>
      <c r="FI12" s="56" t="s">
        <v>177</v>
      </c>
      <c r="FJ12" t="s">
        <v>178</v>
      </c>
      <c r="FK12">
        <v>1</v>
      </c>
      <c r="FL12" t="s">
        <v>191</v>
      </c>
      <c r="FM12" t="s">
        <v>162</v>
      </c>
      <c r="FN12" t="s">
        <v>162</v>
      </c>
      <c r="FO12" t="s">
        <v>128</v>
      </c>
      <c r="FP12" t="s">
        <v>178</v>
      </c>
      <c r="FQ12" t="s">
        <v>831</v>
      </c>
      <c r="FR12" t="s">
        <v>832</v>
      </c>
      <c r="FS12" t="s">
        <v>173</v>
      </c>
      <c r="GI12" s="1" t="s">
        <v>123</v>
      </c>
      <c r="GJ12" t="s">
        <v>132</v>
      </c>
      <c r="GL12" t="s">
        <v>132</v>
      </c>
      <c r="HQ12" t="s">
        <v>833</v>
      </c>
      <c r="HR12" t="s">
        <v>834</v>
      </c>
      <c r="HS12" t="s">
        <v>835</v>
      </c>
      <c r="HT12" t="s">
        <v>140</v>
      </c>
      <c r="HU12">
        <v>1977</v>
      </c>
      <c r="HV12" t="str">
        <f>VLOOKUP(AnalizaCzyste[[#This Row],[Rok urodzenia]],KategorieWiekowe[],2,1)</f>
        <v>36–45 lat</v>
      </c>
      <c r="HW12" t="s">
        <v>398</v>
      </c>
      <c r="HY12" t="s">
        <v>836</v>
      </c>
    </row>
    <row r="13" spans="1:235" ht="56.35" customHeight="1" x14ac:dyDescent="0.45">
      <c r="A13" s="61">
        <v>11</v>
      </c>
      <c r="B13" s="61">
        <f>_xlfn.IFNA(VLOOKUP(AnalizaCzyste[[#This Row],[Zakończono wypełnianie]],Zakończone[],2,0),"BRAK")</f>
        <v>48</v>
      </c>
      <c r="C13" s="61">
        <f t="shared" si="0"/>
        <v>76</v>
      </c>
      <c r="D13" s="61" t="s">
        <v>838</v>
      </c>
      <c r="E13" s="61" t="s">
        <v>839</v>
      </c>
      <c r="F13" s="61">
        <v>3312</v>
      </c>
      <c r="G13" s="59" t="s">
        <v>2292</v>
      </c>
      <c r="H13" s="59" t="s">
        <v>2292</v>
      </c>
      <c r="I13" s="59" t="s">
        <v>2481</v>
      </c>
      <c r="J13" s="59" t="str">
        <f>"("&amp;"ID:"&amp;AnalizaCzyste[[#This Row],[Lp. wywiadu]]&amp;"; "&amp;AnalizaCzyste[[#This Row],[Czy kierunek techniczny?]]&amp;"; "&amp;MID(AnalizaCzyste[[#This Row],[Info metryczkowe]],2,40)</f>
        <v>(ID:11; Tech; A_R_W; 6; m; F; n/n)</v>
      </c>
      <c r="K13" s="55" t="s">
        <v>2588</v>
      </c>
      <c r="L13" s="55"/>
      <c r="M13" s="55" t="s">
        <v>2587</v>
      </c>
      <c r="N13" s="55" t="s">
        <v>2586</v>
      </c>
      <c r="O13" s="55" t="s">
        <v>2503</v>
      </c>
      <c r="P13" s="55" t="s">
        <v>2585</v>
      </c>
      <c r="Q13" s="55" t="s">
        <v>2584</v>
      </c>
      <c r="R13" s="55" t="s">
        <v>2538</v>
      </c>
      <c r="S13" s="60" t="s">
        <v>2583</v>
      </c>
      <c r="T13" s="60" t="s">
        <v>2582</v>
      </c>
      <c r="U13" s="62" t="s">
        <v>2296</v>
      </c>
      <c r="V13" s="62"/>
      <c r="W13" s="62"/>
      <c r="X13" s="62"/>
      <c r="Y13" s="62"/>
      <c r="Z13" s="62"/>
      <c r="AA13" s="62"/>
      <c r="AB13" s="62"/>
      <c r="AC13" s="60" t="s">
        <v>2581</v>
      </c>
      <c r="AD13" s="55" t="s">
        <v>2786</v>
      </c>
      <c r="AE13" s="55" t="s">
        <v>2763</v>
      </c>
      <c r="AF13" s="55" t="str">
        <f>VLOOKUP(AnalizaCzyste[[#This Row],[Jak się nazywa uczelnia którą ukończyłeś? (proszę o wybranie jednej uczelni podlegającej ocenie)]],KategorieUczelni[],3,0)</f>
        <v>Techniczna</v>
      </c>
      <c r="AG13" s="55" t="str">
        <f>MID(AnalizaCzyste[[#This Row],[Info metryczkowe]],2,40)</f>
        <v>A_R_W; 6; m; F; n/n)</v>
      </c>
      <c r="AH13" s="55"/>
      <c r="AI13" s="1" t="s">
        <v>123</v>
      </c>
      <c r="AY13" s="56" t="s">
        <v>124</v>
      </c>
      <c r="AZ13" s="20" t="s">
        <v>191</v>
      </c>
      <c r="BA13" s="20" t="str">
        <f>VLOOKUP(AnalizaCzyste[[#This Row],[Jak się nazywa uczelnia którą ukończyłeś? (proszę o wybranie jednej uczelni podlegającej ocenie)]],KategorieUczelni[],2,0)</f>
        <v>Publiczna</v>
      </c>
      <c r="BB13">
        <v>1978</v>
      </c>
      <c r="BC13" t="s">
        <v>126</v>
      </c>
      <c r="BD13" t="s">
        <v>841</v>
      </c>
      <c r="BE13" t="s">
        <v>169</v>
      </c>
      <c r="BF13" t="s">
        <v>169</v>
      </c>
      <c r="BG13" t="s">
        <v>151</v>
      </c>
      <c r="BH13" t="s">
        <v>150</v>
      </c>
      <c r="BI13" t="s">
        <v>150</v>
      </c>
      <c r="BJ13">
        <v>2</v>
      </c>
      <c r="BK13" t="s">
        <v>302</v>
      </c>
      <c r="BL13" t="s">
        <v>226</v>
      </c>
      <c r="BM13" t="s">
        <v>842</v>
      </c>
      <c r="BN13" t="s">
        <v>843</v>
      </c>
      <c r="BO13" t="s">
        <v>386</v>
      </c>
      <c r="BP13" t="s">
        <v>157</v>
      </c>
      <c r="BR13" s="56" t="s">
        <v>159</v>
      </c>
      <c r="BS13">
        <v>2</v>
      </c>
      <c r="BT13" t="s">
        <v>191</v>
      </c>
      <c r="BU13">
        <v>2005</v>
      </c>
      <c r="BV13" t="s">
        <v>126</v>
      </c>
      <c r="BW13" t="s">
        <v>844</v>
      </c>
      <c r="BX13" t="s">
        <v>150</v>
      </c>
      <c r="BY13" t="s">
        <v>150</v>
      </c>
      <c r="BZ13" t="s">
        <v>169</v>
      </c>
      <c r="CA13" t="s">
        <v>162</v>
      </c>
      <c r="CB13" t="s">
        <v>162</v>
      </c>
      <c r="CC13">
        <v>3</v>
      </c>
      <c r="CD13" t="s">
        <v>845</v>
      </c>
      <c r="CE13" t="s">
        <v>157</v>
      </c>
      <c r="CG13" t="s">
        <v>148</v>
      </c>
      <c r="CH13" t="s">
        <v>166</v>
      </c>
      <c r="CI13" t="s">
        <v>191</v>
      </c>
      <c r="CJ13">
        <v>2007</v>
      </c>
      <c r="CK13" t="s">
        <v>126</v>
      </c>
      <c r="CL13" t="s">
        <v>844</v>
      </c>
      <c r="CM13" t="s">
        <v>150</v>
      </c>
      <c r="CN13" t="s">
        <v>150</v>
      </c>
      <c r="CO13" t="s">
        <v>150</v>
      </c>
      <c r="CP13" t="s">
        <v>162</v>
      </c>
      <c r="CQ13" t="s">
        <v>162</v>
      </c>
      <c r="CR13">
        <v>3</v>
      </c>
      <c r="CS13" t="s">
        <v>148</v>
      </c>
      <c r="CT13" t="s">
        <v>157</v>
      </c>
      <c r="CV13" t="s">
        <v>148</v>
      </c>
      <c r="CW13" t="s">
        <v>173</v>
      </c>
      <c r="DL13" s="1" t="s">
        <v>123</v>
      </c>
      <c r="DV13" s="56" t="s">
        <v>214</v>
      </c>
      <c r="DW13" t="s">
        <v>2275</v>
      </c>
      <c r="DX13" t="s">
        <v>2276</v>
      </c>
      <c r="DY13" t="s">
        <v>150</v>
      </c>
      <c r="DZ13" t="s">
        <v>150</v>
      </c>
      <c r="EA13" t="s">
        <v>150</v>
      </c>
      <c r="EB13" t="s">
        <v>150</v>
      </c>
      <c r="EC13" t="s">
        <v>150</v>
      </c>
      <c r="ED13" t="s">
        <v>162</v>
      </c>
      <c r="EE13" t="s">
        <v>848</v>
      </c>
      <c r="EF13" s="1" t="s">
        <v>123</v>
      </c>
      <c r="FI13" s="1" t="s">
        <v>123</v>
      </c>
      <c r="FJ13" t="s">
        <v>180</v>
      </c>
      <c r="FK13" t="s">
        <v>132</v>
      </c>
      <c r="GI13" s="1" t="s">
        <v>123</v>
      </c>
      <c r="GJ13" t="s">
        <v>132</v>
      </c>
      <c r="GL13" t="s">
        <v>132</v>
      </c>
      <c r="HQ13" t="s">
        <v>849</v>
      </c>
      <c r="HR13" t="s">
        <v>850</v>
      </c>
      <c r="HS13" t="s">
        <v>851</v>
      </c>
      <c r="HT13" t="s">
        <v>186</v>
      </c>
      <c r="HU13">
        <v>1954</v>
      </c>
      <c r="HV13" t="str">
        <f>VLOOKUP(AnalizaCzyste[[#This Row],[Rok urodzenia]],KategorieWiekowe[],2,1)</f>
        <v>powyżej 65 lat</v>
      </c>
      <c r="HW13" t="s">
        <v>141</v>
      </c>
      <c r="HY13" t="s">
        <v>852</v>
      </c>
      <c r="HZ13" t="s">
        <v>853</v>
      </c>
    </row>
    <row r="14" spans="1:235" ht="56.35" customHeight="1" x14ac:dyDescent="0.45">
      <c r="A14" s="61">
        <v>12</v>
      </c>
      <c r="B14" s="61">
        <f>_xlfn.IFNA(VLOOKUP(AnalizaCzyste[[#This Row],[Zakończono wypełnianie]],Zakończone[],2,0),"BRAK")</f>
        <v>49</v>
      </c>
      <c r="C14" s="61">
        <f t="shared" si="0"/>
        <v>50</v>
      </c>
      <c r="D14" s="61" t="s">
        <v>855</v>
      </c>
      <c r="E14" s="61" t="s">
        <v>856</v>
      </c>
      <c r="F14" s="61">
        <v>1349</v>
      </c>
      <c r="G14" s="59" t="s">
        <v>2292</v>
      </c>
      <c r="H14" s="59" t="s">
        <v>2292</v>
      </c>
      <c r="I14" s="59" t="s">
        <v>2455</v>
      </c>
      <c r="J14" s="59" t="str">
        <f>"("&amp;"ID:"&amp;AnalizaCzyste[[#This Row],[Lp. wywiadu]]&amp;"; "&amp;AnalizaCzyste[[#This Row],[Czy kierunek techniczny?]]&amp;"; "&amp;MID(AnalizaCzyste[[#This Row],[Info metryczkowe]],2,40)</f>
        <v>(ID:12; NTech; S_A; 2; m; C; t/n)</v>
      </c>
      <c r="K14" s="55" t="s">
        <v>2595</v>
      </c>
      <c r="L14" s="55"/>
      <c r="M14" s="55"/>
      <c r="N14" s="55" t="s">
        <v>2594</v>
      </c>
      <c r="O14" s="55" t="s">
        <v>2503</v>
      </c>
      <c r="P14" s="55" t="s">
        <v>2593</v>
      </c>
      <c r="Q14" s="55" t="s">
        <v>2592</v>
      </c>
      <c r="R14" s="55" t="s">
        <v>2538</v>
      </c>
      <c r="S14" s="60" t="s">
        <v>2591</v>
      </c>
      <c r="T14" s="60" t="s">
        <v>2590</v>
      </c>
      <c r="U14" s="62" t="s">
        <v>2296</v>
      </c>
      <c r="V14" s="63" t="s">
        <v>2297</v>
      </c>
      <c r="W14" s="62" t="s">
        <v>2769</v>
      </c>
      <c r="X14" s="62"/>
      <c r="Y14" s="62"/>
      <c r="Z14" s="62"/>
      <c r="AA14" s="62"/>
      <c r="AB14" s="62"/>
      <c r="AC14" s="60" t="s">
        <v>2589</v>
      </c>
      <c r="AD14" s="55" t="s">
        <v>2740</v>
      </c>
      <c r="AE14" s="55" t="s">
        <v>2766</v>
      </c>
      <c r="AF14" s="55" t="str">
        <f>VLOOKUP(AnalizaCzyste[[#This Row],[Jak się nazywa uczelnia którą ukończyłeś? (proszę o wybranie jednej uczelni podlegającej ocenie)]],KategorieUczelni[],3,0)</f>
        <v>Nietechniczna</v>
      </c>
      <c r="AG14" s="55" t="str">
        <f>MID(AnalizaCzyste[[#This Row],[Info metryczkowe]],2,40)</f>
        <v>S_A; 2; m; C; t/n)</v>
      </c>
      <c r="AH14" s="55"/>
      <c r="AI14" s="56" t="s">
        <v>416</v>
      </c>
      <c r="AJ14" t="s">
        <v>179</v>
      </c>
      <c r="AK14" t="s">
        <v>148</v>
      </c>
      <c r="AL14" t="s">
        <v>857</v>
      </c>
      <c r="AM14" t="s">
        <v>162</v>
      </c>
      <c r="AN14" t="s">
        <v>162</v>
      </c>
      <c r="AO14" t="s">
        <v>151</v>
      </c>
      <c r="AP14" t="s">
        <v>718</v>
      </c>
      <c r="AQ14" t="s">
        <v>152</v>
      </c>
      <c r="AR14" t="s">
        <v>759</v>
      </c>
      <c r="AS14" t="s">
        <v>858</v>
      </c>
      <c r="AT14" t="s">
        <v>859</v>
      </c>
      <c r="AU14" t="s">
        <v>860</v>
      </c>
      <c r="AW14" t="s">
        <v>861</v>
      </c>
      <c r="AX14">
        <v>2</v>
      </c>
      <c r="AY14" s="56" t="s">
        <v>124</v>
      </c>
      <c r="AZ14" t="s">
        <v>862</v>
      </c>
      <c r="BA14" t="str">
        <f>VLOOKUP(AnalizaCzyste[[#This Row],[Jak się nazywa uczelnia którą ukończyłeś? (proszę o wybranie jednej uczelni podlegającej ocenie)]],KategorieUczelni[],2,0)</f>
        <v>Publiczna</v>
      </c>
      <c r="BB14">
        <v>2019</v>
      </c>
      <c r="BC14" t="s">
        <v>148</v>
      </c>
      <c r="BD14" t="s">
        <v>863</v>
      </c>
      <c r="BE14" t="s">
        <v>150</v>
      </c>
      <c r="BF14" t="s">
        <v>150</v>
      </c>
      <c r="BG14" t="s">
        <v>169</v>
      </c>
      <c r="BH14" t="s">
        <v>151</v>
      </c>
      <c r="BI14" t="s">
        <v>150</v>
      </c>
      <c r="BJ14" t="s">
        <v>864</v>
      </c>
      <c r="BK14" t="s">
        <v>302</v>
      </c>
      <c r="BL14" t="s">
        <v>759</v>
      </c>
      <c r="BM14" t="s">
        <v>865</v>
      </c>
      <c r="BN14" t="s">
        <v>866</v>
      </c>
      <c r="BO14" t="s">
        <v>867</v>
      </c>
      <c r="BP14" t="s">
        <v>157</v>
      </c>
      <c r="BR14" s="1" t="s">
        <v>123</v>
      </c>
      <c r="DL14" s="1" t="s">
        <v>123</v>
      </c>
      <c r="DV14" s="1" t="s">
        <v>123</v>
      </c>
      <c r="EF14" s="1" t="s">
        <v>123</v>
      </c>
      <c r="FI14" s="1" t="s">
        <v>123</v>
      </c>
      <c r="GI14" s="1" t="s">
        <v>123</v>
      </c>
      <c r="GJ14" t="s">
        <v>132</v>
      </c>
      <c r="HQ14" t="s">
        <v>868</v>
      </c>
      <c r="HR14" t="s">
        <v>869</v>
      </c>
      <c r="HS14" t="s">
        <v>870</v>
      </c>
      <c r="HT14" t="s">
        <v>186</v>
      </c>
      <c r="HU14">
        <v>1991</v>
      </c>
      <c r="HV14" t="str">
        <f>VLOOKUP(AnalizaCzyste[[#This Row],[Rok urodzenia]],KategorieWiekowe[],2,1)</f>
        <v>26–35 lat</v>
      </c>
      <c r="HW14" t="s">
        <v>220</v>
      </c>
      <c r="HX14" t="s">
        <v>871</v>
      </c>
      <c r="HY14" t="s">
        <v>872</v>
      </c>
      <c r="HZ14" t="s">
        <v>386</v>
      </c>
    </row>
    <row r="15" spans="1:235" ht="56.35" customHeight="1" x14ac:dyDescent="0.45">
      <c r="A15" s="61">
        <v>13</v>
      </c>
      <c r="B15" s="61">
        <f>_xlfn.IFNA(VLOOKUP(AnalizaCzyste[[#This Row],[Zakończono wypełnianie]],Zakończone[],2,0),"BRAK")</f>
        <v>54</v>
      </c>
      <c r="C15" s="61">
        <f t="shared" si="0"/>
        <v>36</v>
      </c>
      <c r="D15" s="61" t="s">
        <v>903</v>
      </c>
      <c r="E15" s="61" t="s">
        <v>904</v>
      </c>
      <c r="F15" s="61">
        <v>255</v>
      </c>
      <c r="G15" s="59" t="s">
        <v>2292</v>
      </c>
      <c r="H15" s="59" t="s">
        <v>2292</v>
      </c>
      <c r="I15" s="59" t="s">
        <v>2475</v>
      </c>
      <c r="J15" s="59" t="str">
        <f>"("&amp;"ID:"&amp;AnalizaCzyste[[#This Row],[Lp. wywiadu]]&amp;"; "&amp;AnalizaCzyste[[#This Row],[Czy kierunek techniczny?]]&amp;"; "&amp;MID(AnalizaCzyste[[#This Row],[Info metryczkowe]],2,40)</f>
        <v>(ID:13; Tech; A_P; 3; m; F; n/n)</v>
      </c>
      <c r="K15" s="55" t="s">
        <v>2603</v>
      </c>
      <c r="L15" s="55"/>
      <c r="M15" s="55"/>
      <c r="N15" s="55" t="s">
        <v>2602</v>
      </c>
      <c r="O15" s="55" t="s">
        <v>2503</v>
      </c>
      <c r="P15" s="55" t="s">
        <v>2600</v>
      </c>
      <c r="Q15" s="55" t="s">
        <v>2599</v>
      </c>
      <c r="R15" s="55" t="s">
        <v>2601</v>
      </c>
      <c r="S15" s="60" t="s">
        <v>2598</v>
      </c>
      <c r="T15" s="60" t="s">
        <v>2597</v>
      </c>
      <c r="U15" s="62" t="s">
        <v>2296</v>
      </c>
      <c r="V15" s="62"/>
      <c r="W15" s="62"/>
      <c r="X15" s="62"/>
      <c r="Y15" s="62"/>
      <c r="Z15" s="62"/>
      <c r="AA15" s="62"/>
      <c r="AB15" s="62"/>
      <c r="AC15" s="60" t="s">
        <v>2596</v>
      </c>
      <c r="AD15" s="55" t="s">
        <v>2787</v>
      </c>
      <c r="AE15" s="55" t="s">
        <v>2763</v>
      </c>
      <c r="AF15" s="55" t="str">
        <f>VLOOKUP(AnalizaCzyste[[#This Row],[Jak się nazywa uczelnia którą ukończyłeś? (proszę o wybranie jednej uczelni podlegającej ocenie)]],KategorieUczelni[],3,0)</f>
        <v>Techniczna</v>
      </c>
      <c r="AG15" s="55" t="str">
        <f>MID(AnalizaCzyste[[#This Row],[Info metryczkowe]],2,40)</f>
        <v>A_P; 3; m; F; n/n)</v>
      </c>
      <c r="AH15" s="55"/>
      <c r="AI15" s="1" t="s">
        <v>123</v>
      </c>
      <c r="AY15" s="56" t="s">
        <v>124</v>
      </c>
      <c r="AZ15" t="s">
        <v>191</v>
      </c>
      <c r="BA15" t="str">
        <f>VLOOKUP(AnalizaCzyste[[#This Row],[Jak się nazywa uczelnia którą ukończyłeś? (proszę o wybranie jednej uczelni podlegającej ocenie)]],KategorieUczelni[],2,0)</f>
        <v>Publiczna</v>
      </c>
      <c r="BB15">
        <v>2009</v>
      </c>
      <c r="BC15" t="s">
        <v>126</v>
      </c>
      <c r="BD15" t="s">
        <v>906</v>
      </c>
      <c r="BE15" t="s">
        <v>151</v>
      </c>
      <c r="BF15" t="s">
        <v>151</v>
      </c>
      <c r="BG15" t="s">
        <v>150</v>
      </c>
      <c r="BH15" t="s">
        <v>128</v>
      </c>
      <c r="BI15" t="s">
        <v>162</v>
      </c>
      <c r="BJ15" t="s">
        <v>907</v>
      </c>
      <c r="BK15" t="s">
        <v>131</v>
      </c>
      <c r="BL15" t="s">
        <v>759</v>
      </c>
      <c r="BM15" t="s">
        <v>908</v>
      </c>
      <c r="BN15" t="s">
        <v>908</v>
      </c>
      <c r="BO15" t="s">
        <v>909</v>
      </c>
      <c r="BP15" t="s">
        <v>172</v>
      </c>
      <c r="BR15" s="1" t="s">
        <v>123</v>
      </c>
      <c r="DL15" s="1" t="s">
        <v>123</v>
      </c>
      <c r="DV15" s="1" t="s">
        <v>123</v>
      </c>
      <c r="EF15" s="1" t="s">
        <v>123</v>
      </c>
      <c r="FI15" s="1" t="s">
        <v>123</v>
      </c>
      <c r="FJ15" t="s">
        <v>180</v>
      </c>
      <c r="FK15" t="s">
        <v>132</v>
      </c>
      <c r="GI15" s="1" t="s">
        <v>123</v>
      </c>
      <c r="GJ15" t="s">
        <v>132</v>
      </c>
      <c r="GL15" t="s">
        <v>132</v>
      </c>
      <c r="HQ15" t="s">
        <v>910</v>
      </c>
      <c r="HR15" t="s">
        <v>911</v>
      </c>
      <c r="HS15" t="s">
        <v>912</v>
      </c>
      <c r="HT15" t="s">
        <v>186</v>
      </c>
      <c r="HU15">
        <v>1983</v>
      </c>
      <c r="HV15" t="str">
        <f>VLOOKUP(AnalizaCzyste[[#This Row],[Rok urodzenia]],KategorieWiekowe[],2,1)</f>
        <v>36–45 lat</v>
      </c>
      <c r="HW15" t="s">
        <v>141</v>
      </c>
    </row>
    <row r="16" spans="1:235" ht="56.35" customHeight="1" x14ac:dyDescent="0.45">
      <c r="A16" s="61">
        <v>14</v>
      </c>
      <c r="B16" s="61">
        <f>_xlfn.IFNA(VLOOKUP(AnalizaCzyste[[#This Row],[Zakończono wypełnianie]],Zakończone[],2,0),"BRAK")</f>
        <v>55</v>
      </c>
      <c r="C16" s="61">
        <f t="shared" si="0"/>
        <v>78</v>
      </c>
      <c r="D16" s="61" t="s">
        <v>916</v>
      </c>
      <c r="E16" s="61" t="s">
        <v>917</v>
      </c>
      <c r="F16" s="61">
        <v>76609</v>
      </c>
      <c r="G16" s="59" t="s">
        <v>2292</v>
      </c>
      <c r="H16" s="59" t="s">
        <v>2292</v>
      </c>
      <c r="I16" s="59" t="s">
        <v>2453</v>
      </c>
      <c r="J16" s="59" t="str">
        <f>"("&amp;"ID:"&amp;AnalizaCzyste[[#This Row],[Lp. wywiadu]]&amp;"; "&amp;AnalizaCzyste[[#This Row],[Czy kierunek techniczny?]]&amp;"; "&amp;MID(AnalizaCzyste[[#This Row],[Info metryczkowe]],2,40)</f>
        <v>(ID:14; NTech; A_R_AD_W_P; 5; k; F; t/n)</v>
      </c>
      <c r="K16" s="55" t="s">
        <v>2610</v>
      </c>
      <c r="L16" s="55"/>
      <c r="M16" s="55"/>
      <c r="N16" s="55" t="s">
        <v>2609</v>
      </c>
      <c r="O16" s="55" t="s">
        <v>2503</v>
      </c>
      <c r="P16" s="55" t="s">
        <v>2608</v>
      </c>
      <c r="Q16" s="55" t="s">
        <v>2607</v>
      </c>
      <c r="R16" s="55" t="s">
        <v>2538</v>
      </c>
      <c r="S16" s="60" t="s">
        <v>2605</v>
      </c>
      <c r="T16" s="60" t="s">
        <v>2606</v>
      </c>
      <c r="U16" s="62" t="s">
        <v>2296</v>
      </c>
      <c r="V16" s="63" t="s">
        <v>2297</v>
      </c>
      <c r="W16" s="62" t="s">
        <v>2769</v>
      </c>
      <c r="X16" s="62"/>
      <c r="Y16" s="62"/>
      <c r="Z16" s="62"/>
      <c r="AA16" s="62"/>
      <c r="AB16" s="62"/>
      <c r="AC16" s="60" t="s">
        <v>2604</v>
      </c>
      <c r="AD16" s="55" t="s">
        <v>2741</v>
      </c>
      <c r="AE16" s="55" t="s">
        <v>2766</v>
      </c>
      <c r="AF16" s="55" t="str">
        <f>VLOOKUP(AnalizaCzyste[[#This Row],[Jak się nazywa uczelnia którą ukończyłeś? (proszę o wybranie jednej uczelni podlegającej ocenie)]],KategorieUczelni[],3,0)</f>
        <v>Nietechniczna</v>
      </c>
      <c r="AG16" s="55" t="str">
        <f>MID(AnalizaCzyste[[#This Row],[Info metryczkowe]],2,40)</f>
        <v>A_R_AD_W_P; 5; k; F; t/n)</v>
      </c>
      <c r="AH16" s="55"/>
      <c r="AI16" s="1" t="s">
        <v>123</v>
      </c>
      <c r="AY16" s="56" t="s">
        <v>124</v>
      </c>
      <c r="AZ16" t="s">
        <v>223</v>
      </c>
      <c r="BA16" t="str">
        <f>VLOOKUP(AnalizaCzyste[[#This Row],[Jak się nazywa uczelnia którą ukończyłeś? (proszę o wybranie jednej uczelni podlegającej ocenie)]],KategorieUczelni[],2,0)</f>
        <v>Publiczna</v>
      </c>
      <c r="BB16">
        <v>1980</v>
      </c>
      <c r="BC16" t="s">
        <v>148</v>
      </c>
      <c r="BD16" t="s">
        <v>919</v>
      </c>
      <c r="BE16" t="s">
        <v>169</v>
      </c>
      <c r="BF16" t="s">
        <v>169</v>
      </c>
      <c r="BG16" t="s">
        <v>150</v>
      </c>
      <c r="BH16" t="s">
        <v>128</v>
      </c>
      <c r="BI16" t="s">
        <v>128</v>
      </c>
      <c r="BJ16" t="s">
        <v>920</v>
      </c>
      <c r="BK16" t="s">
        <v>302</v>
      </c>
      <c r="BL16" t="s">
        <v>302</v>
      </c>
      <c r="BM16" t="s">
        <v>921</v>
      </c>
      <c r="BN16" t="s">
        <v>922</v>
      </c>
      <c r="BO16" t="s">
        <v>923</v>
      </c>
      <c r="BP16" t="s">
        <v>157</v>
      </c>
      <c r="BR16" s="56" t="s">
        <v>159</v>
      </c>
      <c r="BS16">
        <v>2</v>
      </c>
      <c r="BT16" t="s">
        <v>223</v>
      </c>
      <c r="BU16">
        <v>2009</v>
      </c>
      <c r="BV16" t="s">
        <v>148</v>
      </c>
      <c r="BW16" t="s">
        <v>743</v>
      </c>
      <c r="BX16" t="s">
        <v>169</v>
      </c>
      <c r="BY16" t="s">
        <v>169</v>
      </c>
      <c r="BZ16" t="s">
        <v>169</v>
      </c>
      <c r="CA16" t="s">
        <v>128</v>
      </c>
      <c r="CB16" t="s">
        <v>128</v>
      </c>
      <c r="CC16" t="s">
        <v>925</v>
      </c>
      <c r="CD16" t="s">
        <v>926</v>
      </c>
      <c r="CE16" t="s">
        <v>157</v>
      </c>
      <c r="CG16" t="s">
        <v>927</v>
      </c>
      <c r="CH16" t="s">
        <v>173</v>
      </c>
      <c r="DL16" s="56" t="s">
        <v>387</v>
      </c>
      <c r="DM16" t="s">
        <v>223</v>
      </c>
      <c r="DN16" t="s">
        <v>928</v>
      </c>
      <c r="DO16" t="s">
        <v>169</v>
      </c>
      <c r="DP16" t="s">
        <v>162</v>
      </c>
      <c r="DQ16" t="s">
        <v>128</v>
      </c>
      <c r="DR16" t="s">
        <v>169</v>
      </c>
      <c r="DS16" t="s">
        <v>169</v>
      </c>
      <c r="DT16" t="s">
        <v>169</v>
      </c>
      <c r="DU16" t="s">
        <v>929</v>
      </c>
      <c r="DV16" s="56" t="s">
        <v>214</v>
      </c>
      <c r="DW16" t="s">
        <v>223</v>
      </c>
      <c r="DX16" t="s">
        <v>928</v>
      </c>
      <c r="DY16" t="s">
        <v>169</v>
      </c>
      <c r="DZ16" t="s">
        <v>162</v>
      </c>
      <c r="EA16" t="s">
        <v>128</v>
      </c>
      <c r="EB16" t="s">
        <v>169</v>
      </c>
      <c r="EC16" t="s">
        <v>169</v>
      </c>
      <c r="ED16" t="s">
        <v>150</v>
      </c>
      <c r="EE16" t="s">
        <v>930</v>
      </c>
      <c r="EF16" s="1" t="s">
        <v>123</v>
      </c>
      <c r="FI16" s="56" t="s">
        <v>177</v>
      </c>
      <c r="FJ16" t="s">
        <v>180</v>
      </c>
      <c r="FK16">
        <v>1</v>
      </c>
      <c r="FL16" t="s">
        <v>223</v>
      </c>
      <c r="FM16" t="s">
        <v>169</v>
      </c>
      <c r="FN16" t="s">
        <v>169</v>
      </c>
      <c r="FO16" t="s">
        <v>236</v>
      </c>
      <c r="FP16" t="s">
        <v>180</v>
      </c>
      <c r="FQ16" t="s">
        <v>931</v>
      </c>
      <c r="FR16" t="s">
        <v>932</v>
      </c>
      <c r="FS16" t="s">
        <v>173</v>
      </c>
      <c r="GI16" s="1" t="s">
        <v>123</v>
      </c>
      <c r="GJ16" t="s">
        <v>132</v>
      </c>
      <c r="GL16" t="s">
        <v>132</v>
      </c>
      <c r="HQ16" t="s">
        <v>933</v>
      </c>
      <c r="HR16" t="s">
        <v>934</v>
      </c>
      <c r="HS16" t="s">
        <v>935</v>
      </c>
      <c r="HT16" t="s">
        <v>140</v>
      </c>
      <c r="HU16">
        <v>1957</v>
      </c>
      <c r="HV16" t="str">
        <f>VLOOKUP(AnalizaCzyste[[#This Row],[Rok urodzenia]],KategorieWiekowe[],2,1)</f>
        <v>56–65 lat</v>
      </c>
      <c r="HW16" t="s">
        <v>141</v>
      </c>
      <c r="HY16" t="s">
        <v>936</v>
      </c>
    </row>
    <row r="17" spans="1:235" ht="56.35" customHeight="1" x14ac:dyDescent="0.45">
      <c r="A17" s="61">
        <v>15</v>
      </c>
      <c r="B17" s="61">
        <f>_xlfn.IFNA(VLOOKUP(AnalizaCzyste[[#This Row],[Zakończono wypełnianie]],Zakończone[],2,0),"BRAK")</f>
        <v>71</v>
      </c>
      <c r="C17" s="61">
        <f t="shared" si="0"/>
        <v>33</v>
      </c>
      <c r="D17" s="61" t="s">
        <v>1132</v>
      </c>
      <c r="E17" s="61" t="s">
        <v>1133</v>
      </c>
      <c r="F17" s="61">
        <v>3215</v>
      </c>
      <c r="G17" s="59" t="s">
        <v>2292</v>
      </c>
      <c r="H17" s="59" t="s">
        <v>1593</v>
      </c>
      <c r="I17" s="59" t="s">
        <v>2456</v>
      </c>
      <c r="J17" s="59" t="str">
        <f>"("&amp;"ID:"&amp;AnalizaCzyste[[#This Row],[Lp. wywiadu]]&amp;"; "&amp;AnalizaCzyste[[#This Row],[Czy kierunek techniczny?]]&amp;"; "&amp;MID(AnalizaCzyste[[#This Row],[Info metryczkowe]],2,40)</f>
        <v>(ID:15; Tech; A; 2; m; F; t/n)</v>
      </c>
      <c r="K17" s="55" t="s">
        <v>2616</v>
      </c>
      <c r="L17" s="55"/>
      <c r="M17" s="55"/>
      <c r="N17" s="55" t="s">
        <v>2615</v>
      </c>
      <c r="O17" s="55" t="s">
        <v>2503</v>
      </c>
      <c r="P17" s="55" t="s">
        <v>178</v>
      </c>
      <c r="Q17" s="55" t="s">
        <v>178</v>
      </c>
      <c r="R17" s="55" t="s">
        <v>2614</v>
      </c>
      <c r="S17" s="60" t="s">
        <v>2613</v>
      </c>
      <c r="T17" s="60" t="s">
        <v>2612</v>
      </c>
      <c r="U17" s="62"/>
      <c r="V17" s="63" t="s">
        <v>2297</v>
      </c>
      <c r="W17" s="62" t="s">
        <v>2769</v>
      </c>
      <c r="X17" s="62"/>
      <c r="Y17" s="62"/>
      <c r="Z17" s="62"/>
      <c r="AA17" s="62"/>
      <c r="AB17" s="62"/>
      <c r="AC17" s="60" t="s">
        <v>2611</v>
      </c>
      <c r="AD17" s="55" t="s">
        <v>2743</v>
      </c>
      <c r="AE17" s="55" t="s">
        <v>2763</v>
      </c>
      <c r="AF17" s="55" t="str">
        <f>VLOOKUP(AnalizaCzyste[[#This Row],[Jak się nazywa uczelnia którą ukończyłeś? (proszę o wybranie jednej uczelni podlegającej ocenie)]],KategorieUczelni[],3,0)</f>
        <v>Techniczna</v>
      </c>
      <c r="AG17" s="55" t="str">
        <f>MID(AnalizaCzyste[[#This Row],[Info metryczkowe]],2,40)</f>
        <v>A; 2; m; F; t/n)</v>
      </c>
      <c r="AH17" s="55"/>
      <c r="AI17" s="1" t="s">
        <v>123</v>
      </c>
      <c r="AY17" s="56" t="s">
        <v>124</v>
      </c>
      <c r="AZ17" t="s">
        <v>191</v>
      </c>
      <c r="BA17" t="str">
        <f>VLOOKUP(AnalizaCzyste[[#This Row],[Jak się nazywa uczelnia którą ukończyłeś? (proszę o wybranie jednej uczelni podlegającej ocenie)]],KategorieUczelni[],2,0)</f>
        <v>Publiczna</v>
      </c>
      <c r="BB17">
        <v>2015</v>
      </c>
      <c r="BC17" t="s">
        <v>126</v>
      </c>
      <c r="BD17" t="s">
        <v>1134</v>
      </c>
      <c r="BE17" t="s">
        <v>128</v>
      </c>
      <c r="BF17" t="s">
        <v>151</v>
      </c>
      <c r="BG17" t="s">
        <v>169</v>
      </c>
      <c r="BH17" t="s">
        <v>162</v>
      </c>
      <c r="BI17" t="s">
        <v>150</v>
      </c>
      <c r="BJ17">
        <v>1</v>
      </c>
      <c r="BK17" t="s">
        <v>302</v>
      </c>
      <c r="BL17" t="s">
        <v>226</v>
      </c>
      <c r="BM17" t="s">
        <v>1135</v>
      </c>
      <c r="BN17" t="s">
        <v>1136</v>
      </c>
      <c r="BO17" t="s">
        <v>1137</v>
      </c>
      <c r="BP17" t="s">
        <v>172</v>
      </c>
      <c r="BR17" s="1" t="s">
        <v>123</v>
      </c>
      <c r="DL17" s="1" t="s">
        <v>123</v>
      </c>
      <c r="DV17" s="1" t="s">
        <v>123</v>
      </c>
      <c r="EF17" s="1" t="s">
        <v>123</v>
      </c>
      <c r="FI17" s="1" t="s">
        <v>123</v>
      </c>
      <c r="GI17" s="1" t="s">
        <v>123</v>
      </c>
      <c r="HQ17" t="s">
        <v>1138</v>
      </c>
      <c r="HR17" t="s">
        <v>1139</v>
      </c>
      <c r="HS17" t="s">
        <v>1140</v>
      </c>
      <c r="HT17" t="s">
        <v>186</v>
      </c>
      <c r="HU17">
        <v>1991</v>
      </c>
      <c r="HV17" t="str">
        <f>VLOOKUP(AnalizaCzyste[[#This Row],[Rok urodzenia]],KategorieWiekowe[],2,1)</f>
        <v>26–35 lat</v>
      </c>
      <c r="HW17" t="s">
        <v>141</v>
      </c>
      <c r="HY17" t="s">
        <v>1141</v>
      </c>
    </row>
    <row r="18" spans="1:235" ht="56.35" customHeight="1" x14ac:dyDescent="0.45">
      <c r="A18" s="61">
        <v>16</v>
      </c>
      <c r="B18" s="61">
        <f>_xlfn.IFNA(VLOOKUP(AnalizaCzyste[[#This Row],[Zakończono wypełnianie]],Zakończone[],2,0),"BRAK")</f>
        <v>73</v>
      </c>
      <c r="C18" s="61">
        <f t="shared" si="0"/>
        <v>35</v>
      </c>
      <c r="D18" s="61" t="s">
        <v>1153</v>
      </c>
      <c r="E18" s="61" t="s">
        <v>1154</v>
      </c>
      <c r="F18" s="61">
        <v>1159</v>
      </c>
      <c r="G18" s="59" t="s">
        <v>2292</v>
      </c>
      <c r="H18" s="59" t="s">
        <v>2292</v>
      </c>
      <c r="I18" s="59" t="s">
        <v>2457</v>
      </c>
      <c r="J18" s="59" t="str">
        <f>"("&amp;"ID:"&amp;AnalizaCzyste[[#This Row],[Lp. wywiadu]]&amp;"; "&amp;AnalizaCzyste[[#This Row],[Czy kierunek techniczny?]]&amp;"; "&amp;MID(AnalizaCzyste[[#This Row],[Info metryczkowe]],2,40)</f>
        <v>(ID:16; Tech; A; 2; k; A; n/n)</v>
      </c>
      <c r="K18" s="55" t="s">
        <v>2626</v>
      </c>
      <c r="L18" s="55"/>
      <c r="M18" s="55"/>
      <c r="N18" s="55" t="s">
        <v>2625</v>
      </c>
      <c r="O18" s="55"/>
      <c r="P18" s="55" t="s">
        <v>2621</v>
      </c>
      <c r="Q18" s="55" t="s">
        <v>126</v>
      </c>
      <c r="R18" s="55" t="s">
        <v>2622</v>
      </c>
      <c r="S18" s="60" t="s">
        <v>2620</v>
      </c>
      <c r="T18" s="60" t="s">
        <v>2619</v>
      </c>
      <c r="U18" s="62" t="s">
        <v>2296</v>
      </c>
      <c r="V18" s="62"/>
      <c r="W18" s="62"/>
      <c r="X18" s="62"/>
      <c r="Y18" s="62" t="s">
        <v>2770</v>
      </c>
      <c r="Z18" s="62"/>
      <c r="AA18" s="62"/>
      <c r="AB18" s="62"/>
      <c r="AC18" s="60" t="s">
        <v>2618</v>
      </c>
      <c r="AD18" s="55" t="s">
        <v>2744</v>
      </c>
      <c r="AE18" s="55" t="s">
        <v>2763</v>
      </c>
      <c r="AF18" s="55" t="str">
        <f>VLOOKUP(AnalizaCzyste[[#This Row],[Jak się nazywa uczelnia którą ukończyłeś? (proszę o wybranie jednej uczelni podlegającej ocenie)]],KategorieUczelni[],3,0)</f>
        <v>Techniczna</v>
      </c>
      <c r="AG18" s="55" t="str">
        <f>MID(AnalizaCzyste[[#This Row],[Info metryczkowe]],2,40)</f>
        <v>A; 2; k; A; n/n)</v>
      </c>
      <c r="AH18" s="55"/>
      <c r="AI18" s="1" t="s">
        <v>123</v>
      </c>
      <c r="AY18" s="56" t="s">
        <v>124</v>
      </c>
      <c r="AZ18" t="s">
        <v>191</v>
      </c>
      <c r="BA18" t="str">
        <f>VLOOKUP(AnalizaCzyste[[#This Row],[Jak się nazywa uczelnia którą ukończyłeś? (proszę o wybranie jednej uczelni podlegającej ocenie)]],KategorieUczelni[],2,0)</f>
        <v>Publiczna</v>
      </c>
      <c r="BB18">
        <v>2018</v>
      </c>
      <c r="BC18" t="s">
        <v>126</v>
      </c>
      <c r="BD18" t="s">
        <v>969</v>
      </c>
      <c r="BE18" t="s">
        <v>150</v>
      </c>
      <c r="BF18" t="s">
        <v>150</v>
      </c>
      <c r="BG18" t="s">
        <v>162</v>
      </c>
      <c r="BH18" t="s">
        <v>128</v>
      </c>
      <c r="BI18" t="s">
        <v>151</v>
      </c>
      <c r="BJ18" t="s">
        <v>530</v>
      </c>
      <c r="BK18" t="s">
        <v>131</v>
      </c>
      <c r="BL18" t="s">
        <v>302</v>
      </c>
      <c r="BM18" t="s">
        <v>1155</v>
      </c>
      <c r="BN18" t="s">
        <v>1156</v>
      </c>
      <c r="BO18" t="s">
        <v>1157</v>
      </c>
      <c r="BP18" t="s">
        <v>230</v>
      </c>
      <c r="BQ18" t="s">
        <v>1158</v>
      </c>
      <c r="BR18" s="1" t="s">
        <v>123</v>
      </c>
      <c r="DL18" s="1" t="s">
        <v>123</v>
      </c>
      <c r="DV18" s="1" t="s">
        <v>123</v>
      </c>
      <c r="EF18" s="1" t="s">
        <v>123</v>
      </c>
      <c r="FI18" s="1" t="s">
        <v>123</v>
      </c>
      <c r="GI18" s="1" t="s">
        <v>123</v>
      </c>
      <c r="HQ18" t="s">
        <v>1159</v>
      </c>
      <c r="HR18" t="s">
        <v>1160</v>
      </c>
      <c r="HS18" t="s">
        <v>1161</v>
      </c>
      <c r="HT18" t="s">
        <v>140</v>
      </c>
      <c r="HU18">
        <v>1991</v>
      </c>
      <c r="HV18" t="str">
        <f>VLOOKUP(AnalizaCzyste[[#This Row],[Rok urodzenia]],KategorieWiekowe[],2,1)</f>
        <v>26–35 lat</v>
      </c>
      <c r="HW18" t="s">
        <v>483</v>
      </c>
      <c r="HY18" t="s">
        <v>1162</v>
      </c>
      <c r="HZ18" t="s">
        <v>142</v>
      </c>
    </row>
    <row r="19" spans="1:235" ht="56.35" customHeight="1" x14ac:dyDescent="0.45">
      <c r="A19" s="61">
        <v>17</v>
      </c>
      <c r="B19" s="61">
        <f>_xlfn.IFNA(VLOOKUP(AnalizaCzyste[[#This Row],[Zakończono wypełnianie]],Zakończone[],2,0),"BRAK")</f>
        <v>74</v>
      </c>
      <c r="C19" s="61">
        <f t="shared" si="0"/>
        <v>80</v>
      </c>
      <c r="D19" s="61" t="s">
        <v>1164</v>
      </c>
      <c r="E19" s="61" t="s">
        <v>1165</v>
      </c>
      <c r="F19" s="61">
        <v>982</v>
      </c>
      <c r="G19" s="59" t="s">
        <v>2292</v>
      </c>
      <c r="H19" s="59" t="s">
        <v>2292</v>
      </c>
      <c r="I19" s="59" t="s">
        <v>2459</v>
      </c>
      <c r="J19" s="59" t="str">
        <f>"("&amp;"ID:"&amp;AnalizaCzyste[[#This Row],[Lp. wywiadu]]&amp;"; "&amp;AnalizaCzyste[[#This Row],[Czy kierunek techniczny?]]&amp;"; "&amp;MID(AnalizaCzyste[[#This Row],[Info metryczkowe]],2,40)</f>
        <v>(ID:17; Tech; A_R_W_U; 5; m; F; t/n)</v>
      </c>
      <c r="K19" s="55" t="s">
        <v>2634</v>
      </c>
      <c r="L19" s="55"/>
      <c r="M19" s="55"/>
      <c r="N19" s="55" t="s">
        <v>2633</v>
      </c>
      <c r="O19" s="55" t="s">
        <v>2503</v>
      </c>
      <c r="P19" s="55" t="s">
        <v>2632</v>
      </c>
      <c r="Q19" s="55" t="s">
        <v>2631</v>
      </c>
      <c r="R19" s="55" t="s">
        <v>2538</v>
      </c>
      <c r="S19" s="60" t="s">
        <v>2630</v>
      </c>
      <c r="T19" s="60" t="s">
        <v>2629</v>
      </c>
      <c r="U19" s="62" t="s">
        <v>2296</v>
      </c>
      <c r="V19" s="62" t="s">
        <v>2297</v>
      </c>
      <c r="W19" s="62" t="s">
        <v>2769</v>
      </c>
      <c r="X19" s="62"/>
      <c r="Y19" s="62" t="s">
        <v>2770</v>
      </c>
      <c r="Z19" s="62"/>
      <c r="AA19" s="62"/>
      <c r="AB19" s="62"/>
      <c r="AC19" s="60" t="s">
        <v>2628</v>
      </c>
      <c r="AD19" s="55" t="s">
        <v>2745</v>
      </c>
      <c r="AE19" s="55" t="s">
        <v>2763</v>
      </c>
      <c r="AF19" s="55" t="str">
        <f>VLOOKUP(AnalizaCzyste[[#This Row],[Jak się nazywa uczelnia którą ukończyłeś? (proszę o wybranie jednej uczelni podlegającej ocenie)]],KategorieUczelni[],3,0)</f>
        <v>Techniczna</v>
      </c>
      <c r="AG19" s="55" t="str">
        <f>MID(AnalizaCzyste[[#This Row],[Info metryczkowe]],2,40)</f>
        <v>A_R_W_U; 5; m; F; t/n)</v>
      </c>
      <c r="AH19" s="55"/>
      <c r="AI19" s="1" t="s">
        <v>123</v>
      </c>
      <c r="AY19" s="56" t="s">
        <v>124</v>
      </c>
      <c r="AZ19" t="s">
        <v>191</v>
      </c>
      <c r="BA19" t="str">
        <f>VLOOKUP(AnalizaCzyste[[#This Row],[Jak się nazywa uczelnia którą ukończyłeś? (proszę o wybranie jednej uczelni podlegającej ocenie)]],KategorieUczelni[],2,0)</f>
        <v>Publiczna</v>
      </c>
      <c r="BB19">
        <v>1978</v>
      </c>
      <c r="BC19" t="s">
        <v>148</v>
      </c>
      <c r="BD19" t="s">
        <v>1167</v>
      </c>
      <c r="BE19" t="s">
        <v>169</v>
      </c>
      <c r="BF19" t="s">
        <v>169</v>
      </c>
      <c r="BG19" t="s">
        <v>169</v>
      </c>
      <c r="BH19" t="s">
        <v>150</v>
      </c>
      <c r="BI19" t="s">
        <v>150</v>
      </c>
      <c r="BJ19" t="s">
        <v>1168</v>
      </c>
      <c r="BK19" t="s">
        <v>132</v>
      </c>
      <c r="BL19" t="s">
        <v>132</v>
      </c>
      <c r="BM19" t="s">
        <v>1169</v>
      </c>
      <c r="BN19" t="s">
        <v>1170</v>
      </c>
      <c r="BO19" t="s">
        <v>132</v>
      </c>
      <c r="BQ19" t="s">
        <v>1171</v>
      </c>
      <c r="BR19" s="56" t="s">
        <v>159</v>
      </c>
      <c r="BS19">
        <v>1</v>
      </c>
      <c r="BT19" t="s">
        <v>1290</v>
      </c>
      <c r="BU19">
        <v>2020</v>
      </c>
      <c r="BV19" t="s">
        <v>148</v>
      </c>
      <c r="BW19" t="s">
        <v>1050</v>
      </c>
      <c r="BX19" t="s">
        <v>132</v>
      </c>
      <c r="BY19" t="s">
        <v>132</v>
      </c>
      <c r="BZ19" t="s">
        <v>132</v>
      </c>
      <c r="CA19" t="s">
        <v>132</v>
      </c>
      <c r="CB19" t="s">
        <v>132</v>
      </c>
      <c r="CC19" t="s">
        <v>1173</v>
      </c>
      <c r="CD19" t="s">
        <v>1174</v>
      </c>
      <c r="CE19" t="s">
        <v>230</v>
      </c>
      <c r="CG19" t="s">
        <v>1175</v>
      </c>
      <c r="CH19" t="s">
        <v>173</v>
      </c>
      <c r="DL19" s="1" t="s">
        <v>123</v>
      </c>
      <c r="DV19" s="56" t="s">
        <v>214</v>
      </c>
      <c r="DW19" t="s">
        <v>191</v>
      </c>
      <c r="DX19" t="s">
        <v>308</v>
      </c>
      <c r="DY19" t="s">
        <v>169</v>
      </c>
      <c r="DZ19" t="s">
        <v>162</v>
      </c>
      <c r="EA19" t="s">
        <v>150</v>
      </c>
      <c r="EB19" t="s">
        <v>169</v>
      </c>
      <c r="EC19" t="s">
        <v>150</v>
      </c>
      <c r="ED19" t="s">
        <v>150</v>
      </c>
      <c r="EE19" t="s">
        <v>1177</v>
      </c>
      <c r="EF19" s="56" t="s">
        <v>174</v>
      </c>
      <c r="EI19" t="s">
        <v>1178</v>
      </c>
      <c r="EK19" t="s">
        <v>747</v>
      </c>
      <c r="EL19" t="s">
        <v>150</v>
      </c>
      <c r="EM19" t="s">
        <v>150</v>
      </c>
      <c r="EN19" t="s">
        <v>150</v>
      </c>
      <c r="EO19" t="s">
        <v>150</v>
      </c>
      <c r="EP19" t="s">
        <v>162</v>
      </c>
      <c r="EQ19" t="s">
        <v>162</v>
      </c>
      <c r="ER19" t="s">
        <v>162</v>
      </c>
      <c r="ES19">
        <v>25</v>
      </c>
      <c r="ET19">
        <v>10</v>
      </c>
      <c r="EU19">
        <v>0</v>
      </c>
      <c r="EV19">
        <v>10</v>
      </c>
      <c r="EW19">
        <v>25</v>
      </c>
      <c r="EX19">
        <v>15</v>
      </c>
      <c r="EY19">
        <v>15</v>
      </c>
      <c r="FA19">
        <v>10</v>
      </c>
      <c r="FB19">
        <v>10</v>
      </c>
      <c r="FC19">
        <v>0</v>
      </c>
      <c r="FD19">
        <v>10</v>
      </c>
      <c r="FE19">
        <v>50</v>
      </c>
      <c r="FF19">
        <v>10</v>
      </c>
      <c r="FG19">
        <v>10</v>
      </c>
      <c r="FI19" s="1" t="s">
        <v>123</v>
      </c>
      <c r="GI19" s="1" t="s">
        <v>123</v>
      </c>
      <c r="HQ19" t="s">
        <v>1179</v>
      </c>
      <c r="HR19" t="s">
        <v>1180</v>
      </c>
      <c r="HS19" t="s">
        <v>1181</v>
      </c>
      <c r="HT19" t="s">
        <v>186</v>
      </c>
      <c r="HU19" s="20" t="s">
        <v>1473</v>
      </c>
      <c r="HV19" s="20" t="e">
        <f>VLOOKUP(AnalizaCzyste[[#This Row],[Rok urodzenia]],KategorieWiekowe[],2,1)</f>
        <v>#N/A</v>
      </c>
      <c r="HW19" t="s">
        <v>141</v>
      </c>
      <c r="HY19" t="s">
        <v>1183</v>
      </c>
    </row>
    <row r="20" spans="1:235" ht="56.35" customHeight="1" x14ac:dyDescent="0.45">
      <c r="A20" s="61">
        <v>18</v>
      </c>
      <c r="B20" s="61">
        <f>_xlfn.IFNA(VLOOKUP(AnalizaCzyste[[#This Row],[Zakończono wypełnianie]],Zakończone[],2,0),"BRAK")</f>
        <v>75</v>
      </c>
      <c r="C20" s="61">
        <f t="shared" si="0"/>
        <v>32</v>
      </c>
      <c r="D20" s="61" t="s">
        <v>1184</v>
      </c>
      <c r="E20" s="61" t="s">
        <v>1185</v>
      </c>
      <c r="F20" s="61">
        <v>739</v>
      </c>
      <c r="G20" s="59" t="s">
        <v>2292</v>
      </c>
      <c r="H20" s="59" t="s">
        <v>2292</v>
      </c>
      <c r="I20" s="59" t="s">
        <v>2458</v>
      </c>
      <c r="J20" s="59" t="str">
        <f>"("&amp;"ID:"&amp;AnalizaCzyste[[#This Row],[Lp. wywiadu]]&amp;"; "&amp;AnalizaCzyste[[#This Row],[Czy kierunek techniczny?]]&amp;"; "&amp;MID(AnalizaCzyste[[#This Row],[Info metryczkowe]],2,40)</f>
        <v>(ID:18; Tech; A; 2; m; F; n/n)</v>
      </c>
      <c r="K20" s="55" t="s">
        <v>2627</v>
      </c>
      <c r="L20" s="55"/>
      <c r="M20" s="55" t="s">
        <v>2624</v>
      </c>
      <c r="N20" s="55" t="s">
        <v>2625</v>
      </c>
      <c r="O20" s="55" t="s">
        <v>2503</v>
      </c>
      <c r="P20" s="55" t="s">
        <v>2621</v>
      </c>
      <c r="Q20" s="55" t="s">
        <v>126</v>
      </c>
      <c r="R20" s="55" t="s">
        <v>2623</v>
      </c>
      <c r="S20" s="60" t="s">
        <v>2620</v>
      </c>
      <c r="T20" s="60" t="s">
        <v>2619</v>
      </c>
      <c r="U20" s="62" t="s">
        <v>2296</v>
      </c>
      <c r="V20" s="62"/>
      <c r="W20" s="62"/>
      <c r="X20" s="62"/>
      <c r="Y20" s="62" t="s">
        <v>2770</v>
      </c>
      <c r="Z20" s="62"/>
      <c r="AA20" s="62"/>
      <c r="AB20" s="62"/>
      <c r="AC20" s="60" t="s">
        <v>2617</v>
      </c>
      <c r="AD20" s="55" t="s">
        <v>2742</v>
      </c>
      <c r="AE20" s="55" t="s">
        <v>2763</v>
      </c>
      <c r="AF20" s="55" t="str">
        <f>VLOOKUP(AnalizaCzyste[[#This Row],[Jak się nazywa uczelnia którą ukończyłeś? (proszę o wybranie jednej uczelni podlegającej ocenie)]],KategorieUczelni[],3,0)</f>
        <v>Techniczna</v>
      </c>
      <c r="AG20" s="55" t="str">
        <f>MID(AnalizaCzyste[[#This Row],[Info metryczkowe]],2,40)</f>
        <v>A; 2; m; F; n/n)</v>
      </c>
      <c r="AH20" s="55"/>
      <c r="AI20" s="1" t="s">
        <v>123</v>
      </c>
      <c r="AY20" s="56" t="s">
        <v>124</v>
      </c>
      <c r="AZ20" t="s">
        <v>191</v>
      </c>
      <c r="BA20" t="str">
        <f>VLOOKUP(AnalizaCzyste[[#This Row],[Jak się nazywa uczelnia którą ukończyłeś? (proszę o wybranie jednej uczelni podlegającej ocenie)]],KategorieUczelni[],2,0)</f>
        <v>Publiczna</v>
      </c>
      <c r="BB20">
        <v>2018</v>
      </c>
      <c r="BC20" t="s">
        <v>126</v>
      </c>
      <c r="BD20" t="s">
        <v>1186</v>
      </c>
      <c r="BE20" t="s">
        <v>151</v>
      </c>
      <c r="BF20" t="s">
        <v>162</v>
      </c>
      <c r="BG20" t="s">
        <v>169</v>
      </c>
      <c r="BH20" t="s">
        <v>150</v>
      </c>
      <c r="BI20" t="s">
        <v>132</v>
      </c>
      <c r="BJ20" t="s">
        <v>959</v>
      </c>
      <c r="BK20" t="s">
        <v>302</v>
      </c>
      <c r="BL20" t="s">
        <v>226</v>
      </c>
      <c r="BM20" t="s">
        <v>1187</v>
      </c>
      <c r="BN20" t="s">
        <v>1188</v>
      </c>
      <c r="BO20" t="s">
        <v>1189</v>
      </c>
      <c r="BP20" t="s">
        <v>172</v>
      </c>
      <c r="BR20" s="1" t="s">
        <v>123</v>
      </c>
      <c r="DL20" s="1" t="s">
        <v>123</v>
      </c>
      <c r="DV20" s="1" t="s">
        <v>123</v>
      </c>
      <c r="EF20" s="1" t="s">
        <v>123</v>
      </c>
      <c r="FI20" s="1" t="s">
        <v>123</v>
      </c>
      <c r="GI20" s="1" t="s">
        <v>123</v>
      </c>
      <c r="HQ20" t="s">
        <v>276</v>
      </c>
      <c r="HR20" t="s">
        <v>1190</v>
      </c>
      <c r="HS20" t="s">
        <v>1191</v>
      </c>
      <c r="HT20" t="s">
        <v>186</v>
      </c>
      <c r="HU20">
        <v>1991</v>
      </c>
      <c r="HV20" t="str">
        <f>VLOOKUP(AnalizaCzyste[[#This Row],[Rok urodzenia]],KategorieWiekowe[],2,1)</f>
        <v>26–35 lat</v>
      </c>
      <c r="HW20" t="s">
        <v>141</v>
      </c>
    </row>
    <row r="21" spans="1:235" ht="56.35" customHeight="1" x14ac:dyDescent="0.45">
      <c r="A21" s="61">
        <v>19</v>
      </c>
      <c r="B21" s="61">
        <f>_xlfn.IFNA(VLOOKUP(AnalizaCzyste[[#This Row],[Zakończono wypełnianie]],Zakończone[],2,0),"BRAK")</f>
        <v>76</v>
      </c>
      <c r="C21" s="61">
        <f t="shared" si="0"/>
        <v>43</v>
      </c>
      <c r="D21" s="61" t="s">
        <v>1193</v>
      </c>
      <c r="E21" s="61" t="s">
        <v>1194</v>
      </c>
      <c r="F21" s="61">
        <v>1676</v>
      </c>
      <c r="G21" s="59" t="s">
        <v>2292</v>
      </c>
      <c r="H21" s="59" t="s">
        <v>2292</v>
      </c>
      <c r="I21" s="59" t="s">
        <v>2460</v>
      </c>
      <c r="J21" s="59" t="str">
        <f>"("&amp;"ID:"&amp;AnalizaCzyste[[#This Row],[Lp. wywiadu]]&amp;"; "&amp;AnalizaCzyste[[#This Row],[Czy kierunek techniczny?]]&amp;"; "&amp;MID(AnalizaCzyste[[#This Row],[Info metryczkowe]],2,40)</f>
        <v>(ID:19; NTech; A_P; 4; m; F; n/n)</v>
      </c>
      <c r="K21" s="55"/>
      <c r="L21" s="55"/>
      <c r="M21" s="55"/>
      <c r="N21" s="55" t="s">
        <v>2640</v>
      </c>
      <c r="O21" s="55" t="s">
        <v>2503</v>
      </c>
      <c r="P21" s="55" t="s">
        <v>2639</v>
      </c>
      <c r="Q21" s="55" t="s">
        <v>2638</v>
      </c>
      <c r="R21" s="55" t="s">
        <v>2538</v>
      </c>
      <c r="S21" s="60" t="s">
        <v>2637</v>
      </c>
      <c r="T21" s="60" t="s">
        <v>2636</v>
      </c>
      <c r="U21" s="62" t="s">
        <v>2296</v>
      </c>
      <c r="V21" s="62"/>
      <c r="W21" s="62"/>
      <c r="X21" s="62"/>
      <c r="Y21" s="62"/>
      <c r="Z21" s="62"/>
      <c r="AA21" s="62"/>
      <c r="AB21" s="62" t="s">
        <v>2779</v>
      </c>
      <c r="AC21" s="60" t="s">
        <v>2635</v>
      </c>
      <c r="AD21" s="55" t="s">
        <v>2746</v>
      </c>
      <c r="AE21" s="55" t="s">
        <v>2766</v>
      </c>
      <c r="AF21" s="55" t="str">
        <f>VLOOKUP(AnalizaCzyste[[#This Row],[Jak się nazywa uczelnia którą ukończyłeś? (proszę o wybranie jednej uczelni podlegającej ocenie)]],KategorieUczelni[],3,0)</f>
        <v>Nietechniczna</v>
      </c>
      <c r="AG21" s="55" t="str">
        <f>MID(AnalizaCzyste[[#This Row],[Info metryczkowe]],2,40)</f>
        <v>A_P; 4; m; F; n/n)</v>
      </c>
      <c r="AH21" s="55"/>
      <c r="AI21" s="1" t="s">
        <v>123</v>
      </c>
      <c r="AY21" s="56" t="s">
        <v>124</v>
      </c>
      <c r="AZ21" t="s">
        <v>223</v>
      </c>
      <c r="BA21" t="str">
        <f>VLOOKUP(AnalizaCzyste[[#This Row],[Jak się nazywa uczelnia którą ukończyłeś? (proszę o wybranie jednej uczelni podlegającej ocenie)]],KategorieUczelni[],2,0)</f>
        <v>Publiczna</v>
      </c>
      <c r="BB21">
        <v>1998</v>
      </c>
      <c r="BC21" t="s">
        <v>148</v>
      </c>
      <c r="BD21" t="s">
        <v>1195</v>
      </c>
      <c r="BE21" t="s">
        <v>162</v>
      </c>
      <c r="BF21" t="s">
        <v>151</v>
      </c>
      <c r="BG21" t="s">
        <v>151</v>
      </c>
      <c r="BH21" t="s">
        <v>236</v>
      </c>
      <c r="BI21" t="s">
        <v>151</v>
      </c>
      <c r="BJ21">
        <v>0</v>
      </c>
      <c r="BK21" t="s">
        <v>131</v>
      </c>
      <c r="BL21" t="s">
        <v>302</v>
      </c>
      <c r="BM21" t="s">
        <v>1196</v>
      </c>
      <c r="BN21" t="s">
        <v>1196</v>
      </c>
      <c r="BO21" t="s">
        <v>1197</v>
      </c>
      <c r="BP21" t="s">
        <v>157</v>
      </c>
      <c r="BR21" s="1" t="s">
        <v>123</v>
      </c>
      <c r="DL21" s="1" t="s">
        <v>123</v>
      </c>
      <c r="DV21" s="1" t="s">
        <v>123</v>
      </c>
      <c r="EF21" s="1" t="s">
        <v>123</v>
      </c>
      <c r="FI21" s="56" t="s">
        <v>177</v>
      </c>
      <c r="FJ21" t="s">
        <v>180</v>
      </c>
      <c r="FK21" t="s">
        <v>132</v>
      </c>
      <c r="FL21" t="s">
        <v>132</v>
      </c>
      <c r="FM21" t="s">
        <v>151</v>
      </c>
      <c r="FN21" t="s">
        <v>151</v>
      </c>
      <c r="FO21" t="s">
        <v>151</v>
      </c>
      <c r="FP21" t="s">
        <v>178</v>
      </c>
      <c r="FQ21" t="s">
        <v>132</v>
      </c>
      <c r="FR21" t="s">
        <v>132</v>
      </c>
      <c r="FS21" t="s">
        <v>173</v>
      </c>
      <c r="GI21" s="1" t="s">
        <v>123</v>
      </c>
      <c r="HQ21" t="s">
        <v>1198</v>
      </c>
      <c r="HR21" t="s">
        <v>1199</v>
      </c>
      <c r="HS21" t="s">
        <v>1198</v>
      </c>
      <c r="HT21" t="s">
        <v>186</v>
      </c>
      <c r="HU21">
        <v>1974</v>
      </c>
      <c r="HV21" t="str">
        <f>VLOOKUP(AnalizaCzyste[[#This Row],[Rok urodzenia]],KategorieWiekowe[],2,1)</f>
        <v>46–55 lat</v>
      </c>
      <c r="HW21" t="s">
        <v>141</v>
      </c>
      <c r="HX21" t="s">
        <v>313</v>
      </c>
    </row>
    <row r="22" spans="1:235" ht="56.35" customHeight="1" x14ac:dyDescent="0.45">
      <c r="A22" s="61">
        <v>20</v>
      </c>
      <c r="B22" s="61">
        <f>_xlfn.IFNA(VLOOKUP(AnalizaCzyste[[#This Row],[Zakończono wypełnianie]],Zakończone[],2,0),"BRAK")</f>
        <v>77</v>
      </c>
      <c r="C22" s="61">
        <f t="shared" si="0"/>
        <v>45</v>
      </c>
      <c r="D22" s="61" t="s">
        <v>1201</v>
      </c>
      <c r="E22" s="61" t="s">
        <v>1202</v>
      </c>
      <c r="F22" s="61">
        <v>658</v>
      </c>
      <c r="G22" s="59" t="s">
        <v>2292</v>
      </c>
      <c r="H22" s="59" t="s">
        <v>2292</v>
      </c>
      <c r="I22" s="59" t="s">
        <v>2461</v>
      </c>
      <c r="J22" s="59" t="str">
        <f>"("&amp;"ID:"&amp;AnalizaCzyste[[#This Row],[Lp. wywiadu]]&amp;"; "&amp;AnalizaCzyste[[#This Row],[Czy kierunek techniczny?]]&amp;"; "&amp;MID(AnalizaCzyste[[#This Row],[Info metryczkowe]],2,40)</f>
        <v>(ID:20; Tech; A_W_P; 2; m; F; t/n)</v>
      </c>
      <c r="K22" s="55" t="s">
        <v>2648</v>
      </c>
      <c r="L22" s="55"/>
      <c r="M22" s="55"/>
      <c r="N22" s="55" t="s">
        <v>2647</v>
      </c>
      <c r="O22" s="55" t="s">
        <v>2503</v>
      </c>
      <c r="P22" s="55" t="s">
        <v>2646</v>
      </c>
      <c r="Q22" s="55" t="s">
        <v>2645</v>
      </c>
      <c r="R22" s="55" t="s">
        <v>2644</v>
      </c>
      <c r="S22" s="60" t="s">
        <v>2643</v>
      </c>
      <c r="T22" s="60" t="s">
        <v>2642</v>
      </c>
      <c r="U22" s="62" t="s">
        <v>2296</v>
      </c>
      <c r="V22" s="62" t="s">
        <v>2297</v>
      </c>
      <c r="W22" s="62" t="s">
        <v>2769</v>
      </c>
      <c r="X22" s="62"/>
      <c r="Y22" s="62"/>
      <c r="Z22" s="62" t="s">
        <v>2773</v>
      </c>
      <c r="AA22" s="62"/>
      <c r="AB22" s="62"/>
      <c r="AC22" s="60" t="s">
        <v>2641</v>
      </c>
      <c r="AD22" s="55" t="s">
        <v>2747</v>
      </c>
      <c r="AE22" s="55" t="s">
        <v>2763</v>
      </c>
      <c r="AF22" s="55" t="str">
        <f>VLOOKUP(AnalizaCzyste[[#This Row],[Jak się nazywa uczelnia którą ukończyłeś? (proszę o wybranie jednej uczelni podlegającej ocenie)]],KategorieUczelni[],3,0)</f>
        <v>Techniczna</v>
      </c>
      <c r="AG22" s="55" t="str">
        <f>MID(AnalizaCzyste[[#This Row],[Info metryczkowe]],2,40)</f>
        <v>A_W_P; 2; m; F; t/n)</v>
      </c>
      <c r="AH22" s="55"/>
      <c r="AI22" s="1" t="s">
        <v>123</v>
      </c>
      <c r="AY22" s="57" t="s">
        <v>2487</v>
      </c>
      <c r="AZ22" s="42" t="s">
        <v>191</v>
      </c>
      <c r="BA22" t="str">
        <f>VLOOKUP(AnalizaCzyste[[#This Row],[Jak się nazywa uczelnia którą ukończyłeś? (proszę o wybranie jednej uczelni podlegającej ocenie)]],KategorieUczelni[],2,0)</f>
        <v>Publiczna</v>
      </c>
      <c r="BR22" s="1" t="s">
        <v>123</v>
      </c>
      <c r="DL22" s="1" t="s">
        <v>123</v>
      </c>
      <c r="DV22" s="56" t="s">
        <v>214</v>
      </c>
      <c r="DW22" t="s">
        <v>191</v>
      </c>
      <c r="DX22" t="s">
        <v>308</v>
      </c>
      <c r="DY22" t="s">
        <v>162</v>
      </c>
      <c r="DZ22" t="s">
        <v>162</v>
      </c>
      <c r="EA22" t="s">
        <v>150</v>
      </c>
      <c r="EB22" t="s">
        <v>150</v>
      </c>
      <c r="EC22" t="s">
        <v>150</v>
      </c>
      <c r="ED22" t="s">
        <v>169</v>
      </c>
      <c r="EE22" t="s">
        <v>1203</v>
      </c>
      <c r="EF22" s="1" t="s">
        <v>123</v>
      </c>
      <c r="FI22" s="56" t="s">
        <v>177</v>
      </c>
      <c r="FJ22" t="s">
        <v>178</v>
      </c>
      <c r="FK22">
        <v>2</v>
      </c>
      <c r="FL22" t="s">
        <v>191</v>
      </c>
      <c r="FM22" t="s">
        <v>169</v>
      </c>
      <c r="FN22" t="s">
        <v>169</v>
      </c>
      <c r="FO22" t="s">
        <v>169</v>
      </c>
      <c r="FP22" t="s">
        <v>178</v>
      </c>
      <c r="FQ22" t="s">
        <v>1204</v>
      </c>
      <c r="FR22" t="s">
        <v>1205</v>
      </c>
      <c r="FS22" t="s">
        <v>1206</v>
      </c>
      <c r="FT22" t="s">
        <v>223</v>
      </c>
      <c r="FU22" t="s">
        <v>128</v>
      </c>
      <c r="FV22" t="s">
        <v>236</v>
      </c>
      <c r="FW22" t="s">
        <v>129</v>
      </c>
      <c r="FX22" t="s">
        <v>178</v>
      </c>
      <c r="FY22" t="s">
        <v>960</v>
      </c>
      <c r="FZ22" t="s">
        <v>1207</v>
      </c>
      <c r="GA22" t="s">
        <v>173</v>
      </c>
      <c r="GI22" s="1" t="s">
        <v>123</v>
      </c>
      <c r="HQ22" t="s">
        <v>1208</v>
      </c>
      <c r="HR22" t="s">
        <v>1209</v>
      </c>
      <c r="HS22" t="s">
        <v>1210</v>
      </c>
      <c r="HT22" t="s">
        <v>186</v>
      </c>
      <c r="HU22">
        <v>1987</v>
      </c>
      <c r="HV22" t="str">
        <f>VLOOKUP(AnalizaCzyste[[#This Row],[Rok urodzenia]],KategorieWiekowe[],2,1)</f>
        <v>26–35 lat</v>
      </c>
      <c r="HW22" t="s">
        <v>141</v>
      </c>
      <c r="HY22" t="s">
        <v>191</v>
      </c>
    </row>
    <row r="23" spans="1:235" ht="56.35" customHeight="1" x14ac:dyDescent="0.45">
      <c r="A23" s="61">
        <v>21</v>
      </c>
      <c r="B23" s="61">
        <f>_xlfn.IFNA(VLOOKUP(AnalizaCzyste[[#This Row],[Zakończono wypełnianie]],Zakończone[],2,0),"BRAK")</f>
        <v>78</v>
      </c>
      <c r="C23" s="61">
        <f t="shared" si="0"/>
        <v>32</v>
      </c>
      <c r="D23" s="61" t="s">
        <v>1212</v>
      </c>
      <c r="E23" s="61" t="s">
        <v>1213</v>
      </c>
      <c r="F23" s="61">
        <v>808</v>
      </c>
      <c r="G23" s="59" t="s">
        <v>2292</v>
      </c>
      <c r="H23" s="59"/>
      <c r="I23" s="59" t="s">
        <v>2478</v>
      </c>
      <c r="J23" s="59" t="str">
        <f>"("&amp;"ID:"&amp;AnalizaCzyste[[#This Row],[Lp. wywiadu]]&amp;"; "&amp;AnalizaCzyste[[#This Row],[Czy kierunek techniczny?]]&amp;"; "&amp;MID(AnalizaCzyste[[#This Row],[Info metryczkowe]],2,40)</f>
        <v>(ID:21; NTech; A; 4; m; F; t/n)</v>
      </c>
      <c r="K23" s="55" t="s">
        <v>2655</v>
      </c>
      <c r="L23" s="55"/>
      <c r="M23" s="55"/>
      <c r="N23" s="55" t="s">
        <v>2654</v>
      </c>
      <c r="O23" s="55" t="s">
        <v>2503</v>
      </c>
      <c r="P23" s="55" t="s">
        <v>2653</v>
      </c>
      <c r="Q23" s="55" t="s">
        <v>2652</v>
      </c>
      <c r="R23" s="55" t="s">
        <v>2538</v>
      </c>
      <c r="S23" s="60" t="s">
        <v>2651</v>
      </c>
      <c r="T23" s="60" t="s">
        <v>2650</v>
      </c>
      <c r="U23" s="62" t="s">
        <v>2296</v>
      </c>
      <c r="V23" s="62" t="s">
        <v>2297</v>
      </c>
      <c r="W23" s="62"/>
      <c r="X23" s="62"/>
      <c r="Y23" s="62" t="s">
        <v>2770</v>
      </c>
      <c r="Z23" s="62" t="s">
        <v>2773</v>
      </c>
      <c r="AA23" s="62"/>
      <c r="AB23" s="62"/>
      <c r="AC23" s="60" t="s">
        <v>2649</v>
      </c>
      <c r="AD23" s="55" t="s">
        <v>2748</v>
      </c>
      <c r="AE23" s="55" t="s">
        <v>2766</v>
      </c>
      <c r="AF23" s="55" t="str">
        <f>VLOOKUP(AnalizaCzyste[[#This Row],[Jak się nazywa uczelnia którą ukończyłeś? (proszę o wybranie jednej uczelni podlegającej ocenie)]],KategorieUczelni[],3,0)</f>
        <v>Nietechniczna</v>
      </c>
      <c r="AG23" s="55" t="str">
        <f>MID(AnalizaCzyste[[#This Row],[Info metryczkowe]],2,40)</f>
        <v>A; 4; m; F; t/n)</v>
      </c>
      <c r="AH23" s="55"/>
      <c r="AI23" s="1" t="s">
        <v>123</v>
      </c>
      <c r="AY23" s="56" t="s">
        <v>124</v>
      </c>
      <c r="AZ23" t="s">
        <v>428</v>
      </c>
      <c r="BA23" t="str">
        <f>VLOOKUP(AnalizaCzyste[[#This Row],[Jak się nazywa uczelnia którą ukończyłeś? (proszę o wybranie jednej uczelni podlegającej ocenie)]],KategorieUczelni[],2,0)</f>
        <v>Publiczna</v>
      </c>
      <c r="BB23">
        <v>1998</v>
      </c>
      <c r="BC23" t="s">
        <v>148</v>
      </c>
      <c r="BD23" t="s">
        <v>1215</v>
      </c>
      <c r="BE23" t="s">
        <v>150</v>
      </c>
      <c r="BF23" t="s">
        <v>150</v>
      </c>
      <c r="BG23" t="s">
        <v>151</v>
      </c>
      <c r="BH23" t="s">
        <v>129</v>
      </c>
      <c r="BI23" t="s">
        <v>128</v>
      </c>
      <c r="BJ23" t="s">
        <v>1216</v>
      </c>
      <c r="BK23" t="s">
        <v>131</v>
      </c>
      <c r="BL23" t="s">
        <v>131</v>
      </c>
      <c r="BM23" t="s">
        <v>1217</v>
      </c>
      <c r="BN23" t="s">
        <v>1218</v>
      </c>
      <c r="BO23" t="s">
        <v>1219</v>
      </c>
      <c r="BQ23" t="s">
        <v>1220</v>
      </c>
      <c r="BR23" s="1" t="s">
        <v>123</v>
      </c>
      <c r="DL23" s="1" t="s">
        <v>123</v>
      </c>
      <c r="DV23" s="1" t="s">
        <v>123</v>
      </c>
      <c r="EF23" s="1" t="s">
        <v>123</v>
      </c>
      <c r="FI23" s="1" t="s">
        <v>123</v>
      </c>
      <c r="GI23" s="1" t="s">
        <v>123</v>
      </c>
      <c r="HQ23" t="s">
        <v>1221</v>
      </c>
      <c r="HR23" t="s">
        <v>1222</v>
      </c>
      <c r="HS23" t="s">
        <v>1223</v>
      </c>
      <c r="HT23" t="s">
        <v>186</v>
      </c>
      <c r="HU23">
        <v>1973</v>
      </c>
      <c r="HV23" t="str">
        <f>VLOOKUP(AnalizaCzyste[[#This Row],[Rok urodzenia]],KategorieWiekowe[],2,1)</f>
        <v>46–55 lat</v>
      </c>
      <c r="HW23" t="s">
        <v>141</v>
      </c>
    </row>
    <row r="24" spans="1:235" ht="56.35" customHeight="1" x14ac:dyDescent="0.45">
      <c r="A24" s="61">
        <v>22</v>
      </c>
      <c r="B24" s="61">
        <f>_xlfn.IFNA(VLOOKUP(AnalizaCzyste[[#This Row],[Zakończono wypełnianie]],Zakończone[],2,0),"BRAK")</f>
        <v>79</v>
      </c>
      <c r="C24" s="61">
        <f t="shared" si="0"/>
        <v>82</v>
      </c>
      <c r="D24" s="61" t="s">
        <v>1225</v>
      </c>
      <c r="E24" s="61" t="s">
        <v>1226</v>
      </c>
      <c r="F24" s="61">
        <v>4209</v>
      </c>
      <c r="G24" s="59" t="s">
        <v>2292</v>
      </c>
      <c r="H24" s="59" t="s">
        <v>2293</v>
      </c>
      <c r="I24" s="59" t="s">
        <v>2477</v>
      </c>
      <c r="J24" s="59" t="str">
        <f>"("&amp;"ID:"&amp;AnalizaCzyste[[#This Row],[Lp. wywiadu]]&amp;"; "&amp;AnalizaCzyste[[#This Row],[Czy kierunek techniczny?]]&amp;"; "&amp;MID(AnalizaCzyste[[#This Row],[Info metryczkowe]],2,40)</f>
        <v>(ID:22; NTech; A_R_U; 5; k; F; t/n)</v>
      </c>
      <c r="K24" s="55" t="s">
        <v>2662</v>
      </c>
      <c r="L24" s="55"/>
      <c r="M24" s="55" t="s">
        <v>2661</v>
      </c>
      <c r="N24" s="55" t="s">
        <v>178</v>
      </c>
      <c r="O24" s="55" t="s">
        <v>2503</v>
      </c>
      <c r="P24" s="55" t="s">
        <v>2660</v>
      </c>
      <c r="Q24" s="55" t="s">
        <v>2659</v>
      </c>
      <c r="R24" s="55" t="s">
        <v>2538</v>
      </c>
      <c r="S24" s="60" t="s">
        <v>2658</v>
      </c>
      <c r="T24" s="60" t="s">
        <v>2657</v>
      </c>
      <c r="U24" s="62" t="s">
        <v>2296</v>
      </c>
      <c r="V24" s="62"/>
      <c r="W24" s="62"/>
      <c r="X24" s="62"/>
      <c r="Y24" s="62"/>
      <c r="Z24" s="62"/>
      <c r="AA24" s="62"/>
      <c r="AB24" s="62"/>
      <c r="AC24" s="60" t="s">
        <v>2656</v>
      </c>
      <c r="AD24" s="55" t="s">
        <v>2749</v>
      </c>
      <c r="AE24" s="55" t="s">
        <v>2766</v>
      </c>
      <c r="AF24" s="55" t="str">
        <f>VLOOKUP(AnalizaCzyste[[#This Row],[Jak się nazywa uczelnia którą ukończyłeś? (proszę o wybranie jednej uczelni podlegającej ocenie)]],KategorieUczelni[],3,0)</f>
        <v>Nietechniczna</v>
      </c>
      <c r="AG24" s="55" t="str">
        <f>MID(AnalizaCzyste[[#This Row],[Info metryczkowe]],2,40)</f>
        <v>A_R_U; 5; k; F; t/n)</v>
      </c>
      <c r="AH24" s="55"/>
      <c r="AI24" s="1" t="s">
        <v>123</v>
      </c>
      <c r="AY24" s="56" t="s">
        <v>124</v>
      </c>
      <c r="AZ24" t="s">
        <v>2269</v>
      </c>
      <c r="BA24" t="str">
        <f>VLOOKUP(AnalizaCzyste[[#This Row],[Jak się nazywa uczelnia którą ukończyłeś? (proszę o wybranie jednej uczelni podlegającej ocenie)]],KategorieUczelni[],2,0)</f>
        <v>Publiczna</v>
      </c>
      <c r="BB24">
        <v>1985</v>
      </c>
      <c r="BC24" t="s">
        <v>148</v>
      </c>
      <c r="BD24" t="s">
        <v>391</v>
      </c>
      <c r="BE24" t="s">
        <v>150</v>
      </c>
      <c r="BF24" t="s">
        <v>150</v>
      </c>
      <c r="BG24" t="s">
        <v>169</v>
      </c>
      <c r="BH24" t="s">
        <v>236</v>
      </c>
      <c r="BI24" t="s">
        <v>236</v>
      </c>
      <c r="BJ24">
        <v>0</v>
      </c>
      <c r="BK24" t="s">
        <v>152</v>
      </c>
      <c r="BL24" t="s">
        <v>152</v>
      </c>
      <c r="BM24" t="s">
        <v>1228</v>
      </c>
      <c r="BN24" t="s">
        <v>1229</v>
      </c>
      <c r="BO24" t="s">
        <v>1229</v>
      </c>
      <c r="BP24" t="s">
        <v>157</v>
      </c>
      <c r="BR24" s="56" t="s">
        <v>159</v>
      </c>
      <c r="BS24">
        <v>2</v>
      </c>
      <c r="BT24" t="s">
        <v>1230</v>
      </c>
      <c r="BU24">
        <v>2005</v>
      </c>
      <c r="BV24" t="s">
        <v>148</v>
      </c>
      <c r="BW24" t="s">
        <v>1231</v>
      </c>
      <c r="BX24" t="s">
        <v>169</v>
      </c>
      <c r="BY24" t="s">
        <v>169</v>
      </c>
      <c r="BZ24" t="s">
        <v>169</v>
      </c>
      <c r="CA24" t="s">
        <v>236</v>
      </c>
      <c r="CB24" t="s">
        <v>236</v>
      </c>
      <c r="CC24">
        <v>0</v>
      </c>
      <c r="CD24" t="s">
        <v>1232</v>
      </c>
      <c r="CE24" t="s">
        <v>157</v>
      </c>
      <c r="CH24" t="s">
        <v>166</v>
      </c>
      <c r="CI24" t="s">
        <v>1233</v>
      </c>
      <c r="CJ24">
        <v>2008</v>
      </c>
      <c r="CK24" t="s">
        <v>148</v>
      </c>
      <c r="CL24" t="s">
        <v>1234</v>
      </c>
      <c r="CM24" t="s">
        <v>169</v>
      </c>
      <c r="CN24" t="s">
        <v>169</v>
      </c>
      <c r="CO24" t="s">
        <v>169</v>
      </c>
      <c r="CP24" t="s">
        <v>128</v>
      </c>
      <c r="CQ24" t="s">
        <v>162</v>
      </c>
      <c r="CR24" t="s">
        <v>1235</v>
      </c>
      <c r="CS24" t="s">
        <v>1236</v>
      </c>
      <c r="CT24" t="s">
        <v>157</v>
      </c>
      <c r="CW24" t="s">
        <v>173</v>
      </c>
      <c r="DL24" s="1" t="s">
        <v>123</v>
      </c>
      <c r="DV24" s="1" t="s">
        <v>123</v>
      </c>
      <c r="EF24" s="56" t="s">
        <v>174</v>
      </c>
      <c r="EG24" t="s">
        <v>394</v>
      </c>
      <c r="EK24" t="s">
        <v>1230</v>
      </c>
      <c r="EL24" t="s">
        <v>150</v>
      </c>
      <c r="EM24" t="s">
        <v>150</v>
      </c>
      <c r="EN24" t="s">
        <v>150</v>
      </c>
      <c r="EO24" t="s">
        <v>150</v>
      </c>
      <c r="EP24" t="s">
        <v>150</v>
      </c>
      <c r="EQ24" t="s">
        <v>169</v>
      </c>
      <c r="ER24" t="s">
        <v>150</v>
      </c>
      <c r="ES24">
        <v>20</v>
      </c>
      <c r="ET24">
        <v>5</v>
      </c>
      <c r="EU24">
        <v>0</v>
      </c>
      <c r="EV24">
        <v>30</v>
      </c>
      <c r="EW24">
        <v>25</v>
      </c>
      <c r="EX24">
        <v>10</v>
      </c>
      <c r="EY24">
        <v>10</v>
      </c>
      <c r="FA24">
        <v>10</v>
      </c>
      <c r="FB24">
        <v>5</v>
      </c>
      <c r="FC24">
        <v>0</v>
      </c>
      <c r="FD24">
        <v>25</v>
      </c>
      <c r="FE24">
        <v>25</v>
      </c>
      <c r="FF24">
        <v>5</v>
      </c>
      <c r="FG24">
        <v>30</v>
      </c>
      <c r="FI24" s="1" t="s">
        <v>123</v>
      </c>
      <c r="GI24" s="1" t="s">
        <v>123</v>
      </c>
      <c r="HQ24" t="s">
        <v>1237</v>
      </c>
      <c r="HR24" t="s">
        <v>1229</v>
      </c>
      <c r="HS24" t="s">
        <v>1229</v>
      </c>
      <c r="HT24" t="s">
        <v>140</v>
      </c>
      <c r="HU24">
        <v>1958</v>
      </c>
      <c r="HV24" t="str">
        <f>VLOOKUP(AnalizaCzyste[[#This Row],[Rok urodzenia]],KategorieWiekowe[],2,1)</f>
        <v>56–65 lat</v>
      </c>
      <c r="HW24" t="s">
        <v>141</v>
      </c>
    </row>
    <row r="25" spans="1:235" ht="56.35" customHeight="1" x14ac:dyDescent="0.45">
      <c r="A25" s="61">
        <v>23</v>
      </c>
      <c r="B25" s="61">
        <f>_xlfn.IFNA(VLOOKUP(AnalizaCzyste[[#This Row],[Zakończono wypełnianie]],Zakończone[],2,0),"BRAK")</f>
        <v>80</v>
      </c>
      <c r="C25" s="61">
        <f t="shared" si="0"/>
        <v>36</v>
      </c>
      <c r="D25" s="61" t="s">
        <v>1239</v>
      </c>
      <c r="E25" s="61" t="s">
        <v>1240</v>
      </c>
      <c r="F25" s="61">
        <v>356</v>
      </c>
      <c r="G25" s="59" t="s">
        <v>2292</v>
      </c>
      <c r="H25" s="59" t="s">
        <v>2292</v>
      </c>
      <c r="I25" s="59" t="s">
        <v>2663</v>
      </c>
      <c r="J25" s="59" t="str">
        <f>"("&amp;"ID:"&amp;AnalizaCzyste[[#This Row],[Lp. wywiadu]]&amp;"; "&amp;AnalizaCzyste[[#This Row],[Czy kierunek techniczny?]]&amp;"; "&amp;MID(AnalizaCzyste[[#This Row],[Info metryczkowe]],2,40)</f>
        <v>(ID:23; NTech; A_WŁ; 4; m; E; t/n)</v>
      </c>
      <c r="K25" s="55" t="s">
        <v>2670</v>
      </c>
      <c r="L25" s="55" t="s">
        <v>2671</v>
      </c>
      <c r="M25" s="55"/>
      <c r="N25" s="55" t="s">
        <v>2669</v>
      </c>
      <c r="O25" s="55" t="s">
        <v>2503</v>
      </c>
      <c r="P25" s="55" t="s">
        <v>2668</v>
      </c>
      <c r="Q25" s="55" t="s">
        <v>2667</v>
      </c>
      <c r="R25" s="55" t="s">
        <v>2538</v>
      </c>
      <c r="S25" s="60" t="s">
        <v>2666</v>
      </c>
      <c r="T25" s="60" t="s">
        <v>2665</v>
      </c>
      <c r="U25" s="62" t="s">
        <v>2296</v>
      </c>
      <c r="V25" s="62" t="s">
        <v>2297</v>
      </c>
      <c r="W25" s="62" t="s">
        <v>2769</v>
      </c>
      <c r="X25" s="62"/>
      <c r="Y25" s="62"/>
      <c r="Z25" s="62"/>
      <c r="AA25" s="62"/>
      <c r="AB25" s="62"/>
      <c r="AC25" s="60" t="s">
        <v>2664</v>
      </c>
      <c r="AD25" s="55" t="s">
        <v>2750</v>
      </c>
      <c r="AE25" s="55" t="s">
        <v>2766</v>
      </c>
      <c r="AF25" s="55" t="str">
        <f>VLOOKUP(AnalizaCzyste[[#This Row],[Jak się nazywa uczelnia którą ukończyłeś? (proszę o wybranie jednej uczelni podlegającej ocenie)]],KategorieUczelni[],3,0)</f>
        <v>Nietechniczna</v>
      </c>
      <c r="AG25" s="55" t="str">
        <f>MID(AnalizaCzyste[[#This Row],[Info metryczkowe]],2,40)</f>
        <v>A_WŁ; 4; m; E; t/n)</v>
      </c>
      <c r="AH25" s="55"/>
      <c r="AI25" s="1" t="s">
        <v>123</v>
      </c>
      <c r="AY25" s="56" t="s">
        <v>124</v>
      </c>
      <c r="AZ25" t="s">
        <v>223</v>
      </c>
      <c r="BA25" t="str">
        <f>VLOOKUP(AnalizaCzyste[[#This Row],[Jak się nazywa uczelnia którą ukończyłeś? (proszę o wybranie jednej uczelni podlegającej ocenie)]],KategorieUczelni[],2,0)</f>
        <v>Publiczna</v>
      </c>
      <c r="BB25">
        <v>1997</v>
      </c>
      <c r="BC25" t="s">
        <v>148</v>
      </c>
      <c r="BD25" t="s">
        <v>161</v>
      </c>
      <c r="BE25" t="s">
        <v>128</v>
      </c>
      <c r="BF25" t="s">
        <v>128</v>
      </c>
      <c r="BG25" t="s">
        <v>162</v>
      </c>
      <c r="BH25" t="s">
        <v>162</v>
      </c>
      <c r="BI25" t="s">
        <v>162</v>
      </c>
      <c r="BJ25">
        <v>1</v>
      </c>
      <c r="BK25" t="s">
        <v>131</v>
      </c>
      <c r="BL25" t="s">
        <v>131</v>
      </c>
      <c r="BM25" t="s">
        <v>1241</v>
      </c>
      <c r="BN25" t="s">
        <v>1242</v>
      </c>
      <c r="BO25" t="s">
        <v>1243</v>
      </c>
      <c r="BP25" t="s">
        <v>157</v>
      </c>
      <c r="BQ25" t="s">
        <v>1244</v>
      </c>
      <c r="BR25" s="1" t="s">
        <v>123</v>
      </c>
      <c r="DL25" s="1" t="s">
        <v>123</v>
      </c>
      <c r="DV25" s="1" t="s">
        <v>123</v>
      </c>
      <c r="EF25" s="1" t="s">
        <v>123</v>
      </c>
      <c r="FI25" s="1" t="s">
        <v>123</v>
      </c>
      <c r="FJ25" t="s">
        <v>178</v>
      </c>
      <c r="FK25" t="s">
        <v>132</v>
      </c>
      <c r="GI25" s="57" t="s">
        <v>2487</v>
      </c>
      <c r="HQ25" t="s">
        <v>1245</v>
      </c>
      <c r="HR25" t="s">
        <v>1246</v>
      </c>
      <c r="HS25" t="s">
        <v>1247</v>
      </c>
      <c r="HT25" t="s">
        <v>186</v>
      </c>
      <c r="HU25">
        <v>1974</v>
      </c>
      <c r="HV25" t="str">
        <f>VLOOKUP(AnalizaCzyste[[#This Row],[Rok urodzenia]],KategorieWiekowe[],2,1)</f>
        <v>46–55 lat</v>
      </c>
      <c r="HW25" t="s">
        <v>398</v>
      </c>
      <c r="HY25" t="s">
        <v>1248</v>
      </c>
    </row>
    <row r="26" spans="1:235" ht="56.35" customHeight="1" x14ac:dyDescent="0.45">
      <c r="A26" s="61">
        <v>24</v>
      </c>
      <c r="B26" s="61">
        <f>_xlfn.IFNA(VLOOKUP(AnalizaCzyste[[#This Row],[Zakończono wypełnianie]],Zakończone[],2,0),"BRAK")</f>
        <v>81</v>
      </c>
      <c r="C26" s="61">
        <f t="shared" si="0"/>
        <v>42</v>
      </c>
      <c r="D26" s="61" t="s">
        <v>1252</v>
      </c>
      <c r="E26" s="61" t="s">
        <v>1253</v>
      </c>
      <c r="F26" s="61">
        <v>367</v>
      </c>
      <c r="G26" s="59" t="s">
        <v>2292</v>
      </c>
      <c r="H26" s="59" t="s">
        <v>2292</v>
      </c>
      <c r="I26" s="59" t="s">
        <v>2462</v>
      </c>
      <c r="J26" s="59" t="str">
        <f>"("&amp;"ID:"&amp;AnalizaCzyste[[#This Row],[Lp. wywiadu]]&amp;"; "&amp;AnalizaCzyste[[#This Row],[Czy kierunek techniczny?]]&amp;"; "&amp;MID(AnalizaCzyste[[#This Row],[Info metryczkowe]],2,40)</f>
        <v>(ID:24; NTech; A_W; 3; m; F; t/n)</v>
      </c>
      <c r="K26" s="55" t="s">
        <v>2678</v>
      </c>
      <c r="L26" s="55"/>
      <c r="M26" s="55"/>
      <c r="N26" s="55" t="s">
        <v>2677</v>
      </c>
      <c r="O26" s="55" t="s">
        <v>2503</v>
      </c>
      <c r="P26" s="55" t="s">
        <v>2676</v>
      </c>
      <c r="Q26" s="55" t="s">
        <v>2675</v>
      </c>
      <c r="R26" s="55" t="s">
        <v>2538</v>
      </c>
      <c r="S26" s="60" t="s">
        <v>2674</v>
      </c>
      <c r="T26" s="58" t="s">
        <v>2673</v>
      </c>
      <c r="U26" s="62" t="s">
        <v>2780</v>
      </c>
      <c r="V26" s="62" t="s">
        <v>2780</v>
      </c>
      <c r="W26" s="62" t="s">
        <v>2780</v>
      </c>
      <c r="X26" s="62" t="s">
        <v>2780</v>
      </c>
      <c r="Y26" s="62" t="s">
        <v>2780</v>
      </c>
      <c r="Z26" s="62" t="s">
        <v>2780</v>
      </c>
      <c r="AA26" s="62" t="s">
        <v>2780</v>
      </c>
      <c r="AB26" s="62" t="s">
        <v>2780</v>
      </c>
      <c r="AC26" s="60" t="s">
        <v>2672</v>
      </c>
      <c r="AD26" s="55" t="s">
        <v>2751</v>
      </c>
      <c r="AE26" s="55" t="s">
        <v>2766</v>
      </c>
      <c r="AF26" s="55" t="str">
        <f>VLOOKUP(AnalizaCzyste[[#This Row],[Jak się nazywa uczelnia którą ukończyłeś? (proszę o wybranie jednej uczelni podlegającej ocenie)]],KategorieUczelni[],3,0)</f>
        <v>Nietechniczna</v>
      </c>
      <c r="AG26" s="55" t="str">
        <f>MID(AnalizaCzyste[[#This Row],[Info metryczkowe]],2,40)</f>
        <v>A_W; 3; m; F; t/n)</v>
      </c>
      <c r="AH26" s="55"/>
      <c r="AI26" s="1" t="s">
        <v>123</v>
      </c>
      <c r="AY26" s="56" t="s">
        <v>124</v>
      </c>
      <c r="AZ26" t="s">
        <v>223</v>
      </c>
      <c r="BA26" t="str">
        <f>VLOOKUP(AnalizaCzyste[[#This Row],[Jak się nazywa uczelnia którą ukończyłeś? (proszę o wybranie jednej uczelni podlegającej ocenie)]],KategorieUczelni[],2,0)</f>
        <v>Publiczna</v>
      </c>
      <c r="BB26">
        <v>2006</v>
      </c>
      <c r="BC26" t="s">
        <v>148</v>
      </c>
      <c r="BD26" t="s">
        <v>1050</v>
      </c>
      <c r="BE26" t="s">
        <v>162</v>
      </c>
      <c r="BF26" t="s">
        <v>162</v>
      </c>
      <c r="BG26" t="s">
        <v>169</v>
      </c>
      <c r="BH26" t="s">
        <v>236</v>
      </c>
      <c r="BI26" t="s">
        <v>151</v>
      </c>
      <c r="BJ26">
        <v>3</v>
      </c>
      <c r="BK26" t="s">
        <v>131</v>
      </c>
      <c r="BL26" t="s">
        <v>302</v>
      </c>
      <c r="BM26" t="s">
        <v>1254</v>
      </c>
      <c r="BN26" t="s">
        <v>1255</v>
      </c>
      <c r="BO26" t="s">
        <v>1256</v>
      </c>
      <c r="BP26" t="s">
        <v>157</v>
      </c>
      <c r="BQ26" t="s">
        <v>1257</v>
      </c>
      <c r="BR26" s="1" t="s">
        <v>123</v>
      </c>
      <c r="DL26" s="1" t="s">
        <v>123</v>
      </c>
      <c r="DV26" s="56" t="s">
        <v>214</v>
      </c>
      <c r="DW26" t="s">
        <v>191</v>
      </c>
      <c r="DX26" t="s">
        <v>308</v>
      </c>
      <c r="DY26" t="s">
        <v>169</v>
      </c>
      <c r="DZ26" t="s">
        <v>150</v>
      </c>
      <c r="EA26" t="s">
        <v>150</v>
      </c>
      <c r="EB26" t="s">
        <v>169</v>
      </c>
      <c r="EC26" t="s">
        <v>162</v>
      </c>
      <c r="ED26" t="s">
        <v>162</v>
      </c>
      <c r="EE26" t="s">
        <v>1258</v>
      </c>
      <c r="EF26" s="1" t="s">
        <v>123</v>
      </c>
      <c r="FI26" s="1" t="s">
        <v>123</v>
      </c>
      <c r="GI26" s="1" t="s">
        <v>123</v>
      </c>
      <c r="HQ26" t="s">
        <v>1259</v>
      </c>
      <c r="HR26" t="s">
        <v>1260</v>
      </c>
      <c r="HS26" t="s">
        <v>1261</v>
      </c>
      <c r="HT26" t="s">
        <v>186</v>
      </c>
      <c r="HU26">
        <v>1982</v>
      </c>
      <c r="HV26" t="str">
        <f>VLOOKUP(AnalizaCzyste[[#This Row],[Rok urodzenia]],KategorieWiekowe[],2,1)</f>
        <v>36–45 lat</v>
      </c>
      <c r="HW26" t="s">
        <v>141</v>
      </c>
    </row>
    <row r="27" spans="1:235" ht="56.35" customHeight="1" x14ac:dyDescent="0.45">
      <c r="A27" s="61">
        <v>25</v>
      </c>
      <c r="B27" s="61">
        <f>_xlfn.IFNA(VLOOKUP(AnalizaCzyste[[#This Row],[Zakończono wypełnianie]],Zakończone[],2,0),"BRAK")</f>
        <v>82</v>
      </c>
      <c r="C27" s="61">
        <f t="shared" si="0"/>
        <v>68</v>
      </c>
      <c r="D27" s="61" t="s">
        <v>1266</v>
      </c>
      <c r="E27" s="61" t="s">
        <v>1267</v>
      </c>
      <c r="F27" s="61">
        <v>2127</v>
      </c>
      <c r="G27" s="59" t="s">
        <v>2292</v>
      </c>
      <c r="H27" s="59"/>
      <c r="I27" s="59" t="s">
        <v>2479</v>
      </c>
      <c r="J27" s="59" t="str">
        <f>"("&amp;"ID:"&amp;AnalizaCzyste[[#This Row],[Lp. wywiadu]]&amp;"; "&amp;AnalizaCzyste[[#This Row],[Czy kierunek techniczny?]]&amp;"; "&amp;MID(AnalizaCzyste[[#This Row],[Info metryczkowe]],2,40)</f>
        <v>(ID:25; Tech; A_R_W_P; 5; m; E; t/t)</v>
      </c>
      <c r="K27" s="55" t="s">
        <v>2682</v>
      </c>
      <c r="L27" s="55"/>
      <c r="M27" s="55"/>
      <c r="N27" s="55" t="s">
        <v>2504</v>
      </c>
      <c r="O27" s="55" t="s">
        <v>2503</v>
      </c>
      <c r="P27" s="55" t="s">
        <v>2502</v>
      </c>
      <c r="Q27" s="55" t="s">
        <v>2501</v>
      </c>
      <c r="R27" s="55" t="s">
        <v>2500</v>
      </c>
      <c r="S27" s="60" t="s">
        <v>2681</v>
      </c>
      <c r="T27" s="60" t="s">
        <v>2680</v>
      </c>
      <c r="U27" s="62"/>
      <c r="V27" s="62"/>
      <c r="W27" s="62" t="s">
        <v>2769</v>
      </c>
      <c r="X27" s="62"/>
      <c r="Y27" s="62"/>
      <c r="Z27" s="62"/>
      <c r="AA27" s="62"/>
      <c r="AB27" s="62"/>
      <c r="AC27" s="60" t="s">
        <v>2679</v>
      </c>
      <c r="AD27" s="55" t="s">
        <v>2752</v>
      </c>
      <c r="AE27" s="55" t="s">
        <v>2763</v>
      </c>
      <c r="AF27" s="55" t="str">
        <f>VLOOKUP(AnalizaCzyste[[#This Row],[Jak się nazywa uczelnia którą ukończyłeś? (proszę o wybranie jednej uczelni podlegającej ocenie)]],KategorieUczelni[],3,0)</f>
        <v>Techniczna</v>
      </c>
      <c r="AG27" s="55" t="str">
        <f>MID(AnalizaCzyste[[#This Row],[Info metryczkowe]],2,40)</f>
        <v>A_R_W_P; 5; m; E; t/t)</v>
      </c>
      <c r="AH27" s="55"/>
      <c r="AI27" s="1" t="s">
        <v>123</v>
      </c>
      <c r="AY27" s="56" t="s">
        <v>124</v>
      </c>
      <c r="AZ27" t="s">
        <v>191</v>
      </c>
      <c r="BA27" t="str">
        <f>VLOOKUP(AnalizaCzyste[[#This Row],[Jak się nazywa uczelnia którą ukończyłeś? (proszę o wybranie jednej uczelni podlegającej ocenie)]],KategorieUczelni[],2,0)</f>
        <v>Publiczna</v>
      </c>
      <c r="BB27">
        <v>1982</v>
      </c>
      <c r="BC27" t="s">
        <v>126</v>
      </c>
      <c r="BD27" t="s">
        <v>1268</v>
      </c>
      <c r="BE27" t="s">
        <v>169</v>
      </c>
      <c r="BF27" t="s">
        <v>169</v>
      </c>
      <c r="BG27" t="s">
        <v>169</v>
      </c>
      <c r="BH27" t="s">
        <v>169</v>
      </c>
      <c r="BI27" t="s">
        <v>169</v>
      </c>
      <c r="BJ27">
        <v>0</v>
      </c>
      <c r="BK27" t="s">
        <v>153</v>
      </c>
      <c r="BL27" t="s">
        <v>759</v>
      </c>
      <c r="BM27" t="s">
        <v>1269</v>
      </c>
      <c r="BN27" t="s">
        <v>1270</v>
      </c>
      <c r="BO27" t="s">
        <v>386</v>
      </c>
      <c r="BQ27" t="s">
        <v>1271</v>
      </c>
      <c r="BR27" s="56" t="s">
        <v>159</v>
      </c>
      <c r="BS27">
        <v>1</v>
      </c>
      <c r="BT27" t="s">
        <v>1290</v>
      </c>
      <c r="BU27">
        <v>2011</v>
      </c>
      <c r="BV27" t="s">
        <v>148</v>
      </c>
      <c r="BW27" t="s">
        <v>1050</v>
      </c>
      <c r="BX27" t="s">
        <v>169</v>
      </c>
      <c r="BY27" t="s">
        <v>169</v>
      </c>
      <c r="BZ27" t="s">
        <v>169</v>
      </c>
      <c r="CA27" t="s">
        <v>169</v>
      </c>
      <c r="CB27" t="s">
        <v>169</v>
      </c>
      <c r="CC27" t="s">
        <v>1273</v>
      </c>
      <c r="CD27" t="s">
        <v>1274</v>
      </c>
      <c r="CE27" t="s">
        <v>157</v>
      </c>
      <c r="CG27" t="s">
        <v>1275</v>
      </c>
      <c r="CH27" t="s">
        <v>173</v>
      </c>
      <c r="DL27" s="1" t="s">
        <v>123</v>
      </c>
      <c r="DV27" s="56" t="s">
        <v>214</v>
      </c>
      <c r="DW27" t="s">
        <v>191</v>
      </c>
      <c r="DX27" t="s">
        <v>1276</v>
      </c>
      <c r="DY27" t="s">
        <v>169</v>
      </c>
      <c r="DZ27" t="s">
        <v>169</v>
      </c>
      <c r="EA27" t="s">
        <v>169</v>
      </c>
      <c r="EB27" t="s">
        <v>150</v>
      </c>
      <c r="EC27" t="s">
        <v>169</v>
      </c>
      <c r="ED27" t="s">
        <v>169</v>
      </c>
      <c r="EE27" t="s">
        <v>1277</v>
      </c>
      <c r="EF27" s="1" t="s">
        <v>123</v>
      </c>
      <c r="FI27" s="56" t="s">
        <v>177</v>
      </c>
      <c r="FJ27" t="s">
        <v>178</v>
      </c>
      <c r="FK27">
        <v>1</v>
      </c>
      <c r="FL27" t="s">
        <v>747</v>
      </c>
      <c r="FM27" t="s">
        <v>169</v>
      </c>
      <c r="FN27" t="s">
        <v>169</v>
      </c>
      <c r="FO27" t="s">
        <v>151</v>
      </c>
      <c r="FP27" t="s">
        <v>178</v>
      </c>
      <c r="FQ27" t="s">
        <v>1278</v>
      </c>
      <c r="FR27" t="s">
        <v>1279</v>
      </c>
      <c r="FS27" t="s">
        <v>173</v>
      </c>
      <c r="GI27" s="1" t="s">
        <v>123</v>
      </c>
      <c r="HQ27" t="s">
        <v>1280</v>
      </c>
      <c r="HR27" t="s">
        <v>1281</v>
      </c>
      <c r="HS27" t="s">
        <v>1282</v>
      </c>
      <c r="HT27" t="s">
        <v>186</v>
      </c>
      <c r="HU27" s="42">
        <v>1956</v>
      </c>
      <c r="HV27" s="42" t="str">
        <f>VLOOKUP(AnalizaCzyste[[#This Row],[Rok urodzenia]],KategorieWiekowe[],2,1)</f>
        <v>56–65 lat</v>
      </c>
      <c r="HW27" t="s">
        <v>398</v>
      </c>
      <c r="HY27" t="s">
        <v>1284</v>
      </c>
      <c r="HZ27" t="s">
        <v>1285</v>
      </c>
    </row>
    <row r="28" spans="1:235" ht="56.35" customHeight="1" x14ac:dyDescent="0.45">
      <c r="A28" s="61">
        <v>26</v>
      </c>
      <c r="B28" s="61">
        <f>_xlfn.IFNA(VLOOKUP(AnalizaCzyste[[#This Row],[Zakończono wypełnianie]],Zakończone[],2,0),"BRAK")</f>
        <v>83</v>
      </c>
      <c r="C28" s="61">
        <f t="shared" si="0"/>
        <v>44</v>
      </c>
      <c r="D28" s="61" t="s">
        <v>1288</v>
      </c>
      <c r="E28" s="61" t="s">
        <v>1289</v>
      </c>
      <c r="F28" s="61">
        <v>1208727</v>
      </c>
      <c r="G28" s="59" t="s">
        <v>2292</v>
      </c>
      <c r="H28" s="59" t="s">
        <v>2292</v>
      </c>
      <c r="I28" s="59" t="s">
        <v>2463</v>
      </c>
      <c r="J28" s="59" t="str">
        <f>"("&amp;"ID:"&amp;AnalizaCzyste[[#This Row],[Lp. wywiadu]]&amp;"; "&amp;AnalizaCzyste[[#This Row],[Czy kierunek techniczny?]]&amp;"; "&amp;MID(AnalizaCzyste[[#This Row],[Info metryczkowe]],2,40)</f>
        <v>(ID:26; NTech; A_P; 2; m; D; t/t)</v>
      </c>
      <c r="K28" s="55"/>
      <c r="L28" s="55"/>
      <c r="M28" s="55"/>
      <c r="N28" s="55"/>
      <c r="O28" s="55" t="s">
        <v>2503</v>
      </c>
      <c r="P28" s="55" t="s">
        <v>2686</v>
      </c>
      <c r="Q28" s="55" t="s">
        <v>2686</v>
      </c>
      <c r="R28" s="55" t="s">
        <v>2538</v>
      </c>
      <c r="S28" s="60" t="s">
        <v>2685</v>
      </c>
      <c r="T28" s="60" t="s">
        <v>2684</v>
      </c>
      <c r="U28" s="62" t="s">
        <v>2296</v>
      </c>
      <c r="V28" s="62" t="s">
        <v>2297</v>
      </c>
      <c r="W28" s="62" t="s">
        <v>2769</v>
      </c>
      <c r="X28" s="62" t="s">
        <v>2771</v>
      </c>
      <c r="Y28" s="62"/>
      <c r="Z28" s="62"/>
      <c r="AA28" s="62"/>
      <c r="AB28" s="62"/>
      <c r="AC28" s="60" t="s">
        <v>2683</v>
      </c>
      <c r="AD28" s="55" t="s">
        <v>2753</v>
      </c>
      <c r="AE28" s="55" t="s">
        <v>2766</v>
      </c>
      <c r="AF28" s="55" t="str">
        <f>VLOOKUP(AnalizaCzyste[[#This Row],[Jak się nazywa uczelnia którą ukończyłeś? (proszę o wybranie jednej uczelni podlegającej ocenie)]],KategorieUczelni[],3,0)</f>
        <v>Nietechniczna</v>
      </c>
      <c r="AG28" s="55" t="str">
        <f>MID(AnalizaCzyste[[#This Row],[Info metryczkowe]],2,40)</f>
        <v>A_P; 2; m; D; t/t)</v>
      </c>
      <c r="AH28" s="55"/>
      <c r="AI28" s="1" t="s">
        <v>123</v>
      </c>
      <c r="AY28" s="56" t="s">
        <v>124</v>
      </c>
      <c r="AZ28" t="s">
        <v>1290</v>
      </c>
      <c r="BA28" t="str">
        <f>VLOOKUP(AnalizaCzyste[[#This Row],[Jak się nazywa uczelnia którą ukończyłeś? (proszę o wybranie jednej uczelni podlegającej ocenie)]],KategorieUczelni[],2,0)</f>
        <v>Niepubliczna</v>
      </c>
      <c r="BB28">
        <v>2012</v>
      </c>
      <c r="BC28" t="s">
        <v>148</v>
      </c>
      <c r="BD28" t="s">
        <v>1050</v>
      </c>
      <c r="BE28" t="s">
        <v>162</v>
      </c>
      <c r="BF28" t="s">
        <v>151</v>
      </c>
      <c r="BG28" t="s">
        <v>162</v>
      </c>
      <c r="BH28" t="s">
        <v>151</v>
      </c>
      <c r="BI28" t="s">
        <v>128</v>
      </c>
      <c r="BJ28" t="s">
        <v>237</v>
      </c>
      <c r="BK28" t="s">
        <v>132</v>
      </c>
      <c r="BL28" t="s">
        <v>132</v>
      </c>
      <c r="BM28" t="s">
        <v>1291</v>
      </c>
      <c r="BN28" t="s">
        <v>1292</v>
      </c>
      <c r="BO28" t="s">
        <v>1293</v>
      </c>
      <c r="BP28" t="s">
        <v>892</v>
      </c>
      <c r="BR28" s="1" t="s">
        <v>123</v>
      </c>
      <c r="DL28" s="1" t="s">
        <v>123</v>
      </c>
      <c r="DV28" s="1" t="s">
        <v>123</v>
      </c>
      <c r="EF28" s="1" t="s">
        <v>123</v>
      </c>
      <c r="FI28" s="56" t="s">
        <v>177</v>
      </c>
      <c r="FJ28" t="s">
        <v>178</v>
      </c>
      <c r="FK28" t="s">
        <v>132</v>
      </c>
      <c r="FL28" t="s">
        <v>191</v>
      </c>
      <c r="FM28" t="s">
        <v>162</v>
      </c>
      <c r="FN28" t="s">
        <v>151</v>
      </c>
      <c r="FO28" t="s">
        <v>128</v>
      </c>
      <c r="FP28" t="s">
        <v>178</v>
      </c>
      <c r="FQ28" t="s">
        <v>1294</v>
      </c>
      <c r="FR28" t="s">
        <v>1295</v>
      </c>
      <c r="FS28" t="s">
        <v>173</v>
      </c>
      <c r="GI28" s="1" t="s">
        <v>123</v>
      </c>
      <c r="HQ28" t="s">
        <v>1296</v>
      </c>
      <c r="HR28" t="s">
        <v>1297</v>
      </c>
      <c r="HS28" t="s">
        <v>1298</v>
      </c>
      <c r="HT28" t="s">
        <v>186</v>
      </c>
      <c r="HU28">
        <v>1987</v>
      </c>
      <c r="HV28" t="str">
        <f>VLOOKUP(AnalizaCzyste[[#This Row],[Rok urodzenia]],KategorieWiekowe[],2,1)</f>
        <v>26–35 lat</v>
      </c>
      <c r="HW28" t="s">
        <v>246</v>
      </c>
      <c r="HY28" t="s">
        <v>1299</v>
      </c>
      <c r="HZ28" t="s">
        <v>1300</v>
      </c>
    </row>
    <row r="29" spans="1:235" ht="56.35" customHeight="1" x14ac:dyDescent="0.45">
      <c r="A29" s="61">
        <v>27</v>
      </c>
      <c r="B29" s="61">
        <f>_xlfn.IFNA(VLOOKUP(AnalizaCzyste[[#This Row],[Zakończono wypełnianie]],Zakończone[],2,0),"BRAK")</f>
        <v>134</v>
      </c>
      <c r="C29" s="61">
        <f t="shared" si="0"/>
        <v>62</v>
      </c>
      <c r="D29" s="61" t="s">
        <v>2015</v>
      </c>
      <c r="E29" s="61" t="s">
        <v>2016</v>
      </c>
      <c r="F29" s="61">
        <v>1430</v>
      </c>
      <c r="G29" s="59" t="s">
        <v>2292</v>
      </c>
      <c r="H29" s="59" t="s">
        <v>2292</v>
      </c>
      <c r="I29" s="59" t="s">
        <v>2482</v>
      </c>
      <c r="J29" s="59" t="str">
        <f>"("&amp;"ID:"&amp;AnalizaCzyste[[#This Row],[Lp. wywiadu]]&amp;"; "&amp;AnalizaCzyste[[#This Row],[Czy kierunek techniczny?]]&amp;"; "&amp;MID(AnalizaCzyste[[#This Row],[Info metryczkowe]],2,40)</f>
        <v>(ID:27; Tech; A_R_WŁ; 4; m; C; t/n)</v>
      </c>
      <c r="K29" s="55" t="s">
        <v>2693</v>
      </c>
      <c r="L29" s="55"/>
      <c r="M29" s="55"/>
      <c r="N29" s="55"/>
      <c r="O29" s="55" t="s">
        <v>2503</v>
      </c>
      <c r="P29" s="55" t="s">
        <v>2692</v>
      </c>
      <c r="Q29" s="55" t="s">
        <v>2691</v>
      </c>
      <c r="R29" s="55" t="s">
        <v>2690</v>
      </c>
      <c r="S29" s="60" t="s">
        <v>2689</v>
      </c>
      <c r="T29" s="60" t="s">
        <v>2688</v>
      </c>
      <c r="U29" s="62" t="s">
        <v>2296</v>
      </c>
      <c r="V29" s="62"/>
      <c r="W29" s="62" t="s">
        <v>2769</v>
      </c>
      <c r="X29" s="62"/>
      <c r="Y29" s="62"/>
      <c r="Z29" s="62"/>
      <c r="AA29" s="62"/>
      <c r="AB29" s="62"/>
      <c r="AC29" s="60" t="s">
        <v>2687</v>
      </c>
      <c r="AD29" s="55" t="s">
        <v>2754</v>
      </c>
      <c r="AE29" s="55" t="s">
        <v>2763</v>
      </c>
      <c r="AF29" s="55" t="str">
        <f>VLOOKUP(AnalizaCzyste[[#This Row],[Jak się nazywa uczelnia którą ukończyłeś? (proszę o wybranie jednej uczelni podlegającej ocenie)]],KategorieUczelni[],3,0)</f>
        <v>Techniczna</v>
      </c>
      <c r="AG29" s="55" t="str">
        <f>MID(AnalizaCzyste[[#This Row],[Info metryczkowe]],2,40)</f>
        <v>A_R_WŁ; 4; m; C; t/n)</v>
      </c>
      <c r="AH29" s="55"/>
      <c r="AI29" s="1" t="s">
        <v>123</v>
      </c>
      <c r="AY29" s="56" t="s">
        <v>124</v>
      </c>
      <c r="AZ29" t="s">
        <v>191</v>
      </c>
      <c r="BA29" t="str">
        <f>VLOOKUP(AnalizaCzyste[[#This Row],[Jak się nazywa uczelnia którą ukończyłeś? (proszę o wybranie jednej uczelni podlegającej ocenie)]],KategorieUczelni[],2,0)</f>
        <v>Publiczna</v>
      </c>
      <c r="BB29">
        <v>1989</v>
      </c>
      <c r="BC29" t="s">
        <v>126</v>
      </c>
      <c r="BD29" t="s">
        <v>2017</v>
      </c>
      <c r="BE29" t="s">
        <v>150</v>
      </c>
      <c r="BF29" t="s">
        <v>150</v>
      </c>
      <c r="BG29" t="s">
        <v>162</v>
      </c>
      <c r="BH29" t="s">
        <v>162</v>
      </c>
      <c r="BI29" t="s">
        <v>162</v>
      </c>
      <c r="BJ29">
        <v>0</v>
      </c>
      <c r="BK29" t="s">
        <v>226</v>
      </c>
      <c r="BL29" t="s">
        <v>226</v>
      </c>
      <c r="BM29" t="s">
        <v>2018</v>
      </c>
      <c r="BN29" t="s">
        <v>1229</v>
      </c>
      <c r="BO29" t="s">
        <v>1229</v>
      </c>
      <c r="BP29" t="s">
        <v>157</v>
      </c>
      <c r="BQ29" t="s">
        <v>1271</v>
      </c>
      <c r="BR29" s="56" t="s">
        <v>159</v>
      </c>
      <c r="BS29">
        <v>1</v>
      </c>
      <c r="BT29" t="s">
        <v>191</v>
      </c>
      <c r="BU29">
        <v>2016</v>
      </c>
      <c r="BV29" t="s">
        <v>126</v>
      </c>
      <c r="BW29" t="s">
        <v>2019</v>
      </c>
      <c r="BX29" t="s">
        <v>150</v>
      </c>
      <c r="BY29" t="s">
        <v>150</v>
      </c>
      <c r="BZ29" t="s">
        <v>151</v>
      </c>
      <c r="CA29" t="s">
        <v>128</v>
      </c>
      <c r="CB29" t="s">
        <v>162</v>
      </c>
      <c r="CC29" t="s">
        <v>2020</v>
      </c>
      <c r="CD29" t="s">
        <v>2021</v>
      </c>
      <c r="CE29" t="s">
        <v>157</v>
      </c>
      <c r="CH29" t="s">
        <v>173</v>
      </c>
      <c r="DL29" s="1" t="s">
        <v>123</v>
      </c>
      <c r="DV29" s="1" t="s">
        <v>123</v>
      </c>
      <c r="EF29" s="1" t="s">
        <v>123</v>
      </c>
      <c r="FI29" s="1" t="s">
        <v>123</v>
      </c>
      <c r="GI29" s="56" t="s">
        <v>2022</v>
      </c>
      <c r="GJ29" t="s">
        <v>2023</v>
      </c>
      <c r="GK29" t="s">
        <v>2024</v>
      </c>
      <c r="GL29">
        <v>1</v>
      </c>
      <c r="GM29" t="s">
        <v>191</v>
      </c>
      <c r="GN29" t="s">
        <v>150</v>
      </c>
      <c r="GO29" t="s">
        <v>150</v>
      </c>
      <c r="GP29" t="s">
        <v>150</v>
      </c>
      <c r="GQ29" t="s">
        <v>150</v>
      </c>
      <c r="GR29" t="s">
        <v>150</v>
      </c>
      <c r="GS29" t="s">
        <v>150</v>
      </c>
      <c r="GT29" t="s">
        <v>150</v>
      </c>
      <c r="GV29" t="s">
        <v>2025</v>
      </c>
      <c r="GW29" t="s">
        <v>173</v>
      </c>
      <c r="HQ29" t="s">
        <v>1229</v>
      </c>
      <c r="HR29" t="s">
        <v>1229</v>
      </c>
      <c r="HS29" t="s">
        <v>1229</v>
      </c>
      <c r="HT29" t="s">
        <v>186</v>
      </c>
      <c r="HU29">
        <v>1965</v>
      </c>
      <c r="HV29" t="str">
        <f>VLOOKUP(AnalizaCzyste[[#This Row],[Rok urodzenia]],KategorieWiekowe[],2,1)</f>
        <v>46–55 lat</v>
      </c>
      <c r="HW29" t="s">
        <v>220</v>
      </c>
      <c r="HY29" t="s">
        <v>2026</v>
      </c>
      <c r="IA29" t="s">
        <v>2027</v>
      </c>
    </row>
    <row r="30" spans="1:235" ht="56.35" customHeight="1" x14ac:dyDescent="0.45">
      <c r="A30" s="61">
        <v>28</v>
      </c>
      <c r="B30" s="61">
        <f>_xlfn.IFNA(VLOOKUP(AnalizaCzyste[[#This Row],[Zakończono wypełnianie]],Zakończone[],2,0),"BRAK")</f>
        <v>135</v>
      </c>
      <c r="C30" s="61">
        <f t="shared" si="0"/>
        <v>56</v>
      </c>
      <c r="D30" s="61" t="s">
        <v>2028</v>
      </c>
      <c r="E30" s="61" t="s">
        <v>2029</v>
      </c>
      <c r="F30" s="61">
        <v>721</v>
      </c>
      <c r="G30" s="59" t="s">
        <v>2292</v>
      </c>
      <c r="H30" s="59" t="s">
        <v>2292</v>
      </c>
      <c r="I30" s="59" t="s">
        <v>2483</v>
      </c>
      <c r="J30" s="59" t="str">
        <f>"("&amp;"ID:"&amp;AnalizaCzyste[[#This Row],[Lp. wywiadu]]&amp;"; "&amp;AnalizaCzyste[[#This Row],[Czy kierunek techniczny?]]&amp;"; "&amp;MID(AnalizaCzyste[[#This Row],[Info metryczkowe]],2,40)</f>
        <v>(ID:28; NTech; A_U; 5; m; F; t/n)</v>
      </c>
      <c r="K30" s="55" t="s">
        <v>2701</v>
      </c>
      <c r="L30" s="55"/>
      <c r="M30" s="55" t="s">
        <v>2700</v>
      </c>
      <c r="N30" s="55" t="s">
        <v>2699</v>
      </c>
      <c r="O30" s="55" t="s">
        <v>2503</v>
      </c>
      <c r="P30" s="55" t="s">
        <v>2698</v>
      </c>
      <c r="Q30" s="55" t="s">
        <v>2697</v>
      </c>
      <c r="R30" s="55" t="s">
        <v>2538</v>
      </c>
      <c r="S30" s="60" t="s">
        <v>2696</v>
      </c>
      <c r="T30" s="60" t="s">
        <v>2695</v>
      </c>
      <c r="U30" s="62" t="s">
        <v>2296</v>
      </c>
      <c r="V30" s="62" t="s">
        <v>2297</v>
      </c>
      <c r="W30" s="62" t="s">
        <v>2769</v>
      </c>
      <c r="X30" s="62"/>
      <c r="Y30" s="62" t="s">
        <v>2770</v>
      </c>
      <c r="Z30" s="62"/>
      <c r="AA30" s="62"/>
      <c r="AB30" s="62"/>
      <c r="AC30" s="60" t="s">
        <v>2694</v>
      </c>
      <c r="AD30" s="55" t="s">
        <v>2755</v>
      </c>
      <c r="AE30" s="55" t="s">
        <v>2766</v>
      </c>
      <c r="AF30" s="55" t="str">
        <f>VLOOKUP(AnalizaCzyste[[#This Row],[Jak się nazywa uczelnia którą ukończyłeś? (proszę o wybranie jednej uczelni podlegającej ocenie)]],KategorieUczelni[],3,0)</f>
        <v>Nietechniczna</v>
      </c>
      <c r="AG30" s="55" t="str">
        <f>MID(AnalizaCzyste[[#This Row],[Info metryczkowe]],2,40)</f>
        <v>A_U; 5; m; F; t/n)</v>
      </c>
      <c r="AH30" s="55"/>
      <c r="AI30" s="1" t="s">
        <v>123</v>
      </c>
      <c r="AY30" s="56" t="s">
        <v>124</v>
      </c>
      <c r="AZ30" t="s">
        <v>234</v>
      </c>
      <c r="BA30" t="str">
        <f>VLOOKUP(AnalizaCzyste[[#This Row],[Jak się nazywa uczelnia którą ukończyłeś? (proszę o wybranie jednej uczelni podlegającej ocenie)]],KategorieUczelni[],2,0)</f>
        <v>Publiczna</v>
      </c>
      <c r="BB30">
        <v>1985</v>
      </c>
      <c r="BC30" t="s">
        <v>148</v>
      </c>
      <c r="BD30" t="s">
        <v>2030</v>
      </c>
      <c r="BE30" t="s">
        <v>169</v>
      </c>
      <c r="BF30" t="s">
        <v>169</v>
      </c>
      <c r="BG30" t="s">
        <v>150</v>
      </c>
      <c r="BH30" t="s">
        <v>128</v>
      </c>
      <c r="BI30" t="s">
        <v>128</v>
      </c>
      <c r="BJ30">
        <v>4</v>
      </c>
      <c r="BK30" t="s">
        <v>131</v>
      </c>
      <c r="BL30" t="s">
        <v>131</v>
      </c>
      <c r="BM30" t="s">
        <v>2031</v>
      </c>
      <c r="BN30" t="s">
        <v>1229</v>
      </c>
      <c r="BO30" t="s">
        <v>1229</v>
      </c>
      <c r="BP30" t="s">
        <v>157</v>
      </c>
      <c r="BQ30" t="s">
        <v>2032</v>
      </c>
      <c r="BR30" s="1" t="s">
        <v>123</v>
      </c>
      <c r="DL30" s="1" t="s">
        <v>123</v>
      </c>
      <c r="DV30" s="1" t="s">
        <v>123</v>
      </c>
      <c r="EF30" s="56" t="s">
        <v>174</v>
      </c>
      <c r="EG30" t="s">
        <v>394</v>
      </c>
      <c r="EK30" t="s">
        <v>234</v>
      </c>
      <c r="EL30" t="s">
        <v>162</v>
      </c>
      <c r="EM30" t="s">
        <v>162</v>
      </c>
      <c r="EN30" t="s">
        <v>162</v>
      </c>
      <c r="EO30" t="s">
        <v>132</v>
      </c>
      <c r="EP30" t="s">
        <v>132</v>
      </c>
      <c r="EQ30" t="s">
        <v>132</v>
      </c>
      <c r="ER30" t="s">
        <v>162</v>
      </c>
      <c r="ES30">
        <v>20</v>
      </c>
      <c r="ET30">
        <v>60</v>
      </c>
      <c r="EU30">
        <v>0</v>
      </c>
      <c r="EV30">
        <v>0</v>
      </c>
      <c r="EW30">
        <v>0</v>
      </c>
      <c r="EX30">
        <v>20</v>
      </c>
      <c r="EY30">
        <v>0</v>
      </c>
      <c r="FA30">
        <v>20</v>
      </c>
      <c r="FB30">
        <v>60</v>
      </c>
      <c r="FC30">
        <v>0</v>
      </c>
      <c r="FD30">
        <v>0</v>
      </c>
      <c r="FE30">
        <v>0</v>
      </c>
      <c r="FF30">
        <v>20</v>
      </c>
      <c r="FG30">
        <v>0</v>
      </c>
      <c r="FI30" s="1" t="s">
        <v>123</v>
      </c>
      <c r="GI30" s="1" t="s">
        <v>123</v>
      </c>
      <c r="HQ30" t="s">
        <v>2033</v>
      </c>
      <c r="HR30" t="s">
        <v>1229</v>
      </c>
      <c r="HS30" t="s">
        <v>1229</v>
      </c>
      <c r="HT30" t="s">
        <v>186</v>
      </c>
      <c r="HU30">
        <v>1961</v>
      </c>
      <c r="HV30" t="str">
        <f>VLOOKUP(AnalizaCzyste[[#This Row],[Rok urodzenia]],KategorieWiekowe[],2,1)</f>
        <v>56–65 lat</v>
      </c>
      <c r="HW30" t="s">
        <v>141</v>
      </c>
    </row>
    <row r="31" spans="1:235" ht="56.35" customHeight="1" x14ac:dyDescent="0.45">
      <c r="A31" s="61">
        <v>29</v>
      </c>
      <c r="B31" s="61">
        <f>_xlfn.IFNA(VLOOKUP(AnalizaCzyste[[#This Row],[Zakończono wypełnianie]],Zakończone[],2,0),"BRAK")</f>
        <v>136</v>
      </c>
      <c r="C31" s="61">
        <f t="shared" si="0"/>
        <v>73</v>
      </c>
      <c r="D31" s="61" t="s">
        <v>2034</v>
      </c>
      <c r="E31" s="61" t="s">
        <v>2035</v>
      </c>
      <c r="F31" s="61">
        <v>1151</v>
      </c>
      <c r="G31" s="59" t="s">
        <v>2292</v>
      </c>
      <c r="H31" s="59" t="s">
        <v>2292</v>
      </c>
      <c r="I31" s="59" t="s">
        <v>2466</v>
      </c>
      <c r="J31" s="59" t="str">
        <f>"("&amp;"ID:"&amp;AnalizaCzyste[[#This Row],[Lp. wywiadu]]&amp;"; "&amp;AnalizaCzyste[[#This Row],[Czy kierunek techniczny?]]&amp;"; "&amp;MID(AnalizaCzyste[[#This Row],[Info metryczkowe]],2,40)</f>
        <v>(ID:29; NTech; A_R_P; 5; m; F; n/t)</v>
      </c>
      <c r="K31" s="55"/>
      <c r="L31" s="55"/>
      <c r="M31" s="55" t="s">
        <v>2707</v>
      </c>
      <c r="N31" s="55"/>
      <c r="O31" s="55" t="s">
        <v>2503</v>
      </c>
      <c r="P31" s="55" t="s">
        <v>2705</v>
      </c>
      <c r="Q31" s="55"/>
      <c r="R31" s="55" t="s">
        <v>2706</v>
      </c>
      <c r="S31" s="60" t="s">
        <v>2704</v>
      </c>
      <c r="T31" s="60" t="s">
        <v>2703</v>
      </c>
      <c r="U31" s="62" t="s">
        <v>2296</v>
      </c>
      <c r="V31" s="62" t="s">
        <v>2297</v>
      </c>
      <c r="W31" s="62"/>
      <c r="X31" s="62" t="s">
        <v>2771</v>
      </c>
      <c r="Y31" s="62"/>
      <c r="Z31" s="62"/>
      <c r="AA31" s="62"/>
      <c r="AB31" s="62"/>
      <c r="AC31" s="60" t="s">
        <v>2702</v>
      </c>
      <c r="AD31" s="55" t="s">
        <v>2768</v>
      </c>
      <c r="AE31" s="55" t="s">
        <v>2766</v>
      </c>
      <c r="AF31" s="55" t="str">
        <f>VLOOKUP(AnalizaCzyste[[#This Row],[Jak się nazywa uczelnia którą ukończyłeś? (proszę o wybranie jednej uczelni podlegającej ocenie)]],KategorieUczelni[],3,0)</f>
        <v>Nietechniczna</v>
      </c>
      <c r="AG31" s="55" t="str">
        <f>MID(AnalizaCzyste[[#This Row],[Info metryczkowe]],2,40)</f>
        <v>A_R_P; 5; m; F; n/t)</v>
      </c>
      <c r="AH31" s="55"/>
      <c r="AI31" s="1" t="s">
        <v>123</v>
      </c>
      <c r="AY31" s="56" t="s">
        <v>124</v>
      </c>
      <c r="AZ31" t="s">
        <v>223</v>
      </c>
      <c r="BA31" t="str">
        <f>VLOOKUP(AnalizaCzyste[[#This Row],[Jak się nazywa uczelnia którą ukończyłeś? (proszę o wybranie jednej uczelni podlegającej ocenie)]],KategorieUczelni[],2,0)</f>
        <v>Publiczna</v>
      </c>
      <c r="BB31">
        <v>1987</v>
      </c>
      <c r="BC31" t="s">
        <v>148</v>
      </c>
      <c r="BD31" t="s">
        <v>554</v>
      </c>
      <c r="BE31" t="s">
        <v>132</v>
      </c>
      <c r="BF31" t="s">
        <v>132</v>
      </c>
      <c r="BG31" t="s">
        <v>132</v>
      </c>
      <c r="BH31" t="s">
        <v>132</v>
      </c>
      <c r="BI31" t="s">
        <v>132</v>
      </c>
      <c r="BJ31" t="s">
        <v>2036</v>
      </c>
      <c r="BK31" t="s">
        <v>132</v>
      </c>
      <c r="BL31" t="s">
        <v>132</v>
      </c>
      <c r="BN31" t="s">
        <v>1229</v>
      </c>
      <c r="BO31" t="s">
        <v>1229</v>
      </c>
      <c r="BP31" t="s">
        <v>157</v>
      </c>
      <c r="BQ31" t="s">
        <v>2037</v>
      </c>
      <c r="BR31" s="56" t="s">
        <v>159</v>
      </c>
      <c r="BS31">
        <v>3</v>
      </c>
      <c r="BT31" t="s">
        <v>191</v>
      </c>
      <c r="BU31">
        <v>2020</v>
      </c>
      <c r="BV31" t="s">
        <v>126</v>
      </c>
      <c r="BW31" t="s">
        <v>2038</v>
      </c>
      <c r="BX31" t="s">
        <v>150</v>
      </c>
      <c r="BY31" t="s">
        <v>162</v>
      </c>
      <c r="BZ31" t="s">
        <v>169</v>
      </c>
      <c r="CA31" t="s">
        <v>150</v>
      </c>
      <c r="CB31" t="s">
        <v>132</v>
      </c>
      <c r="CC31" t="s">
        <v>2039</v>
      </c>
      <c r="CD31" t="s">
        <v>2040</v>
      </c>
      <c r="CE31" t="s">
        <v>157</v>
      </c>
      <c r="CH31" t="s">
        <v>166</v>
      </c>
      <c r="CI31" t="s">
        <v>191</v>
      </c>
      <c r="CJ31">
        <v>2013</v>
      </c>
      <c r="CK31" t="s">
        <v>126</v>
      </c>
      <c r="CL31" t="s">
        <v>1867</v>
      </c>
      <c r="CM31" t="s">
        <v>162</v>
      </c>
      <c r="CN31" t="s">
        <v>150</v>
      </c>
      <c r="CO31" t="s">
        <v>162</v>
      </c>
      <c r="CP31" t="s">
        <v>162</v>
      </c>
      <c r="CQ31" t="s">
        <v>162</v>
      </c>
      <c r="CR31" t="s">
        <v>237</v>
      </c>
      <c r="CT31" t="s">
        <v>157</v>
      </c>
      <c r="CV31" t="s">
        <v>2041</v>
      </c>
      <c r="CW31" t="s">
        <v>238</v>
      </c>
      <c r="CX31" t="s">
        <v>191</v>
      </c>
      <c r="CY31">
        <v>2016</v>
      </c>
      <c r="CZ31" t="s">
        <v>126</v>
      </c>
      <c r="DA31" t="s">
        <v>2042</v>
      </c>
      <c r="DB31" t="s">
        <v>151</v>
      </c>
      <c r="DC31" t="s">
        <v>162</v>
      </c>
      <c r="DD31" t="s">
        <v>150</v>
      </c>
      <c r="DE31" t="s">
        <v>169</v>
      </c>
      <c r="DF31" t="s">
        <v>150</v>
      </c>
      <c r="DG31" t="s">
        <v>237</v>
      </c>
      <c r="DH31" t="s">
        <v>2043</v>
      </c>
      <c r="DI31" t="s">
        <v>157</v>
      </c>
      <c r="DL31" s="1" t="s">
        <v>123</v>
      </c>
      <c r="DV31" s="1" t="s">
        <v>123</v>
      </c>
      <c r="EF31" s="1" t="s">
        <v>123</v>
      </c>
      <c r="FI31" s="56" t="s">
        <v>2487</v>
      </c>
      <c r="GI31" s="1" t="s">
        <v>123</v>
      </c>
      <c r="HQ31" t="s">
        <v>1229</v>
      </c>
      <c r="HR31" t="s">
        <v>1229</v>
      </c>
      <c r="HS31" t="s">
        <v>1229</v>
      </c>
      <c r="HT31" t="s">
        <v>186</v>
      </c>
      <c r="HU31">
        <v>1962</v>
      </c>
      <c r="HV31" t="str">
        <f>VLOOKUP(AnalizaCzyste[[#This Row],[Rok urodzenia]],KategorieWiekowe[],2,1)</f>
        <v>56–65 lat</v>
      </c>
      <c r="HW31" t="s">
        <v>141</v>
      </c>
      <c r="HZ31" t="s">
        <v>2044</v>
      </c>
      <c r="IA31" t="s">
        <v>2045</v>
      </c>
    </row>
    <row r="32" spans="1:235" ht="56.35" customHeight="1" x14ac:dyDescent="0.45">
      <c r="A32" s="61">
        <v>30</v>
      </c>
      <c r="B32" s="61">
        <f>_xlfn.IFNA(VLOOKUP(AnalizaCzyste[[#This Row],[Zakończono wypełnianie]],Zakończone[],2,0),"BRAK")</f>
        <v>137</v>
      </c>
      <c r="C32" s="61">
        <f t="shared" si="0"/>
        <v>67</v>
      </c>
      <c r="D32" s="61" t="s">
        <v>2046</v>
      </c>
      <c r="E32" s="61" t="s">
        <v>2047</v>
      </c>
      <c r="F32" s="61">
        <v>707</v>
      </c>
      <c r="G32" s="59" t="s">
        <v>2292</v>
      </c>
      <c r="H32" s="59" t="s">
        <v>2292</v>
      </c>
      <c r="I32" s="59" t="s">
        <v>2465</v>
      </c>
      <c r="J32" s="59" t="str">
        <f>"("&amp;"ID:"&amp;AnalizaCzyste[[#This Row],[Lp. wywiadu]]&amp;"; "&amp;AnalizaCzyste[[#This Row],[Czy kierunek techniczny?]]&amp;"; "&amp;MID(AnalizaCzyste[[#This Row],[Info metryczkowe]],2,40)</f>
        <v>(ID:30; Tech; A_R_P; 5; m; F; t/n)</v>
      </c>
      <c r="K32" s="55"/>
      <c r="L32" s="55"/>
      <c r="M32" s="55"/>
      <c r="N32" s="55" t="s">
        <v>1593</v>
      </c>
      <c r="O32" s="55" t="s">
        <v>2503</v>
      </c>
      <c r="P32" s="55" t="s">
        <v>2711</v>
      </c>
      <c r="Q32" s="55" t="s">
        <v>126</v>
      </c>
      <c r="R32" s="55" t="s">
        <v>2538</v>
      </c>
      <c r="S32" s="60" t="s">
        <v>2710</v>
      </c>
      <c r="T32" s="60" t="s">
        <v>2709</v>
      </c>
      <c r="U32" s="62" t="s">
        <v>2296</v>
      </c>
      <c r="V32" s="62" t="s">
        <v>2297</v>
      </c>
      <c r="W32" s="62"/>
      <c r="X32" s="62"/>
      <c r="Y32" s="62"/>
      <c r="Z32" s="62"/>
      <c r="AA32" s="62"/>
      <c r="AB32" s="62"/>
      <c r="AC32" s="60" t="s">
        <v>2708</v>
      </c>
      <c r="AD32" s="55" t="s">
        <v>2756</v>
      </c>
      <c r="AE32" s="55" t="s">
        <v>2763</v>
      </c>
      <c r="AF32" s="55" t="str">
        <f>VLOOKUP(AnalizaCzyste[[#This Row],[Jak się nazywa uczelnia którą ukończyłeś? (proszę o wybranie jednej uczelni podlegającej ocenie)]],KategorieUczelni[],3,0)</f>
        <v>Techniczna</v>
      </c>
      <c r="AG32" s="55" t="str">
        <f>MID(AnalizaCzyste[[#This Row],[Info metryczkowe]],2,40)</f>
        <v>A_R_P; 5; m; F; t/n)</v>
      </c>
      <c r="AH32" s="55"/>
      <c r="AI32" s="1" t="s">
        <v>123</v>
      </c>
      <c r="AY32" s="56" t="s">
        <v>124</v>
      </c>
      <c r="AZ32" t="s">
        <v>191</v>
      </c>
      <c r="BA32" t="str">
        <f>VLOOKUP(AnalizaCzyste[[#This Row],[Jak się nazywa uczelnia którą ukończyłeś? (proszę o wybranie jednej uczelni podlegającej ocenie)]],KategorieUczelni[],2,0)</f>
        <v>Publiczna</v>
      </c>
      <c r="BB32">
        <v>1985</v>
      </c>
      <c r="BC32" t="s">
        <v>126</v>
      </c>
      <c r="BD32" t="s">
        <v>2017</v>
      </c>
      <c r="BE32" t="s">
        <v>150</v>
      </c>
      <c r="BF32" t="s">
        <v>150</v>
      </c>
      <c r="BG32" t="s">
        <v>151</v>
      </c>
      <c r="BH32" t="s">
        <v>236</v>
      </c>
      <c r="BI32" t="s">
        <v>150</v>
      </c>
      <c r="BJ32" t="s">
        <v>237</v>
      </c>
      <c r="BK32" t="s">
        <v>152</v>
      </c>
      <c r="BL32" t="s">
        <v>759</v>
      </c>
      <c r="BM32" t="s">
        <v>2048</v>
      </c>
      <c r="BN32" t="s">
        <v>1229</v>
      </c>
      <c r="BO32" t="s">
        <v>1229</v>
      </c>
      <c r="BP32" t="s">
        <v>157</v>
      </c>
      <c r="BQ32" t="s">
        <v>2032</v>
      </c>
      <c r="BR32" s="56" t="s">
        <v>159</v>
      </c>
      <c r="BS32">
        <v>1</v>
      </c>
      <c r="BT32" t="s">
        <v>191</v>
      </c>
      <c r="BU32">
        <v>2018</v>
      </c>
      <c r="BV32" t="s">
        <v>126</v>
      </c>
      <c r="BW32" t="s">
        <v>2049</v>
      </c>
      <c r="BX32" t="s">
        <v>151</v>
      </c>
      <c r="BY32" t="s">
        <v>151</v>
      </c>
      <c r="BZ32" t="s">
        <v>128</v>
      </c>
      <c r="CA32" t="s">
        <v>162</v>
      </c>
      <c r="CB32" t="s">
        <v>132</v>
      </c>
      <c r="CC32">
        <v>12</v>
      </c>
      <c r="CD32" t="s">
        <v>2050</v>
      </c>
      <c r="CE32" t="s">
        <v>157</v>
      </c>
      <c r="CH32" t="s">
        <v>173</v>
      </c>
      <c r="DL32" s="1" t="s">
        <v>123</v>
      </c>
      <c r="DV32" s="1" t="s">
        <v>123</v>
      </c>
      <c r="EF32" s="1" t="s">
        <v>123</v>
      </c>
      <c r="FI32" s="56" t="s">
        <v>177</v>
      </c>
      <c r="FJ32" t="s">
        <v>178</v>
      </c>
      <c r="FK32">
        <v>2</v>
      </c>
      <c r="FL32" t="s">
        <v>191</v>
      </c>
      <c r="FM32" t="s">
        <v>151</v>
      </c>
      <c r="FN32" t="s">
        <v>162</v>
      </c>
      <c r="FO32" t="s">
        <v>151</v>
      </c>
      <c r="FP32" t="s">
        <v>178</v>
      </c>
      <c r="FQ32" t="s">
        <v>2051</v>
      </c>
      <c r="FR32" t="s">
        <v>2052</v>
      </c>
      <c r="FS32" t="s">
        <v>1206</v>
      </c>
      <c r="FT32" t="s">
        <v>223</v>
      </c>
      <c r="FU32" t="s">
        <v>162</v>
      </c>
      <c r="FV32" t="s">
        <v>162</v>
      </c>
      <c r="FW32" t="s">
        <v>151</v>
      </c>
      <c r="FX32" t="s">
        <v>178</v>
      </c>
      <c r="FY32" t="s">
        <v>2053</v>
      </c>
      <c r="FZ32" t="s">
        <v>2054</v>
      </c>
      <c r="GA32" t="s">
        <v>173</v>
      </c>
      <c r="GI32" s="1" t="s">
        <v>123</v>
      </c>
      <c r="HQ32" t="s">
        <v>1229</v>
      </c>
      <c r="HR32" t="s">
        <v>1229</v>
      </c>
      <c r="HS32" t="s">
        <v>1229</v>
      </c>
      <c r="HT32" t="s">
        <v>186</v>
      </c>
      <c r="HU32">
        <v>1959</v>
      </c>
      <c r="HV32" t="str">
        <f>VLOOKUP(AnalizaCzyste[[#This Row],[Rok urodzenia]],KategorieWiekowe[],2,1)</f>
        <v>56–65 lat</v>
      </c>
      <c r="HW32" t="s">
        <v>141</v>
      </c>
      <c r="HY32" t="s">
        <v>2055</v>
      </c>
      <c r="IA32" t="s">
        <v>2056</v>
      </c>
    </row>
    <row r="33" spans="1:235" ht="56.35" customHeight="1" x14ac:dyDescent="0.45">
      <c r="A33" s="61">
        <v>31</v>
      </c>
      <c r="B33" s="61">
        <f>_xlfn.IFNA(VLOOKUP(AnalizaCzyste[[#This Row],[Zakończono wypełnianie]],Zakończone[],2,0),"BRAK")</f>
        <v>138</v>
      </c>
      <c r="C33" s="61">
        <f t="shared" si="0"/>
        <v>62</v>
      </c>
      <c r="D33" s="61" t="s">
        <v>2057</v>
      </c>
      <c r="E33" s="61" t="s">
        <v>2058</v>
      </c>
      <c r="F33" s="61">
        <v>616</v>
      </c>
      <c r="G33" s="59" t="s">
        <v>2292</v>
      </c>
      <c r="H33" s="59" t="s">
        <v>2293</v>
      </c>
      <c r="I33" s="59" t="s">
        <v>2464</v>
      </c>
      <c r="J33" s="59" t="str">
        <f>"("&amp;"ID:"&amp;AnalizaCzyste[[#This Row],[Lp. wywiadu]]&amp;"; "&amp;AnalizaCzyste[[#This Row],[Czy kierunek techniczny?]]&amp;"; "&amp;MID(AnalizaCzyste[[#This Row],[Info metryczkowe]],2,40)</f>
        <v>(ID:31; NTech; A_R_WŁ; 4; m; C; t/n)</v>
      </c>
      <c r="K33" s="55"/>
      <c r="L33" s="55"/>
      <c r="M33" s="55"/>
      <c r="N33" s="55" t="s">
        <v>1593</v>
      </c>
      <c r="O33" s="55" t="s">
        <v>2503</v>
      </c>
      <c r="P33" s="55" t="s">
        <v>178</v>
      </c>
      <c r="Q33" s="55" t="s">
        <v>2716</v>
      </c>
      <c r="R33" s="55" t="s">
        <v>2715</v>
      </c>
      <c r="S33" s="60" t="s">
        <v>2714</v>
      </c>
      <c r="T33" s="60" t="s">
        <v>2713</v>
      </c>
      <c r="U33" s="62"/>
      <c r="V33" s="62"/>
      <c r="W33" s="62" t="s">
        <v>2769</v>
      </c>
      <c r="X33" s="62" t="s">
        <v>2771</v>
      </c>
      <c r="Y33" s="62"/>
      <c r="Z33" s="62"/>
      <c r="AA33" s="62"/>
      <c r="AB33" s="62"/>
      <c r="AC33" s="60" t="s">
        <v>2712</v>
      </c>
      <c r="AD33" s="55" t="s">
        <v>2754</v>
      </c>
      <c r="AE33" s="55" t="s">
        <v>2766</v>
      </c>
      <c r="AF33" s="55" t="str">
        <f>VLOOKUP(AnalizaCzyste[[#This Row],[Jak się nazywa uczelnia którą ukończyłeś? (proszę o wybranie jednej uczelni podlegającej ocenie)]],KategorieUczelni[],3,0)</f>
        <v>Nietechniczna</v>
      </c>
      <c r="AG33" s="55" t="str">
        <f>MID(AnalizaCzyste[[#This Row],[Info metryczkowe]],2,40)</f>
        <v>A_R_WŁ; 4; m; C; t/n)</v>
      </c>
      <c r="AH33" s="55"/>
      <c r="AI33" s="1" t="s">
        <v>123</v>
      </c>
      <c r="AY33" s="56" t="s">
        <v>124</v>
      </c>
      <c r="AZ33" t="s">
        <v>223</v>
      </c>
      <c r="BA33" t="str">
        <f>VLOOKUP(AnalizaCzyste[[#This Row],[Jak się nazywa uczelnia którą ukończyłeś? (proszę o wybranie jednej uczelni podlegającej ocenie)]],KategorieUczelni[],2,0)</f>
        <v>Publiczna</v>
      </c>
      <c r="BB33">
        <v>1992</v>
      </c>
      <c r="BC33" t="s">
        <v>148</v>
      </c>
      <c r="BD33" t="s">
        <v>2059</v>
      </c>
      <c r="BE33" t="s">
        <v>150</v>
      </c>
      <c r="BF33" t="s">
        <v>169</v>
      </c>
      <c r="BG33" t="s">
        <v>150</v>
      </c>
      <c r="BH33" t="s">
        <v>151</v>
      </c>
      <c r="BI33" t="s">
        <v>162</v>
      </c>
      <c r="BJ33">
        <v>0</v>
      </c>
      <c r="BK33" t="s">
        <v>131</v>
      </c>
      <c r="BL33" t="s">
        <v>302</v>
      </c>
      <c r="BM33" t="s">
        <v>2060</v>
      </c>
      <c r="BN33" t="s">
        <v>1229</v>
      </c>
      <c r="BO33" t="s">
        <v>1229</v>
      </c>
      <c r="BP33" t="s">
        <v>157</v>
      </c>
      <c r="BQ33" t="s">
        <v>2032</v>
      </c>
      <c r="BR33" s="56" t="s">
        <v>159</v>
      </c>
      <c r="BS33">
        <v>1</v>
      </c>
      <c r="BT33" t="s">
        <v>445</v>
      </c>
      <c r="BU33">
        <v>2019</v>
      </c>
      <c r="BV33" t="s">
        <v>148</v>
      </c>
      <c r="BW33" t="s">
        <v>461</v>
      </c>
      <c r="BX33" t="s">
        <v>169</v>
      </c>
      <c r="BY33" t="s">
        <v>169</v>
      </c>
      <c r="BZ33" t="s">
        <v>169</v>
      </c>
      <c r="CA33" t="s">
        <v>169</v>
      </c>
      <c r="CB33" t="s">
        <v>132</v>
      </c>
      <c r="CC33" t="s">
        <v>2020</v>
      </c>
      <c r="CD33" t="s">
        <v>2061</v>
      </c>
      <c r="CE33" t="s">
        <v>157</v>
      </c>
      <c r="CG33" t="s">
        <v>2062</v>
      </c>
      <c r="CH33" t="s">
        <v>173</v>
      </c>
      <c r="DL33" s="1" t="s">
        <v>123</v>
      </c>
      <c r="DV33" s="1" t="s">
        <v>123</v>
      </c>
      <c r="EF33" s="1" t="s">
        <v>123</v>
      </c>
      <c r="FI33" s="1" t="s">
        <v>123</v>
      </c>
      <c r="GI33" s="56" t="s">
        <v>2022</v>
      </c>
      <c r="GJ33" t="s">
        <v>2023</v>
      </c>
      <c r="GK33" t="s">
        <v>2063</v>
      </c>
      <c r="GL33">
        <v>1</v>
      </c>
      <c r="GM33" t="s">
        <v>191</v>
      </c>
      <c r="GN33" t="s">
        <v>150</v>
      </c>
      <c r="GO33" t="s">
        <v>150</v>
      </c>
      <c r="GP33" t="s">
        <v>169</v>
      </c>
      <c r="GQ33" t="s">
        <v>169</v>
      </c>
      <c r="GR33" t="s">
        <v>132</v>
      </c>
      <c r="GS33" t="s">
        <v>132</v>
      </c>
      <c r="GT33" t="s">
        <v>169</v>
      </c>
      <c r="GW33" t="s">
        <v>173</v>
      </c>
      <c r="HQ33" t="s">
        <v>1229</v>
      </c>
      <c r="HR33" t="s">
        <v>1229</v>
      </c>
      <c r="HS33" t="s">
        <v>1229</v>
      </c>
      <c r="HT33" t="s">
        <v>186</v>
      </c>
      <c r="HU33">
        <v>1968</v>
      </c>
      <c r="HV33" t="str">
        <f>VLOOKUP(AnalizaCzyste[[#This Row],[Rok urodzenia]],KategorieWiekowe[],2,1)</f>
        <v>46–55 lat</v>
      </c>
      <c r="HW33" t="s">
        <v>220</v>
      </c>
      <c r="HY33" t="s">
        <v>2055</v>
      </c>
      <c r="IA33" t="s">
        <v>2064</v>
      </c>
    </row>
    <row r="34" spans="1:235" ht="56.35" customHeight="1" x14ac:dyDescent="0.45">
      <c r="A34" s="61">
        <v>32</v>
      </c>
      <c r="B34" s="61" t="str">
        <f>_xlfn.IFNA(VLOOKUP(AnalizaCzyste[[#This Row],[Zakończono wypełnianie]],Zakończone[],2,0),"BRAK")</f>
        <v>BRAK</v>
      </c>
      <c r="C34" s="61">
        <f t="shared" si="0"/>
        <v>13</v>
      </c>
      <c r="D34" s="61"/>
      <c r="E34" s="61"/>
      <c r="F34" s="61"/>
      <c r="G34" s="59" t="s">
        <v>2292</v>
      </c>
      <c r="H34" s="59" t="s">
        <v>1593</v>
      </c>
      <c r="I34" s="59" t="s">
        <v>2484</v>
      </c>
      <c r="J34" s="59" t="str">
        <f>"("&amp;"ID:"&amp;AnalizaCzyste[[#This Row],[Lp. wywiadu]]&amp;"; "&amp;AnalizaCzyste[[#This Row],[Czy kierunek techniczny?]]&amp;"; "&amp;MID(AnalizaCzyste[[#This Row],[Info metryczkowe]],2,40)</f>
        <v>(ID:32; Tech; A_W; 4; m; F; t/n)</v>
      </c>
      <c r="K34" s="55" t="s">
        <v>2729</v>
      </c>
      <c r="L34" s="55"/>
      <c r="M34" s="55" t="s">
        <v>2727</v>
      </c>
      <c r="N34" s="55" t="s">
        <v>2726</v>
      </c>
      <c r="O34" s="55" t="s">
        <v>2724</v>
      </c>
      <c r="P34" s="55" t="s">
        <v>2723</v>
      </c>
      <c r="Q34" s="55" t="s">
        <v>2722</v>
      </c>
      <c r="R34" s="55" t="s">
        <v>2538</v>
      </c>
      <c r="S34" s="60" t="s">
        <v>2720</v>
      </c>
      <c r="T34" s="60" t="s">
        <v>2719</v>
      </c>
      <c r="U34" s="62" t="s">
        <v>2296</v>
      </c>
      <c r="V34" s="62"/>
      <c r="W34" s="62" t="s">
        <v>2769</v>
      </c>
      <c r="X34" s="62" t="s">
        <v>2771</v>
      </c>
      <c r="Y34" s="62" t="s">
        <v>2770</v>
      </c>
      <c r="Z34" s="62"/>
      <c r="AA34" s="62"/>
      <c r="AB34" s="62"/>
      <c r="AC34" s="60" t="s">
        <v>2785</v>
      </c>
      <c r="AD34" s="55" t="s">
        <v>2758</v>
      </c>
      <c r="AE34" s="55" t="s">
        <v>2763</v>
      </c>
      <c r="AF34" s="55" t="str">
        <f>VLOOKUP(AnalizaCzyste[[#This Row],[Jak się nazywa uczelnia którą ukończyłeś? (proszę o wybranie jednej uczelni podlegającej ocenie)]],KategorieUczelni[],3,0)</f>
        <v>Techniczna</v>
      </c>
      <c r="AG34" s="55" t="str">
        <f>MID(AnalizaCzyste[[#This Row],[Info metryczkowe]],2,40)</f>
        <v>A_W; 4; m; F; t/n)</v>
      </c>
      <c r="AH34" s="55"/>
      <c r="AI34" s="1" t="s">
        <v>123</v>
      </c>
      <c r="AY34" s="56" t="s">
        <v>124</v>
      </c>
      <c r="AZ34" s="42" t="s">
        <v>191</v>
      </c>
      <c r="BA34" t="str">
        <f>VLOOKUP(AnalizaCzyste[[#This Row],[Jak się nazywa uczelnia którą ukończyłeś? (proszę o wybranie jednej uczelni podlegającej ocenie)]],KategorieUczelni[],2,0)</f>
        <v>Publiczna</v>
      </c>
      <c r="BR34" s="1" t="s">
        <v>123</v>
      </c>
      <c r="DL34" s="1" t="s">
        <v>123</v>
      </c>
      <c r="DV34" s="56" t="s">
        <v>214</v>
      </c>
      <c r="EF34" s="1" t="s">
        <v>123</v>
      </c>
      <c r="FI34" s="1" t="s">
        <v>123</v>
      </c>
      <c r="GI34" s="1" t="s">
        <v>123</v>
      </c>
      <c r="HT34" t="s">
        <v>186</v>
      </c>
      <c r="HU34" s="42">
        <v>1972</v>
      </c>
      <c r="HV34" t="str">
        <f>VLOOKUP(AnalizaCzyste[[#This Row],[Rok urodzenia]],KategorieWiekowe[],2,1)</f>
        <v>46–55 lat</v>
      </c>
    </row>
    <row r="35" spans="1:235" ht="56.35" customHeight="1" x14ac:dyDescent="0.45">
      <c r="A35" s="61">
        <v>33</v>
      </c>
      <c r="B35" s="61" t="str">
        <f>_xlfn.IFNA(VLOOKUP(AnalizaCzyste[[#This Row],[Zakończono wypełnianie]],Zakończone[],2,0),"BRAK")</f>
        <v>BRAK</v>
      </c>
      <c r="C35" s="61">
        <f t="shared" si="0"/>
        <v>13</v>
      </c>
      <c r="D35" s="61"/>
      <c r="E35" s="61"/>
      <c r="F35" s="61"/>
      <c r="G35" s="59" t="s">
        <v>2292</v>
      </c>
      <c r="H35" s="59" t="s">
        <v>1593</v>
      </c>
      <c r="I35" s="59" t="s">
        <v>2485</v>
      </c>
      <c r="J35" s="59" t="str">
        <f>"("&amp;"ID:"&amp;AnalizaCzyste[[#This Row],[Lp. wywiadu]]&amp;"; "&amp;AnalizaCzyste[[#This Row],[Czy kierunek techniczny?]]&amp;"; "&amp;MID(AnalizaCzyste[[#This Row],[Info metryczkowe]],2,40)</f>
        <v>(ID:33; NTech; A_W; 3; k; F; t/n)</v>
      </c>
      <c r="K35" s="55" t="s">
        <v>2728</v>
      </c>
      <c r="L35" s="55"/>
      <c r="M35" s="55" t="s">
        <v>1593</v>
      </c>
      <c r="N35" s="55" t="s">
        <v>2725</v>
      </c>
      <c r="O35" s="55" t="s">
        <v>2724</v>
      </c>
      <c r="P35" s="55" t="s">
        <v>1593</v>
      </c>
      <c r="Q35" s="59" t="s">
        <v>2721</v>
      </c>
      <c r="R35" s="55" t="s">
        <v>2538</v>
      </c>
      <c r="S35" s="60" t="s">
        <v>2720</v>
      </c>
      <c r="T35" s="60" t="s">
        <v>2718</v>
      </c>
      <c r="U35" s="62" t="s">
        <v>2296</v>
      </c>
      <c r="V35" s="62"/>
      <c r="W35" s="62"/>
      <c r="X35" s="62" t="s">
        <v>2771</v>
      </c>
      <c r="Y35" s="62"/>
      <c r="Z35" s="62"/>
      <c r="AA35" s="62"/>
      <c r="AB35" s="62"/>
      <c r="AC35" s="60" t="s">
        <v>2717</v>
      </c>
      <c r="AD35" s="55" t="s">
        <v>2757</v>
      </c>
      <c r="AE35" s="55" t="s">
        <v>2766</v>
      </c>
      <c r="AF35" s="55" t="str">
        <f>VLOOKUP(AnalizaCzyste[[#This Row],[Jak się nazywa uczelnia którą ukończyłeś? (proszę o wybranie jednej uczelni podlegającej ocenie)]],KategorieUczelni[],3,0)</f>
        <v>Nietechniczna</v>
      </c>
      <c r="AG35" s="55" t="str">
        <f>MID(AnalizaCzyste[[#This Row],[Info metryczkowe]],2,40)</f>
        <v>A_W; 3; k; F; t/n)</v>
      </c>
      <c r="AH35" s="55"/>
      <c r="AI35" s="1" t="s">
        <v>123</v>
      </c>
      <c r="AY35" s="56" t="s">
        <v>124</v>
      </c>
      <c r="AZ35" s="42" t="s">
        <v>1472</v>
      </c>
      <c r="BA35" t="str">
        <f>VLOOKUP(AnalizaCzyste[[#This Row],[Jak się nazywa uczelnia którą ukończyłeś? (proszę o wybranie jednej uczelni podlegającej ocenie)]],KategorieUczelni[],2,0)</f>
        <v>Publiczna</v>
      </c>
      <c r="BR35" s="1" t="s">
        <v>123</v>
      </c>
      <c r="DL35" s="1" t="s">
        <v>123</v>
      </c>
      <c r="DV35" s="56" t="s">
        <v>214</v>
      </c>
      <c r="EF35" s="1" t="s">
        <v>123</v>
      </c>
      <c r="FI35" s="1" t="s">
        <v>123</v>
      </c>
      <c r="GI35" s="1" t="s">
        <v>123</v>
      </c>
      <c r="HT35" t="s">
        <v>140</v>
      </c>
      <c r="HU35">
        <v>1985</v>
      </c>
      <c r="HV35" t="str">
        <f>VLOOKUP(AnalizaCzyste[[#This Row],[Rok urodzenia]],KategorieWiekowe[],2,1)</f>
        <v>26–35 lat</v>
      </c>
    </row>
    <row r="36" spans="1:235" ht="14.65" thickBot="1" x14ac:dyDescent="0.5">
      <c r="U36" s="28">
        <f>COUNTA(AnalizaCzyste[Studenci])</f>
        <v>28</v>
      </c>
      <c r="V36" s="28">
        <f>COUNTA(AnalizaCzyste[Absolwenci])</f>
        <v>19</v>
      </c>
      <c r="W36" s="28">
        <f>COUNTA(AnalizaCzyste[Pracodawcy / Przemysł / Biznes])</f>
        <v>17</v>
      </c>
      <c r="X36" s="28">
        <f>COUNTA(AnalizaCzyste[Władze centralne / samorządowe ("państwo")])</f>
        <v>9</v>
      </c>
      <c r="Y36" s="28">
        <f>COUNTA(AnalizaCzyste[Pracownicy (naukowi/wykładowcy)])</f>
        <v>11</v>
      </c>
      <c r="Z36" s="28">
        <f>COUNTA(AnalizaCzyste[Rodzice])</f>
        <v>4</v>
      </c>
      <c r="AA36" s="28">
        <f>COUNTA(AnalizaCzyste[Inne uczelnie / ośrodki badawcze])</f>
        <v>2</v>
      </c>
      <c r="AB36" s="28">
        <f>COUNTA(AnalizaCzyste[Naród / Społeczeństwo])</f>
        <v>2</v>
      </c>
      <c r="AI36" s="6">
        <f t="shared" ref="AI36:AZ36" si="1">COUNTA((AI3:AI35))</f>
        <v>33</v>
      </c>
      <c r="AJ36" s="1">
        <f t="shared" si="1"/>
        <v>2</v>
      </c>
      <c r="AK36" s="1">
        <f t="shared" si="1"/>
        <v>2</v>
      </c>
      <c r="AL36" s="1">
        <f t="shared" si="1"/>
        <v>2</v>
      </c>
      <c r="AM36" s="1">
        <f t="shared" si="1"/>
        <v>2</v>
      </c>
      <c r="AN36" s="1">
        <f t="shared" si="1"/>
        <v>2</v>
      </c>
      <c r="AO36" s="1">
        <f t="shared" si="1"/>
        <v>2</v>
      </c>
      <c r="AP36" s="1">
        <f t="shared" si="1"/>
        <v>2</v>
      </c>
      <c r="AQ36" s="1">
        <f t="shared" si="1"/>
        <v>2</v>
      </c>
      <c r="AR36" s="1">
        <f t="shared" si="1"/>
        <v>2</v>
      </c>
      <c r="AS36" s="1">
        <f t="shared" si="1"/>
        <v>2</v>
      </c>
      <c r="AT36" s="1">
        <f t="shared" si="1"/>
        <v>2</v>
      </c>
      <c r="AU36" s="1">
        <f t="shared" si="1"/>
        <v>2</v>
      </c>
      <c r="AV36" s="1">
        <f t="shared" si="1"/>
        <v>1</v>
      </c>
      <c r="AW36" s="1">
        <f t="shared" si="1"/>
        <v>1</v>
      </c>
      <c r="AX36" s="1">
        <f t="shared" si="1"/>
        <v>2</v>
      </c>
      <c r="AY36" s="6">
        <f t="shared" si="1"/>
        <v>33</v>
      </c>
      <c r="AZ36" s="1">
        <f t="shared" si="1"/>
        <v>33</v>
      </c>
      <c r="BA36" s="1"/>
      <c r="BB36" s="1">
        <f t="shared" ref="BB36:CG36" si="2">COUNTA((BB3:BB35))</f>
        <v>29</v>
      </c>
      <c r="BC36" s="1">
        <f t="shared" si="2"/>
        <v>29</v>
      </c>
      <c r="BD36" s="1">
        <f t="shared" si="2"/>
        <v>29</v>
      </c>
      <c r="BE36" s="1">
        <f t="shared" si="2"/>
        <v>29</v>
      </c>
      <c r="BF36" s="1">
        <f t="shared" si="2"/>
        <v>29</v>
      </c>
      <c r="BG36" s="1">
        <f t="shared" si="2"/>
        <v>29</v>
      </c>
      <c r="BH36" s="1">
        <f t="shared" si="2"/>
        <v>29</v>
      </c>
      <c r="BI36" s="1">
        <f t="shared" si="2"/>
        <v>29</v>
      </c>
      <c r="BJ36" s="1">
        <f t="shared" si="2"/>
        <v>29</v>
      </c>
      <c r="BK36" s="1">
        <f t="shared" si="2"/>
        <v>29</v>
      </c>
      <c r="BL36" s="1">
        <f t="shared" si="2"/>
        <v>29</v>
      </c>
      <c r="BM36" s="1">
        <f t="shared" si="2"/>
        <v>28</v>
      </c>
      <c r="BN36" s="1">
        <f t="shared" si="2"/>
        <v>29</v>
      </c>
      <c r="BO36" s="1">
        <f t="shared" si="2"/>
        <v>29</v>
      </c>
      <c r="BP36" s="1">
        <f t="shared" si="2"/>
        <v>26</v>
      </c>
      <c r="BQ36" s="1">
        <f t="shared" si="2"/>
        <v>13</v>
      </c>
      <c r="BR36" s="6">
        <f t="shared" si="2"/>
        <v>33</v>
      </c>
      <c r="BS36" s="1">
        <f t="shared" si="2"/>
        <v>12</v>
      </c>
      <c r="BT36" s="1">
        <f t="shared" si="2"/>
        <v>12</v>
      </c>
      <c r="BU36" s="1">
        <f t="shared" si="2"/>
        <v>12</v>
      </c>
      <c r="BV36" s="1">
        <f t="shared" si="2"/>
        <v>12</v>
      </c>
      <c r="BW36" s="1">
        <f t="shared" si="2"/>
        <v>12</v>
      </c>
      <c r="BX36" s="1">
        <f t="shared" si="2"/>
        <v>12</v>
      </c>
      <c r="BY36" s="1">
        <f t="shared" si="2"/>
        <v>12</v>
      </c>
      <c r="BZ36" s="1">
        <f t="shared" si="2"/>
        <v>12</v>
      </c>
      <c r="CA36" s="1">
        <f t="shared" si="2"/>
        <v>12</v>
      </c>
      <c r="CB36" s="1">
        <f t="shared" si="2"/>
        <v>12</v>
      </c>
      <c r="CC36" s="1">
        <f t="shared" si="2"/>
        <v>12</v>
      </c>
      <c r="CD36" s="1">
        <f t="shared" si="2"/>
        <v>12</v>
      </c>
      <c r="CE36" s="1">
        <f t="shared" si="2"/>
        <v>12</v>
      </c>
      <c r="CF36" s="1">
        <f t="shared" si="2"/>
        <v>0</v>
      </c>
      <c r="CG36" s="1">
        <f t="shared" si="2"/>
        <v>8</v>
      </c>
      <c r="CH36" s="1">
        <f t="shared" ref="CH36:DL36" si="3">COUNTA((CH3:CH35))</f>
        <v>12</v>
      </c>
      <c r="CI36" s="1">
        <f t="shared" si="3"/>
        <v>5</v>
      </c>
      <c r="CJ36" s="1">
        <f t="shared" si="3"/>
        <v>5</v>
      </c>
      <c r="CK36" s="1">
        <f t="shared" si="3"/>
        <v>5</v>
      </c>
      <c r="CL36" s="1">
        <f t="shared" si="3"/>
        <v>5</v>
      </c>
      <c r="CM36" s="1">
        <f t="shared" si="3"/>
        <v>5</v>
      </c>
      <c r="CN36" s="1">
        <f t="shared" si="3"/>
        <v>5</v>
      </c>
      <c r="CO36" s="1">
        <f t="shared" si="3"/>
        <v>5</v>
      </c>
      <c r="CP36" s="1">
        <f t="shared" si="3"/>
        <v>5</v>
      </c>
      <c r="CQ36" s="1">
        <f t="shared" si="3"/>
        <v>5</v>
      </c>
      <c r="CR36" s="1">
        <f t="shared" si="3"/>
        <v>5</v>
      </c>
      <c r="CS36" s="1">
        <f t="shared" si="3"/>
        <v>3</v>
      </c>
      <c r="CT36" s="1">
        <f t="shared" si="3"/>
        <v>5</v>
      </c>
      <c r="CU36" s="1">
        <f t="shared" si="3"/>
        <v>0</v>
      </c>
      <c r="CV36" s="1">
        <f t="shared" si="3"/>
        <v>3</v>
      </c>
      <c r="CW36" s="1">
        <f t="shared" si="3"/>
        <v>5</v>
      </c>
      <c r="CX36" s="1">
        <f t="shared" si="3"/>
        <v>2</v>
      </c>
      <c r="CY36" s="1">
        <f t="shared" si="3"/>
        <v>2</v>
      </c>
      <c r="CZ36" s="1">
        <f t="shared" si="3"/>
        <v>2</v>
      </c>
      <c r="DA36" s="1">
        <f t="shared" si="3"/>
        <v>2</v>
      </c>
      <c r="DB36" s="1">
        <f t="shared" si="3"/>
        <v>2</v>
      </c>
      <c r="DC36" s="1">
        <f t="shared" si="3"/>
        <v>2</v>
      </c>
      <c r="DD36" s="1">
        <f t="shared" si="3"/>
        <v>2</v>
      </c>
      <c r="DE36" s="1">
        <f t="shared" si="3"/>
        <v>2</v>
      </c>
      <c r="DF36" s="1">
        <f t="shared" si="3"/>
        <v>2</v>
      </c>
      <c r="DG36" s="1">
        <f t="shared" si="3"/>
        <v>2</v>
      </c>
      <c r="DH36" s="1">
        <f t="shared" si="3"/>
        <v>2</v>
      </c>
      <c r="DI36" s="1">
        <f t="shared" si="3"/>
        <v>2</v>
      </c>
      <c r="DJ36" s="1">
        <f t="shared" si="3"/>
        <v>0</v>
      </c>
      <c r="DK36" s="1">
        <f t="shared" si="3"/>
        <v>1</v>
      </c>
      <c r="DL36" s="6">
        <f t="shared" si="3"/>
        <v>33</v>
      </c>
      <c r="DV36" s="6">
        <f>COUNTA((DV3:DV35))</f>
        <v>33</v>
      </c>
      <c r="EF36" s="6">
        <f>COUNTA((EF3:EF35))</f>
        <v>33</v>
      </c>
      <c r="FI36" s="6">
        <f>COUNTA((FI3:FI35))</f>
        <v>33</v>
      </c>
      <c r="GI36" s="6">
        <f>COUNTA((GI3:GI35))</f>
        <v>33</v>
      </c>
      <c r="HT36" s="6">
        <f>COUNTA((HT3:HT35))</f>
        <v>33</v>
      </c>
      <c r="HU36" s="6">
        <f>COUNTA((HU3:HU35))</f>
        <v>33</v>
      </c>
      <c r="HV36" s="6"/>
      <c r="HW36" s="6">
        <f>COUNTA((HW3:HW35))</f>
        <v>31</v>
      </c>
      <c r="HX36" s="6">
        <f>COUNTA((HX3:HX35))</f>
        <v>3</v>
      </c>
      <c r="HY36" s="6">
        <f>COUNTA((HY3:HY35))</f>
        <v>22</v>
      </c>
      <c r="HZ36" s="6">
        <f>COUNTA((HZ3:HZ35))</f>
        <v>11</v>
      </c>
      <c r="IA36" s="6">
        <f>COUNTA((IA3:IA35))</f>
        <v>5</v>
      </c>
    </row>
    <row r="37" spans="1:235" ht="15" thickTop="1" thickBot="1" x14ac:dyDescent="0.5">
      <c r="B37" s="20" t="s">
        <v>2292</v>
      </c>
      <c r="G37" s="7">
        <f>COUNTIF(AnalizaCzyste[Wywiad (tak)],"*"&amp;"Tak"&amp;"*")</f>
        <v>33</v>
      </c>
      <c r="H37" s="65"/>
      <c r="AJ37" s="7">
        <f>COUNTIF(AnalizaCzyste[Czy jesteś studentem uczelni wyższej?],"*"&amp;"Tak"&amp;"*")</f>
        <v>2</v>
      </c>
      <c r="AK37" s="8"/>
      <c r="AL37" s="8"/>
      <c r="AM37" s="8"/>
      <c r="AN37" s="8"/>
      <c r="AO37" s="8"/>
      <c r="AP37" s="8"/>
      <c r="AQ37" s="8"/>
      <c r="AR37" s="8"/>
      <c r="AS37" s="8"/>
      <c r="AT37" s="8"/>
      <c r="AU37" s="8"/>
      <c r="AV37" s="8"/>
      <c r="AW37" s="8"/>
      <c r="AX37" s="8"/>
      <c r="AY37" s="8"/>
      <c r="AZ37" s="7">
        <f>COUNTIF(AnalizaCzyste[Czy jesteś absolwentem uczelni wyższej?],"*"&amp;"Tak"&amp;"*")</f>
        <v>33</v>
      </c>
      <c r="BA37" s="8"/>
      <c r="BB37" s="8"/>
      <c r="BC37" s="8"/>
      <c r="BD37" s="8"/>
      <c r="BE37" s="8"/>
      <c r="BF37" s="8"/>
      <c r="BG37" s="8"/>
      <c r="BH37" s="8"/>
      <c r="BI37" s="8"/>
      <c r="BJ37" s="8"/>
      <c r="BK37" s="8"/>
      <c r="BL37" s="8"/>
      <c r="BM37" s="8"/>
      <c r="BN37" s="8"/>
      <c r="BO37" s="8"/>
      <c r="BP37" s="8"/>
      <c r="BQ37" s="8"/>
      <c r="BR37" s="8"/>
      <c r="BS37" s="7">
        <f>COUNTIF(AnalizaCzyste[Czy jesteś rodzicem / opiekunem absolwenta uczelni wyższej?],"*"&amp;"Tak"&amp;"*")</f>
        <v>12</v>
      </c>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7">
        <f>COUNTIF(AnalizaCzyste[Czy jesteś aktualnie pracownikiem administracyjnym uczelni wyższej?],"*"&amp;"Tak"&amp;"*")</f>
        <v>4</v>
      </c>
      <c r="DN37" s="8"/>
      <c r="DO37" s="8"/>
      <c r="DP37" s="8"/>
      <c r="DQ37" s="8"/>
      <c r="DR37" s="8"/>
      <c r="DS37" s="8"/>
      <c r="DT37" s="8"/>
      <c r="DU37" s="8"/>
      <c r="DV37" s="8"/>
      <c r="DW37" s="7">
        <f>COUNTIF(AnalizaCzyste[Czy jesteś aktualnie pracownikiem naukowym lub dydaktycznym uczelni wyższej?],"*"&amp;"Tak"&amp;"*")</f>
        <v>12</v>
      </c>
      <c r="DX37" s="8"/>
      <c r="DY37" s="8"/>
      <c r="DZ37" s="8"/>
      <c r="EA37" s="8"/>
      <c r="EB37" s="8"/>
      <c r="EC37" s="8"/>
      <c r="ED37" s="8"/>
      <c r="EE37" s="8"/>
      <c r="EF37" s="8"/>
      <c r="EG37" s="7">
        <f>COUNTIF(AnalizaCzyste[Czy jesteś przedstawicielem władz uczelni z grupy rektorów, prorektorów, dziekanów, prodziekanów, członków senatu lub członków rady uczelni?],"*"&amp;"Tak"&amp;"*")</f>
        <v>6</v>
      </c>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7">
        <f>COUNTIF(AnalizaCzyste[Czy jesteś przedstawicielem firmy, w której są zatrudniani absolwenci uczelni wyższych (tytuł licencjata, magistra lub wyższy)?],"*"&amp;"Tak"&amp;"*")</f>
        <v>10</v>
      </c>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7">
        <f>COUNTIF(AnalizaCzyste[Czy jesteś przedstawicielem władz samorządowych lub centralnych Rzeczypospolitej Polskiej?],"*"&amp;"Tak"&amp;"*")</f>
        <v>3</v>
      </c>
      <c r="GK37" s="7">
        <f>COUNTIF(AnalizaCzyste[Proszę wskaż jaki poziom władzy samorządowej lub centralnej reprezentujesz.],"*"&amp;"Tak"&amp;"*")</f>
        <v>0</v>
      </c>
      <c r="GL37" s="7">
        <f>COUNTIF(AnalizaCzyste[Proszę o podanie nazwy organu władzy jaki reprezentujesz.],"*"&amp;"Tak"&amp;"*")</f>
        <v>0</v>
      </c>
      <c r="GM37" s="7">
        <f>COUNTIF(AnalizaCzyste[Ile uczelni będziesz oceniać?26],"*"&amp;"Tak"&amp;"*")</f>
        <v>0</v>
      </c>
      <c r="GN37" s="7">
        <f>COUNTIF(AnalizaCzyste[Jak się nazywa uczelnia, którą ocenisz?],"*"&amp;"Tak"&amp;"*")</f>
        <v>0</v>
      </c>
      <c r="GO37" s="7">
        <f>COUNTIF(AnalizaCzyste[Efekty działań ocenianej uczelni na rzesz jakości edukacji są zgodne ze strategią rozwoju w regionie.],"*"&amp;"Tak"&amp;"*")</f>
        <v>0</v>
      </c>
      <c r="GP37" s="7">
        <f>COUNTIF(AnalizaCzyste[Wartość wykształcenia zdobywanego przez studentów na ocenianej uczelni jest wysoka.27],"*"&amp;"Tak"&amp;"*")</f>
        <v>0</v>
      </c>
      <c r="GQ37" s="7">
        <f>COUNTIF(AnalizaCzyste[Zdobyte przez studentów ocenianej uczelni wykształcenie miało/ma pozytywny wpływ na ich zarobki.28],"*"&amp;"Tak"&amp;"*")</f>
        <v>0</v>
      </c>
      <c r="GR37" s="7">
        <f>COUNTIF(AnalizaCzyste[Efekty działań ocenianej uczelni na rzecz jakości edukacji mają dobry wpływ na rozwój regionu.29],"*"&amp;"Tak"&amp;"*")</f>
        <v>0</v>
      </c>
      <c r="GS37" s="7">
        <f>COUNTIF(AnalizaCzyste[Efekty działań ocenianej uczelni na rzecz jakości edukacji mają dobry wpływ na rozwój Polski.30],"*"&amp;"Tak"&amp;"*")</f>
        <v>0</v>
      </c>
      <c r="GT37" s="7">
        <f>COUNTIF(AnalizaCzyste[Współpraca ocenianej uczelni z biznesem ma pozytywne efekty dla rozwoju regionu / kraju.31],"*"&amp;"Tak"&amp;"*")</f>
        <v>0</v>
      </c>
      <c r="GU37" s="7">
        <f>COUNTIF(AnalizaCzyste[Ogólny poziom mojej satysfakcji z jakości usług edukacyjnych ocenianej uczelni jest wysoki.32],"*"&amp;"Tak"&amp;"*")</f>
        <v>0</v>
      </c>
      <c r="GV37" s="7">
        <f>COUNTIF(AnalizaCzyste[Pole dodatkowe33],"*"&amp;"Tak"&amp;"*")</f>
        <v>0</v>
      </c>
      <c r="GW37" s="7">
        <f>COUNTIF(AnalizaCzyste[Jakie inne efekty pracy ocenianej uczelni technicznej dostrzegasz obecnie?],"*"&amp;"Tak"&amp;"*")</f>
        <v>0</v>
      </c>
      <c r="GX37" s="7">
        <f>COUNTIF(AnalizaCzyste[Czy będziesz oceniać drugą uczelnię?],"*"&amp;"Tak"&amp;"*")</f>
        <v>0</v>
      </c>
      <c r="GY37" s="7">
        <f>COUNTIF(AnalizaCzyste[Jak się nazywa uczelnia, którą ocenisz?34],"*"&amp;"Tak"&amp;"*")</f>
        <v>0</v>
      </c>
      <c r="GZ37" s="7">
        <f>COUNTIF(AnalizaCzyste[Efekty działań ocenianej uczelni na rzesz jakości edukacji są zgodne ze strategią rozwoju w regionie.35],"*"&amp;"Tak"&amp;"*")</f>
        <v>0</v>
      </c>
      <c r="HA37" s="7">
        <f>COUNTIF(AnalizaCzyste[Wartość wykształcenia zdobywanego przez studentów na ocenianej uczelni jest wysoka.36],"*"&amp;"Tak"&amp;"*")</f>
        <v>0</v>
      </c>
      <c r="HB37" s="7">
        <f>COUNTIF(AnalizaCzyste[Zdobyte przez studentów ocenianej uczelni wykształcenie miało/ma pozytywny wpływ na ich zarobki.37],"*"&amp;"Tak"&amp;"*")</f>
        <v>0</v>
      </c>
      <c r="HC37" s="7">
        <f>COUNTIF(AnalizaCzyste[Efekty działań ocenianej uczelni na rzecz jakości edukacji mają dobry wpływ na rozwój regionu.38],"*"&amp;"Tak"&amp;"*")</f>
        <v>0</v>
      </c>
      <c r="HD37" s="7">
        <f>COUNTIF(AnalizaCzyste[Efekty działań ocenianej uczelni na rzecz jakości edukacji mają dobry wpływ na rozwój Polski.39],"*"&amp;"Tak"&amp;"*")</f>
        <v>0</v>
      </c>
      <c r="HE37" s="7">
        <f>COUNTIF(AnalizaCzyste[Współpraca ocenianej uczelni z biznesem ma pozytywne efekty dla rozwoju regionu / kraju.40],"*"&amp;"Tak"&amp;"*")</f>
        <v>0</v>
      </c>
      <c r="HF37" s="7">
        <f>COUNTIF(AnalizaCzyste[Ogólny poziom mojej satysfakcji z jakości usług edukacyjnych ocenianej uczelni jest wysoki.41],"*"&amp;"Tak"&amp;"*")</f>
        <v>0</v>
      </c>
      <c r="HG37" s="7">
        <f>COUNTIF(AnalizaCzyste[Jakie inne efekty pracy ocenianej uczelni dostrzegasz obecnie?],"*"&amp;"Tak"&amp;"*")</f>
        <v>0</v>
      </c>
      <c r="HH37" s="7">
        <f>COUNTIF(AnalizaCzyste[Czy będziesz oceniać trzecią uczelnię?],"*"&amp;"Tak"&amp;"*")</f>
        <v>0</v>
      </c>
      <c r="HI37" s="7">
        <f>COUNTIF(AnalizaCzyste[Jak się nazywa uczelnia, którą ocenisz?42],"*"&amp;"Tak"&amp;"*")</f>
        <v>0</v>
      </c>
      <c r="HJ37" s="7">
        <f>COUNTIF(AnalizaCzyste[Efekty działań ocenianej uczelni na rzesz jakości edukacji są zgodne ze strategią rozwoju w regionie.43],"*"&amp;"Tak"&amp;"*")</f>
        <v>0</v>
      </c>
      <c r="HK37" s="7">
        <f>COUNTIF(AnalizaCzyste[Wartość wykształcenia zdobywanego przez studentów na ocenianej uczelni jest wysoka.44],"*"&amp;"Tak"&amp;"*")</f>
        <v>0</v>
      </c>
      <c r="HL37" s="7">
        <f>COUNTIF(AnalizaCzyste[Zdobyte przez studentów ocenianej uczelni wykształcenie miało/ma pozytywny wpływ na ich zarobki.45],"*"&amp;"Tak"&amp;"*")</f>
        <v>0</v>
      </c>
      <c r="HM37" s="7">
        <f>COUNTIF(AnalizaCzyste[Efekty działań ocenianej uczelni na rzecz jakości edukacji mają dobry wpływ na rozwój regionu.46],"*"&amp;"Tak"&amp;"*")</f>
        <v>0</v>
      </c>
      <c r="HN37" s="7">
        <f>COUNTIF(AnalizaCzyste[Efekty działań ocenianej uczelni na rzecz jakości edukacji mają dobry wpływ na rozwój Polski.47],"*"&amp;"Tak"&amp;"*")</f>
        <v>0</v>
      </c>
      <c r="HO37" s="7">
        <f>COUNTIF(AnalizaCzyste[Współpraca ocenianej uczelni z biznesem ma pozytywne efekty dla rozwoju regionu / kraju.48],"*"&amp;"Tak"&amp;"*")</f>
        <v>0</v>
      </c>
      <c r="HP37" s="7">
        <f>COUNTIF(AnalizaCzyste[Ogólny poziom mojej satysfakcji z jakości usług edukacyjnych ocenianej uczelni jest wysoki.49],"*"&amp;"Tak"&amp;"*")</f>
        <v>0</v>
      </c>
      <c r="HQ37" s="7">
        <f>COUNTIF(AnalizaCzyste[Jakie inne efekty pracy ocenianej uczelni dostrzegasz obecnie?50],"*"&amp;"Tak"&amp;"*")</f>
        <v>0</v>
      </c>
      <c r="HR37" s="7">
        <f>COUNTIF(AnalizaCzyste[Jakie, Twoim zdaniem, elementy decydują o tym, że uczelnie są lepsze lub gorsze.],"*"&amp;"Tak"&amp;"*")</f>
        <v>1</v>
      </c>
      <c r="HS37" s="7">
        <f>COUNTIF(AnalizaCzyste[Kolumna51],"*"&amp;"Tak"&amp;"*")</f>
        <v>2</v>
      </c>
      <c r="HT37" s="7">
        <f>COUNTIF(AnalizaCzyste[Kolumna52],"*"&amp;"Tak"&amp;"*")</f>
        <v>1</v>
      </c>
      <c r="HU37" s="7">
        <f>COUNTIF(AnalizaCzyste[Płeć],"*"&amp;"Mężczyzna"&amp;"*")</f>
        <v>27</v>
      </c>
      <c r="HV37" s="7">
        <f>COUNTIF(AnalizaCzyste[Rok urodzenia],"*"&amp;"Tak"&amp;"*")</f>
        <v>0</v>
      </c>
      <c r="HW37" s="7"/>
      <c r="HX37" s="7">
        <f>COUNTIF(AnalizaCzyste[Z jakiej wielkości miejscowości pochodzisz? (dotyczy miejscowości, w której się wychowałaś/eś],"*"&amp;"Tak"&amp;"*")</f>
        <v>0</v>
      </c>
    </row>
    <row r="38" spans="1:235" ht="15" thickTop="1" thickBot="1" x14ac:dyDescent="0.5">
      <c r="B38" s="20" t="s">
        <v>2293</v>
      </c>
      <c r="AJ38" s="7">
        <f>COUNTIF(AnalizaCzyste[Czy jesteś studentem uczelni wyższej?],"*"&amp;"Nie (przejście"&amp;"*")</f>
        <v>31</v>
      </c>
      <c r="AK38" s="8"/>
      <c r="AL38" s="8"/>
      <c r="AM38" s="8"/>
      <c r="AN38" s="8"/>
      <c r="AO38" s="8"/>
      <c r="AP38" s="8"/>
      <c r="AQ38" s="8"/>
      <c r="AR38" s="8"/>
      <c r="AS38" s="8"/>
      <c r="AT38" s="8"/>
      <c r="AU38" s="8"/>
      <c r="AV38" s="8"/>
      <c r="AW38" s="8"/>
      <c r="AX38" s="8"/>
      <c r="AY38" s="8"/>
      <c r="AZ38" s="7">
        <f>COUNTIF(AnalizaCzyste[Czy jesteś absolwentem uczelni wyższej?],"*"&amp;"Nie (przejście"&amp;"*")</f>
        <v>0</v>
      </c>
      <c r="BA38" s="8"/>
      <c r="BB38" s="8"/>
      <c r="BC38" s="8"/>
      <c r="BD38" s="8"/>
      <c r="BE38" s="8"/>
      <c r="BF38" s="8"/>
      <c r="BG38" s="8"/>
      <c r="BH38" s="8"/>
      <c r="BI38" s="8"/>
      <c r="BJ38" s="8"/>
      <c r="BK38" s="8"/>
      <c r="BL38" s="8"/>
      <c r="BM38" s="8"/>
      <c r="BN38" s="8"/>
      <c r="BO38" s="8"/>
      <c r="BP38" s="8"/>
      <c r="BQ38" s="8"/>
      <c r="BR38" s="8"/>
      <c r="BS38" s="7">
        <f>COUNTIF(AnalizaCzyste[Czy jesteś rodzicem / opiekunem absolwenta uczelni wyższej?],"*"&amp;"Nie (przejście"&amp;"*")</f>
        <v>21</v>
      </c>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7">
        <f>COUNTIF(AnalizaCzyste[Czy jesteś aktualnie pracownikiem administracyjnym uczelni wyższej?],"*"&amp;"Nie (przejście"&amp;"*")</f>
        <v>29</v>
      </c>
      <c r="DN38" s="8"/>
      <c r="DO38" s="8"/>
      <c r="DP38" s="8"/>
      <c r="DQ38" s="8"/>
      <c r="DR38" s="8"/>
      <c r="DS38" s="8"/>
      <c r="DT38" s="8"/>
      <c r="DU38" s="8"/>
      <c r="DV38" s="8"/>
      <c r="DW38" s="7">
        <f>COUNTIF(AnalizaCzyste[Czy jesteś aktualnie pracownikiem naukowym lub dydaktycznym uczelni wyższej?],"*"&amp;"Nie (przejście"&amp;"*")</f>
        <v>21</v>
      </c>
      <c r="DX38" s="8"/>
      <c r="DY38" s="8"/>
      <c r="DZ38" s="8"/>
      <c r="EA38" s="8"/>
      <c r="EB38" s="8"/>
      <c r="EC38" s="8"/>
      <c r="ED38" s="8"/>
      <c r="EE38" s="8"/>
      <c r="EF38" s="8"/>
      <c r="EG38" s="7">
        <f>COUNTIF(AnalizaCzyste[Czy jesteś przedstawicielem władz uczelni z grupy rektorów, prorektorów, dziekanów, prodziekanów, członków senatu lub członków rady uczelni?],"*"&amp;"Nie (przejście"&amp;"*")</f>
        <v>27</v>
      </c>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7">
        <f>COUNTIF(AnalizaCzyste[Czy jesteś przedstawicielem firmy, w której są zatrudniani absolwenci uczelni wyższych (tytuł licencjata, magistra lub wyższy)?],"*"&amp;"Nie (przejście"&amp;"*")</f>
        <v>23</v>
      </c>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7">
        <f>COUNTIF(AnalizaCzyste[Czy jesteś przedstawicielem władz samorządowych lub centralnych Rzeczypospolitej Polskiej?],"*"&amp;"Nie (przejście"&amp;"*")</f>
        <v>30</v>
      </c>
      <c r="GK38" s="7">
        <f>COUNTIF(AnalizaCzyste[Proszę wskaż jaki poziom władzy samorządowej lub centralnej reprezentujesz.],"*"&amp;"Nie (przejście"&amp;"*")</f>
        <v>0</v>
      </c>
      <c r="GL38" s="7">
        <f>COUNTIF(AnalizaCzyste[Proszę o podanie nazwy organu władzy jaki reprezentujesz.],"*"&amp;"Nie (przejście"&amp;"*")</f>
        <v>0</v>
      </c>
      <c r="GM38" s="7">
        <f>COUNTIF(AnalizaCzyste[Ile uczelni będziesz oceniać?26],"*"&amp;"Nie (przejście"&amp;"*")</f>
        <v>0</v>
      </c>
      <c r="GN38" s="7">
        <f>COUNTIF(AnalizaCzyste[Jak się nazywa uczelnia, którą ocenisz?],"*"&amp;"Nie (przejście"&amp;"*")</f>
        <v>0</v>
      </c>
      <c r="GO38" s="7">
        <f>COUNTIF(AnalizaCzyste[Efekty działań ocenianej uczelni na rzesz jakości edukacji są zgodne ze strategią rozwoju w regionie.],"*"&amp;"Nie (przejście"&amp;"*")</f>
        <v>0</v>
      </c>
      <c r="GP38" s="7">
        <f>COUNTIF(AnalizaCzyste[Wartość wykształcenia zdobywanego przez studentów na ocenianej uczelni jest wysoka.27],"*"&amp;"Nie (przejście"&amp;"*")</f>
        <v>0</v>
      </c>
      <c r="GQ38" s="7">
        <f>COUNTIF(AnalizaCzyste[Zdobyte przez studentów ocenianej uczelni wykształcenie miało/ma pozytywny wpływ na ich zarobki.28],"*"&amp;"Nie (przejście"&amp;"*")</f>
        <v>0</v>
      </c>
      <c r="GR38" s="7">
        <f>COUNTIF(AnalizaCzyste[Efekty działań ocenianej uczelni na rzecz jakości edukacji mają dobry wpływ na rozwój regionu.29],"*"&amp;"Nie (przejście"&amp;"*")</f>
        <v>0</v>
      </c>
      <c r="GS38" s="7">
        <f>COUNTIF(AnalizaCzyste[Efekty działań ocenianej uczelni na rzecz jakości edukacji mają dobry wpływ na rozwój Polski.30],"*"&amp;"Nie (przejście"&amp;"*")</f>
        <v>0</v>
      </c>
      <c r="GT38" s="7">
        <f>COUNTIF(AnalizaCzyste[Współpraca ocenianej uczelni z biznesem ma pozytywne efekty dla rozwoju regionu / kraju.31],"*"&amp;"Nie (przejście"&amp;"*")</f>
        <v>0</v>
      </c>
      <c r="GU38" s="7">
        <f>COUNTIF(AnalizaCzyste[Ogólny poziom mojej satysfakcji z jakości usług edukacyjnych ocenianej uczelni jest wysoki.32],"*"&amp;"Nie (przejście"&amp;"*")</f>
        <v>0</v>
      </c>
      <c r="GV38" s="7">
        <f>COUNTIF(AnalizaCzyste[Pole dodatkowe33],"*"&amp;"Nie (przejście"&amp;"*")</f>
        <v>0</v>
      </c>
      <c r="GW38" s="7">
        <f>COUNTIF(AnalizaCzyste[Jakie inne efekty pracy ocenianej uczelni technicznej dostrzegasz obecnie?],"*"&amp;"Nie (przejście"&amp;"*")</f>
        <v>0</v>
      </c>
      <c r="GX38" s="7">
        <f>COUNTIF(AnalizaCzyste[Czy będziesz oceniać drugą uczelnię?],"*"&amp;"Nie (przejście"&amp;"*")</f>
        <v>2</v>
      </c>
      <c r="GY38" s="7">
        <f>COUNTIF(AnalizaCzyste[Jak się nazywa uczelnia, którą ocenisz?34],"*"&amp;"Nie (przejście"&amp;"*")</f>
        <v>0</v>
      </c>
      <c r="GZ38" s="7">
        <f>COUNTIF(AnalizaCzyste[Efekty działań ocenianej uczelni na rzesz jakości edukacji są zgodne ze strategią rozwoju w regionie.35],"*"&amp;"Nie (przejście"&amp;"*")</f>
        <v>0</v>
      </c>
      <c r="HA38" s="7">
        <f>COUNTIF(AnalizaCzyste[Wartość wykształcenia zdobywanego przez studentów na ocenianej uczelni jest wysoka.36],"*"&amp;"Nie (przejście"&amp;"*")</f>
        <v>0</v>
      </c>
      <c r="HB38" s="7">
        <f>COUNTIF(AnalizaCzyste[Zdobyte przez studentów ocenianej uczelni wykształcenie miało/ma pozytywny wpływ na ich zarobki.37],"*"&amp;"Nie (przejście"&amp;"*")</f>
        <v>0</v>
      </c>
      <c r="HC38" s="7">
        <f>COUNTIF(AnalizaCzyste[Efekty działań ocenianej uczelni na rzecz jakości edukacji mają dobry wpływ na rozwój regionu.38],"*"&amp;"Nie (przejście"&amp;"*")</f>
        <v>0</v>
      </c>
      <c r="HD38" s="7">
        <f>COUNTIF(AnalizaCzyste[Efekty działań ocenianej uczelni na rzecz jakości edukacji mają dobry wpływ na rozwój Polski.39],"*"&amp;"Nie (przejście"&amp;"*")</f>
        <v>0</v>
      </c>
      <c r="HE38" s="7">
        <f>COUNTIF(AnalizaCzyste[Współpraca ocenianej uczelni z biznesem ma pozytywne efekty dla rozwoju regionu / kraju.40],"*"&amp;"Nie (przejście"&amp;"*")</f>
        <v>0</v>
      </c>
      <c r="HF38" s="7">
        <f>COUNTIF(AnalizaCzyste[Ogólny poziom mojej satysfakcji z jakości usług edukacyjnych ocenianej uczelni jest wysoki.41],"*"&amp;"Nie (przejście"&amp;"*")</f>
        <v>0</v>
      </c>
      <c r="HG38" s="7">
        <f>COUNTIF(AnalizaCzyste[Jakie inne efekty pracy ocenianej uczelni dostrzegasz obecnie?],"*"&amp;"Nie (przejście"&amp;"*")</f>
        <v>0</v>
      </c>
      <c r="HH38" s="7">
        <f>COUNTIF(AnalizaCzyste[Czy będziesz oceniać trzecią uczelnię?],"*"&amp;"Nie (przejście"&amp;"*")</f>
        <v>0</v>
      </c>
      <c r="HI38" s="7">
        <f>COUNTIF(AnalizaCzyste[Jak się nazywa uczelnia, którą ocenisz?42],"*"&amp;"Nie (przejście"&amp;"*")</f>
        <v>0</v>
      </c>
      <c r="HJ38" s="7">
        <f>COUNTIF(AnalizaCzyste[Efekty działań ocenianej uczelni na rzesz jakości edukacji są zgodne ze strategią rozwoju w regionie.43],"*"&amp;"Nie (przejście"&amp;"*")</f>
        <v>0</v>
      </c>
      <c r="HK38" s="7">
        <f>COUNTIF(AnalizaCzyste[Wartość wykształcenia zdobywanego przez studentów na ocenianej uczelni jest wysoka.44],"*"&amp;"Nie (przejście"&amp;"*")</f>
        <v>0</v>
      </c>
      <c r="HL38" s="7">
        <f>COUNTIF(AnalizaCzyste[Zdobyte przez studentów ocenianej uczelni wykształcenie miało/ma pozytywny wpływ na ich zarobki.45],"*"&amp;"Nie (przejście"&amp;"*")</f>
        <v>0</v>
      </c>
      <c r="HM38" s="7">
        <f>COUNTIF(AnalizaCzyste[Efekty działań ocenianej uczelni na rzecz jakości edukacji mają dobry wpływ na rozwój regionu.46],"*"&amp;"Nie (przejście"&amp;"*")</f>
        <v>0</v>
      </c>
      <c r="HN38" s="7">
        <f>COUNTIF(AnalizaCzyste[Efekty działań ocenianej uczelni na rzecz jakości edukacji mają dobry wpływ na rozwój Polski.47],"*"&amp;"Nie (przejście"&amp;"*")</f>
        <v>0</v>
      </c>
      <c r="HO38" s="7">
        <f>COUNTIF(AnalizaCzyste[Współpraca ocenianej uczelni z biznesem ma pozytywne efekty dla rozwoju regionu / kraju.48],"*"&amp;"Nie (przejście"&amp;"*")</f>
        <v>0</v>
      </c>
      <c r="HP38" s="7">
        <f>COUNTIF(AnalizaCzyste[Ogólny poziom mojej satysfakcji z jakości usług edukacyjnych ocenianej uczelni jest wysoki.49],"*"&amp;"Nie (przejście"&amp;"*")</f>
        <v>0</v>
      </c>
      <c r="HQ38" s="7">
        <f>COUNTIF(AnalizaCzyste[Jakie inne efekty pracy ocenianej uczelni dostrzegasz obecnie?50],"*"&amp;"Nie (przejście"&amp;"*")</f>
        <v>0</v>
      </c>
      <c r="HR38" s="7">
        <f>COUNTIF(AnalizaCzyste[Jakie, Twoim zdaniem, elementy decydują o tym, że uczelnie są lepsze lub gorsze.],"*"&amp;"Nie (przejście"&amp;"*")</f>
        <v>0</v>
      </c>
      <c r="HS38" s="7">
        <f>COUNTIF(AnalizaCzyste[Kolumna51],"*"&amp;"Nie (przejście"&amp;"*")</f>
        <v>0</v>
      </c>
      <c r="HT38" s="7">
        <f>COUNTIF(AnalizaCzyste[Kolumna52],"*"&amp;"Nie (przejście"&amp;"*")</f>
        <v>0</v>
      </c>
      <c r="HU38" s="7">
        <f>COUNTIF(AnalizaCzyste[Płeć],"*"&amp;"Kobieta"&amp;"*")</f>
        <v>6</v>
      </c>
      <c r="HV38" s="7">
        <f>COUNTIF(AnalizaCzyste[Rok urodzenia],"*"&amp;"Nie (przejście"&amp;"*")</f>
        <v>0</v>
      </c>
      <c r="HW38" s="7"/>
      <c r="HX38" s="7">
        <f>COUNTIF(AnalizaCzyste[Z jakiej wielkości miejscowości pochodzisz? (dotyczy miejscowości, w której się wychowałaś/eś],"*"&amp;"Nie (przejście"&amp;"*")</f>
        <v>0</v>
      </c>
    </row>
    <row r="39" spans="1:235" ht="14.65" thickTop="1" x14ac:dyDescent="0.45">
      <c r="B39" s="20" t="s">
        <v>2294</v>
      </c>
      <c r="AJ39" s="7">
        <f>COUNTBLANK(AnalizaCzyste[Czy jesteś studentem uczelni wyższej?])</f>
        <v>0</v>
      </c>
      <c r="AK39" s="8"/>
      <c r="AL39" s="8"/>
      <c r="AM39" s="8"/>
      <c r="AN39" s="8"/>
      <c r="AO39" s="8"/>
      <c r="AP39" s="8"/>
      <c r="AQ39" s="8"/>
      <c r="AR39" s="8"/>
      <c r="AS39" s="8"/>
      <c r="AT39" s="8"/>
      <c r="AU39" s="8"/>
      <c r="AV39" s="8"/>
      <c r="AW39" s="8"/>
      <c r="AX39" s="8"/>
      <c r="AY39" s="8"/>
      <c r="AZ39" s="7">
        <f>COUNTBLANK(AnalizaCzyste[Czy jesteś absolwentem uczelni wyższej?])</f>
        <v>0</v>
      </c>
      <c r="BA39" s="8"/>
      <c r="BB39" s="8"/>
      <c r="BC39" s="8"/>
      <c r="BD39" s="8"/>
      <c r="BE39" s="8"/>
      <c r="BF39" s="8"/>
      <c r="BG39" s="8"/>
      <c r="BH39" s="8"/>
      <c r="BI39" s="8"/>
      <c r="BJ39" s="8"/>
      <c r="BK39" s="8"/>
      <c r="BL39" s="8"/>
      <c r="BM39" s="8"/>
      <c r="BN39" s="8"/>
      <c r="BO39" s="8"/>
      <c r="BP39" s="8"/>
      <c r="BQ39" s="8"/>
      <c r="BR39" s="8"/>
      <c r="BS39" s="7">
        <f>COUNTBLANK(AnalizaCzyste[Czy jesteś rodzicem / opiekunem absolwenta uczelni wyższej?])</f>
        <v>0</v>
      </c>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7">
        <f>COUNTBLANK(AnalizaCzyste[Czy jesteś aktualnie pracownikiem administracyjnym uczelni wyższej?])</f>
        <v>0</v>
      </c>
      <c r="DN39" s="8"/>
      <c r="DO39" s="8"/>
      <c r="DP39" s="8"/>
      <c r="DQ39" s="8"/>
      <c r="DR39" s="8"/>
      <c r="DS39" s="8"/>
      <c r="DT39" s="8"/>
      <c r="DU39" s="8"/>
      <c r="DV39" s="8"/>
      <c r="DW39" s="7">
        <f>COUNTBLANK(AnalizaCzyste[Czy jesteś aktualnie pracownikiem naukowym lub dydaktycznym uczelni wyższej?])</f>
        <v>0</v>
      </c>
      <c r="DX39" s="8"/>
      <c r="DY39" s="8"/>
      <c r="DZ39" s="8"/>
      <c r="EA39" s="8"/>
      <c r="EB39" s="8"/>
      <c r="EC39" s="8"/>
      <c r="ED39" s="8"/>
      <c r="EE39" s="8"/>
      <c r="EF39" s="8"/>
      <c r="EG39" s="7">
        <f>COUNTBLANK(AnalizaCzyste[Czy jesteś przedstawicielem władz uczelni z grupy rektorów, prorektorów, dziekanów, prodziekanów, członków senatu lub członków rady uczelni?])</f>
        <v>0</v>
      </c>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7">
        <f>COUNTBLANK(AnalizaCzyste[Czy jesteś przedstawicielem firmy, w której są zatrudniani absolwenci uczelni wyższych (tytuł licencjata, magistra lub wyższy)?])</f>
        <v>0</v>
      </c>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7">
        <f>COUNTBLANK(AnalizaCzyste[Czy jesteś przedstawicielem władz samorządowych lub centralnych Rzeczypospolitej Polskiej?])</f>
        <v>0</v>
      </c>
      <c r="GK39" s="7">
        <f>COUNTBLANK(AnalizaCzyste[Proszę wskaż jaki poziom władzy samorządowej lub centralnej reprezentujesz.])</f>
        <v>17</v>
      </c>
      <c r="GL39" s="7">
        <f>COUNTBLANK(AnalizaCzyste[Proszę o podanie nazwy organu władzy jaki reprezentujesz.])</f>
        <v>31</v>
      </c>
      <c r="GM39" s="7">
        <f>COUNTBLANK(AnalizaCzyste[Ile uczelni będziesz oceniać?26])</f>
        <v>21</v>
      </c>
      <c r="GN39" s="7">
        <f>COUNTBLANK(AnalizaCzyste[Jak się nazywa uczelnia, którą ocenisz?])</f>
        <v>31</v>
      </c>
      <c r="GO39" s="7">
        <f>COUNTBLANK(AnalizaCzyste[Efekty działań ocenianej uczelni na rzesz jakości edukacji są zgodne ze strategią rozwoju w regionie.])</f>
        <v>31</v>
      </c>
      <c r="GP39" s="7">
        <f>COUNTBLANK(AnalizaCzyste[Wartość wykształcenia zdobywanego przez studentów na ocenianej uczelni jest wysoka.27])</f>
        <v>31</v>
      </c>
      <c r="GQ39" s="7">
        <f>COUNTBLANK(AnalizaCzyste[Zdobyte przez studentów ocenianej uczelni wykształcenie miało/ma pozytywny wpływ na ich zarobki.28])</f>
        <v>31</v>
      </c>
      <c r="GR39" s="7">
        <f>COUNTBLANK(AnalizaCzyste[Efekty działań ocenianej uczelni na rzecz jakości edukacji mają dobry wpływ na rozwój regionu.29])</f>
        <v>31</v>
      </c>
      <c r="GS39" s="7">
        <f>COUNTBLANK(AnalizaCzyste[Efekty działań ocenianej uczelni na rzecz jakości edukacji mają dobry wpływ na rozwój Polski.30])</f>
        <v>31</v>
      </c>
      <c r="GT39" s="7">
        <f>COUNTBLANK(AnalizaCzyste[Współpraca ocenianej uczelni z biznesem ma pozytywne efekty dla rozwoju regionu / kraju.31])</f>
        <v>31</v>
      </c>
      <c r="GU39" s="7">
        <f>COUNTBLANK(AnalizaCzyste[Ogólny poziom mojej satysfakcji z jakości usług edukacyjnych ocenianej uczelni jest wysoki.32])</f>
        <v>31</v>
      </c>
      <c r="GV39" s="7">
        <f>COUNTBLANK(AnalizaCzyste[Pole dodatkowe33])</f>
        <v>33</v>
      </c>
      <c r="GW39" s="7">
        <f>COUNTBLANK(AnalizaCzyste[Jakie inne efekty pracy ocenianej uczelni technicznej dostrzegasz obecnie?])</f>
        <v>32</v>
      </c>
      <c r="GX39" s="7">
        <f>COUNTBLANK(AnalizaCzyste[Czy będziesz oceniać drugą uczelnię?])</f>
        <v>31</v>
      </c>
      <c r="GY39" s="7">
        <f>COUNTBLANK(AnalizaCzyste[Jak się nazywa uczelnia, którą ocenisz?34])</f>
        <v>33</v>
      </c>
      <c r="GZ39" s="7">
        <f>COUNTBLANK(AnalizaCzyste[Efekty działań ocenianej uczelni na rzesz jakości edukacji są zgodne ze strategią rozwoju w regionie.35])</f>
        <v>33</v>
      </c>
      <c r="HA39" s="7">
        <f>COUNTBLANK(AnalizaCzyste[Wartość wykształcenia zdobywanego przez studentów na ocenianej uczelni jest wysoka.36])</f>
        <v>33</v>
      </c>
      <c r="HB39" s="7">
        <f>COUNTBLANK(AnalizaCzyste[Zdobyte przez studentów ocenianej uczelni wykształcenie miało/ma pozytywny wpływ na ich zarobki.37])</f>
        <v>33</v>
      </c>
      <c r="HC39" s="7">
        <f>COUNTBLANK(AnalizaCzyste[Efekty działań ocenianej uczelni na rzecz jakości edukacji mają dobry wpływ na rozwój regionu.38])</f>
        <v>33</v>
      </c>
      <c r="HD39" s="7">
        <f>COUNTBLANK(AnalizaCzyste[Efekty działań ocenianej uczelni na rzecz jakości edukacji mają dobry wpływ na rozwój Polski.39])</f>
        <v>33</v>
      </c>
      <c r="HE39" s="7">
        <f>COUNTBLANK(AnalizaCzyste[Współpraca ocenianej uczelni z biznesem ma pozytywne efekty dla rozwoju regionu / kraju.40])</f>
        <v>33</v>
      </c>
      <c r="HF39" s="7">
        <f>COUNTBLANK(AnalizaCzyste[Ogólny poziom mojej satysfakcji z jakości usług edukacyjnych ocenianej uczelni jest wysoki.41])</f>
        <v>33</v>
      </c>
      <c r="HG39" s="7">
        <f>COUNTBLANK(AnalizaCzyste[Jakie inne efekty pracy ocenianej uczelni dostrzegasz obecnie?])</f>
        <v>33</v>
      </c>
      <c r="HH39" s="7">
        <f>COUNTBLANK(AnalizaCzyste[Czy będziesz oceniać trzecią uczelnię?])</f>
        <v>33</v>
      </c>
      <c r="HI39" s="7">
        <f>COUNTBLANK(AnalizaCzyste[Jak się nazywa uczelnia, którą ocenisz?42])</f>
        <v>33</v>
      </c>
      <c r="HJ39" s="7">
        <f>COUNTBLANK(AnalizaCzyste[Efekty działań ocenianej uczelni na rzesz jakości edukacji są zgodne ze strategią rozwoju w regionie.43])</f>
        <v>33</v>
      </c>
      <c r="HK39" s="7">
        <f>COUNTBLANK(AnalizaCzyste[Wartość wykształcenia zdobywanego przez studentów na ocenianej uczelni jest wysoka.44])</f>
        <v>33</v>
      </c>
      <c r="HL39" s="7">
        <f>COUNTBLANK(AnalizaCzyste[Zdobyte przez studentów ocenianej uczelni wykształcenie miało/ma pozytywny wpływ na ich zarobki.45])</f>
        <v>33</v>
      </c>
      <c r="HM39" s="7">
        <f>COUNTBLANK(AnalizaCzyste[Efekty działań ocenianej uczelni na rzecz jakości edukacji mają dobry wpływ na rozwój regionu.46])</f>
        <v>33</v>
      </c>
      <c r="HN39" s="7">
        <f>COUNTBLANK(AnalizaCzyste[Efekty działań ocenianej uczelni na rzecz jakości edukacji mają dobry wpływ na rozwój Polski.47])</f>
        <v>33</v>
      </c>
      <c r="HO39" s="7">
        <f>COUNTBLANK(AnalizaCzyste[Współpraca ocenianej uczelni z biznesem ma pozytywne efekty dla rozwoju regionu / kraju.48])</f>
        <v>33</v>
      </c>
      <c r="HP39" s="7">
        <f>COUNTBLANK(AnalizaCzyste[Ogólny poziom mojej satysfakcji z jakości usług edukacyjnych ocenianej uczelni jest wysoki.49])</f>
        <v>33</v>
      </c>
      <c r="HQ39" s="7">
        <f>COUNTBLANK(AnalizaCzyste[Jakie inne efekty pracy ocenianej uczelni dostrzegasz obecnie?50])</f>
        <v>33</v>
      </c>
      <c r="HR39" s="7">
        <f>COUNTBLANK(AnalizaCzyste[Jakie, Twoim zdaniem, elementy decydują o tym, że uczelnie są lepsze lub gorsze.])</f>
        <v>2</v>
      </c>
      <c r="HS39" s="7">
        <f>COUNTBLANK(AnalizaCzyste[Kolumna51])</f>
        <v>2</v>
      </c>
      <c r="HT39" s="7">
        <f>COUNTBLANK(AnalizaCzyste[Kolumna52])</f>
        <v>2</v>
      </c>
      <c r="HU39" s="7">
        <f>COUNTBLANK(AnalizaCzyste[Płeć])</f>
        <v>0</v>
      </c>
      <c r="HV39" s="7">
        <f>COUNTBLANK(AnalizaCzyste[Rok urodzenia])</f>
        <v>0</v>
      </c>
      <c r="HW39" s="7"/>
      <c r="HX39" s="7">
        <f>COUNTBLANK(AnalizaCzyste[Z jakiej wielkości miejscowości pochodzisz? (dotyczy miejscowości, w której się wychowałaś/eś])</f>
        <v>2</v>
      </c>
    </row>
    <row r="40" spans="1:235" ht="14.65" thickBot="1" x14ac:dyDescent="0.5">
      <c r="AJ40">
        <f t="shared" ref="AJ40:CV40" si="4">SUM(AJ37:AJ39)</f>
        <v>33</v>
      </c>
      <c r="AK40">
        <f t="shared" si="4"/>
        <v>0</v>
      </c>
      <c r="AL40">
        <f t="shared" si="4"/>
        <v>0</v>
      </c>
      <c r="AM40">
        <f t="shared" si="4"/>
        <v>0</v>
      </c>
      <c r="AN40">
        <f t="shared" si="4"/>
        <v>0</v>
      </c>
      <c r="AO40">
        <f t="shared" si="4"/>
        <v>0</v>
      </c>
      <c r="AP40">
        <f t="shared" si="4"/>
        <v>0</v>
      </c>
      <c r="AQ40">
        <f t="shared" si="4"/>
        <v>0</v>
      </c>
      <c r="AR40">
        <f t="shared" si="4"/>
        <v>0</v>
      </c>
      <c r="AS40">
        <f t="shared" si="4"/>
        <v>0</v>
      </c>
      <c r="AT40">
        <f t="shared" si="4"/>
        <v>0</v>
      </c>
      <c r="AU40">
        <f t="shared" si="4"/>
        <v>0</v>
      </c>
      <c r="AV40">
        <f t="shared" si="4"/>
        <v>0</v>
      </c>
      <c r="AW40">
        <f t="shared" si="4"/>
        <v>0</v>
      </c>
      <c r="AX40">
        <f t="shared" si="4"/>
        <v>0</v>
      </c>
      <c r="AY40">
        <f t="shared" si="4"/>
        <v>0</v>
      </c>
      <c r="AZ40">
        <f t="shared" si="4"/>
        <v>33</v>
      </c>
      <c r="BA40">
        <f t="shared" si="4"/>
        <v>0</v>
      </c>
      <c r="BC40">
        <f t="shared" si="4"/>
        <v>0</v>
      </c>
      <c r="BD40">
        <f t="shared" si="4"/>
        <v>0</v>
      </c>
      <c r="BE40">
        <f t="shared" si="4"/>
        <v>0</v>
      </c>
      <c r="BF40">
        <f t="shared" si="4"/>
        <v>0</v>
      </c>
      <c r="BG40">
        <f t="shared" si="4"/>
        <v>0</v>
      </c>
      <c r="BH40">
        <f t="shared" si="4"/>
        <v>0</v>
      </c>
      <c r="BI40">
        <f t="shared" si="4"/>
        <v>0</v>
      </c>
      <c r="BJ40">
        <f t="shared" si="4"/>
        <v>0</v>
      </c>
      <c r="BK40">
        <f t="shared" si="4"/>
        <v>0</v>
      </c>
      <c r="BL40">
        <f t="shared" si="4"/>
        <v>0</v>
      </c>
      <c r="BM40">
        <f t="shared" si="4"/>
        <v>0</v>
      </c>
      <c r="BN40">
        <f t="shared" si="4"/>
        <v>0</v>
      </c>
      <c r="BO40">
        <f t="shared" si="4"/>
        <v>0</v>
      </c>
      <c r="BP40">
        <f t="shared" si="4"/>
        <v>0</v>
      </c>
      <c r="BQ40">
        <f t="shared" si="4"/>
        <v>0</v>
      </c>
      <c r="BR40">
        <f t="shared" si="4"/>
        <v>0</v>
      </c>
      <c r="BS40">
        <f t="shared" si="4"/>
        <v>33</v>
      </c>
      <c r="BT40">
        <f t="shared" si="4"/>
        <v>0</v>
      </c>
      <c r="BU40">
        <f t="shared" si="4"/>
        <v>0</v>
      </c>
      <c r="BV40">
        <f t="shared" si="4"/>
        <v>0</v>
      </c>
      <c r="BW40">
        <f t="shared" si="4"/>
        <v>0</v>
      </c>
      <c r="BX40">
        <f t="shared" si="4"/>
        <v>0</v>
      </c>
      <c r="BY40">
        <f t="shared" si="4"/>
        <v>0</v>
      </c>
      <c r="BZ40">
        <f t="shared" si="4"/>
        <v>0</v>
      </c>
      <c r="CA40">
        <f t="shared" si="4"/>
        <v>0</v>
      </c>
      <c r="CB40">
        <f t="shared" si="4"/>
        <v>0</v>
      </c>
      <c r="CC40">
        <f t="shared" si="4"/>
        <v>0</v>
      </c>
      <c r="CD40">
        <f t="shared" si="4"/>
        <v>0</v>
      </c>
      <c r="CE40">
        <f t="shared" si="4"/>
        <v>0</v>
      </c>
      <c r="CF40">
        <f t="shared" si="4"/>
        <v>0</v>
      </c>
      <c r="CG40">
        <f t="shared" si="4"/>
        <v>0</v>
      </c>
      <c r="CH40">
        <f t="shared" si="4"/>
        <v>0</v>
      </c>
      <c r="CI40">
        <f t="shared" si="4"/>
        <v>0</v>
      </c>
      <c r="CJ40">
        <f t="shared" si="4"/>
        <v>0</v>
      </c>
      <c r="CK40">
        <f t="shared" si="4"/>
        <v>0</v>
      </c>
      <c r="CL40">
        <f t="shared" si="4"/>
        <v>0</v>
      </c>
      <c r="CM40">
        <f t="shared" si="4"/>
        <v>0</v>
      </c>
      <c r="CN40">
        <f t="shared" si="4"/>
        <v>0</v>
      </c>
      <c r="CO40">
        <f t="shared" si="4"/>
        <v>0</v>
      </c>
      <c r="CP40">
        <f t="shared" si="4"/>
        <v>0</v>
      </c>
      <c r="CQ40">
        <f t="shared" si="4"/>
        <v>0</v>
      </c>
      <c r="CR40">
        <f t="shared" si="4"/>
        <v>0</v>
      </c>
      <c r="CS40">
        <f t="shared" si="4"/>
        <v>0</v>
      </c>
      <c r="CT40">
        <f t="shared" si="4"/>
        <v>0</v>
      </c>
      <c r="CU40">
        <f t="shared" si="4"/>
        <v>0</v>
      </c>
      <c r="CV40">
        <f t="shared" si="4"/>
        <v>0</v>
      </c>
      <c r="CW40">
        <f t="shared" ref="CW40:EG40" si="5">SUM(CW37:CW39)</f>
        <v>0</v>
      </c>
      <c r="CX40">
        <f t="shared" si="5"/>
        <v>0</v>
      </c>
      <c r="CY40">
        <f t="shared" si="5"/>
        <v>0</v>
      </c>
      <c r="CZ40">
        <f t="shared" si="5"/>
        <v>0</v>
      </c>
      <c r="DA40">
        <f t="shared" si="5"/>
        <v>0</v>
      </c>
      <c r="DB40">
        <f t="shared" si="5"/>
        <v>0</v>
      </c>
      <c r="DC40">
        <f t="shared" si="5"/>
        <v>0</v>
      </c>
      <c r="DD40">
        <f t="shared" si="5"/>
        <v>0</v>
      </c>
      <c r="DE40">
        <f t="shared" si="5"/>
        <v>0</v>
      </c>
      <c r="DF40">
        <f t="shared" si="5"/>
        <v>0</v>
      </c>
      <c r="DG40">
        <f t="shared" si="5"/>
        <v>0</v>
      </c>
      <c r="DH40">
        <f t="shared" si="5"/>
        <v>0</v>
      </c>
      <c r="DI40">
        <f t="shared" si="5"/>
        <v>0</v>
      </c>
      <c r="DJ40">
        <f t="shared" si="5"/>
        <v>0</v>
      </c>
      <c r="DK40">
        <f t="shared" si="5"/>
        <v>0</v>
      </c>
      <c r="DL40">
        <f t="shared" si="5"/>
        <v>0</v>
      </c>
      <c r="DM40">
        <f t="shared" si="5"/>
        <v>33</v>
      </c>
      <c r="DN40">
        <f t="shared" si="5"/>
        <v>0</v>
      </c>
      <c r="DO40">
        <f t="shared" si="5"/>
        <v>0</v>
      </c>
      <c r="DP40">
        <f t="shared" si="5"/>
        <v>0</v>
      </c>
      <c r="DQ40">
        <f t="shared" si="5"/>
        <v>0</v>
      </c>
      <c r="DR40">
        <f t="shared" si="5"/>
        <v>0</v>
      </c>
      <c r="DS40">
        <f t="shared" si="5"/>
        <v>0</v>
      </c>
      <c r="DT40">
        <f t="shared" si="5"/>
        <v>0</v>
      </c>
      <c r="DU40">
        <f t="shared" si="5"/>
        <v>0</v>
      </c>
      <c r="DV40">
        <f t="shared" si="5"/>
        <v>0</v>
      </c>
      <c r="DW40">
        <f t="shared" si="5"/>
        <v>33</v>
      </c>
      <c r="DX40">
        <f t="shared" si="5"/>
        <v>0</v>
      </c>
      <c r="DY40">
        <f t="shared" si="5"/>
        <v>0</v>
      </c>
      <c r="DZ40">
        <f t="shared" si="5"/>
        <v>0</v>
      </c>
      <c r="EA40">
        <f t="shared" si="5"/>
        <v>0</v>
      </c>
      <c r="EB40">
        <f t="shared" si="5"/>
        <v>0</v>
      </c>
      <c r="EC40">
        <f t="shared" si="5"/>
        <v>0</v>
      </c>
      <c r="ED40">
        <f t="shared" si="5"/>
        <v>0</v>
      </c>
      <c r="EE40">
        <f t="shared" si="5"/>
        <v>0</v>
      </c>
      <c r="EF40">
        <f t="shared" si="5"/>
        <v>0</v>
      </c>
      <c r="EG40">
        <f t="shared" si="5"/>
        <v>33</v>
      </c>
      <c r="EH40">
        <f>SUM(EH37:EH39)</f>
        <v>0</v>
      </c>
      <c r="EI40">
        <f t="shared" ref="EI40:GT40" si="6">SUM(EI37:EI39)</f>
        <v>0</v>
      </c>
      <c r="EJ40">
        <f t="shared" si="6"/>
        <v>0</v>
      </c>
      <c r="EK40">
        <f t="shared" si="6"/>
        <v>0</v>
      </c>
      <c r="EL40">
        <f t="shared" si="6"/>
        <v>0</v>
      </c>
      <c r="EM40">
        <f t="shared" si="6"/>
        <v>0</v>
      </c>
      <c r="EN40">
        <f t="shared" si="6"/>
        <v>0</v>
      </c>
      <c r="EO40">
        <f t="shared" si="6"/>
        <v>0</v>
      </c>
      <c r="EP40">
        <f t="shared" si="6"/>
        <v>0</v>
      </c>
      <c r="EQ40">
        <f t="shared" si="6"/>
        <v>0</v>
      </c>
      <c r="ER40">
        <f t="shared" si="6"/>
        <v>0</v>
      </c>
      <c r="ES40">
        <f t="shared" si="6"/>
        <v>0</v>
      </c>
      <c r="ET40">
        <f t="shared" si="6"/>
        <v>0</v>
      </c>
      <c r="EU40">
        <f t="shared" si="6"/>
        <v>0</v>
      </c>
      <c r="EV40">
        <f t="shared" si="6"/>
        <v>0</v>
      </c>
      <c r="EW40">
        <f t="shared" si="6"/>
        <v>0</v>
      </c>
      <c r="EX40">
        <f t="shared" si="6"/>
        <v>0</v>
      </c>
      <c r="EY40">
        <f t="shared" si="6"/>
        <v>0</v>
      </c>
      <c r="EZ40">
        <f t="shared" si="6"/>
        <v>0</v>
      </c>
      <c r="FA40">
        <f t="shared" si="6"/>
        <v>0</v>
      </c>
      <c r="FB40">
        <f t="shared" si="6"/>
        <v>0</v>
      </c>
      <c r="FC40">
        <f t="shared" si="6"/>
        <v>0</v>
      </c>
      <c r="FD40">
        <f t="shared" si="6"/>
        <v>0</v>
      </c>
      <c r="FE40">
        <f t="shared" si="6"/>
        <v>0</v>
      </c>
      <c r="FF40">
        <f t="shared" si="6"/>
        <v>0</v>
      </c>
      <c r="FG40">
        <f t="shared" si="6"/>
        <v>0</v>
      </c>
      <c r="FH40">
        <f t="shared" si="6"/>
        <v>0</v>
      </c>
      <c r="FI40">
        <f t="shared" si="6"/>
        <v>0</v>
      </c>
      <c r="FJ40">
        <f t="shared" si="6"/>
        <v>33</v>
      </c>
      <c r="FK40">
        <f t="shared" si="6"/>
        <v>0</v>
      </c>
      <c r="FL40">
        <f t="shared" si="6"/>
        <v>0</v>
      </c>
      <c r="FM40">
        <f t="shared" si="6"/>
        <v>0</v>
      </c>
      <c r="FN40">
        <f t="shared" si="6"/>
        <v>0</v>
      </c>
      <c r="FO40">
        <f t="shared" si="6"/>
        <v>0</v>
      </c>
      <c r="FP40">
        <f t="shared" si="6"/>
        <v>0</v>
      </c>
      <c r="FQ40">
        <f t="shared" si="6"/>
        <v>0</v>
      </c>
      <c r="FR40">
        <f t="shared" si="6"/>
        <v>0</v>
      </c>
      <c r="FS40">
        <f t="shared" si="6"/>
        <v>0</v>
      </c>
      <c r="FT40">
        <f t="shared" si="6"/>
        <v>0</v>
      </c>
      <c r="FU40">
        <f t="shared" si="6"/>
        <v>0</v>
      </c>
      <c r="FV40">
        <f t="shared" si="6"/>
        <v>0</v>
      </c>
      <c r="FW40">
        <f t="shared" si="6"/>
        <v>0</v>
      </c>
      <c r="FX40">
        <f t="shared" si="6"/>
        <v>0</v>
      </c>
      <c r="FY40">
        <f t="shared" si="6"/>
        <v>0</v>
      </c>
      <c r="FZ40">
        <f t="shared" si="6"/>
        <v>0</v>
      </c>
      <c r="GA40">
        <f t="shared" si="6"/>
        <v>0</v>
      </c>
      <c r="GB40">
        <f t="shared" si="6"/>
        <v>0</v>
      </c>
      <c r="GC40">
        <f t="shared" si="6"/>
        <v>0</v>
      </c>
      <c r="GD40">
        <f t="shared" si="6"/>
        <v>0</v>
      </c>
      <c r="GE40">
        <f t="shared" si="6"/>
        <v>0</v>
      </c>
      <c r="GF40">
        <f t="shared" si="6"/>
        <v>0</v>
      </c>
      <c r="GG40">
        <f t="shared" si="6"/>
        <v>0</v>
      </c>
      <c r="GH40">
        <f t="shared" si="6"/>
        <v>0</v>
      </c>
      <c r="GI40">
        <f t="shared" si="6"/>
        <v>0</v>
      </c>
      <c r="GJ40">
        <f t="shared" si="6"/>
        <v>33</v>
      </c>
      <c r="GK40">
        <f t="shared" si="6"/>
        <v>17</v>
      </c>
      <c r="GL40">
        <f t="shared" si="6"/>
        <v>31</v>
      </c>
      <c r="GM40">
        <f t="shared" si="6"/>
        <v>21</v>
      </c>
      <c r="GN40">
        <f t="shared" si="6"/>
        <v>31</v>
      </c>
      <c r="GO40">
        <f t="shared" si="6"/>
        <v>31</v>
      </c>
      <c r="GP40">
        <f t="shared" si="6"/>
        <v>31</v>
      </c>
      <c r="GQ40">
        <f t="shared" si="6"/>
        <v>31</v>
      </c>
      <c r="GR40">
        <f t="shared" si="6"/>
        <v>31</v>
      </c>
      <c r="GS40">
        <f t="shared" si="6"/>
        <v>31</v>
      </c>
      <c r="GT40">
        <f t="shared" si="6"/>
        <v>31</v>
      </c>
      <c r="GU40">
        <f t="shared" ref="GU40:HU40" si="7">SUM(GU37:GU39)</f>
        <v>31</v>
      </c>
      <c r="GV40">
        <f t="shared" si="7"/>
        <v>33</v>
      </c>
      <c r="GW40">
        <f t="shared" si="7"/>
        <v>32</v>
      </c>
      <c r="GX40">
        <f t="shared" si="7"/>
        <v>33</v>
      </c>
      <c r="GY40">
        <f t="shared" si="7"/>
        <v>33</v>
      </c>
      <c r="GZ40">
        <f t="shared" si="7"/>
        <v>33</v>
      </c>
      <c r="HA40">
        <f t="shared" si="7"/>
        <v>33</v>
      </c>
      <c r="HB40">
        <f t="shared" si="7"/>
        <v>33</v>
      </c>
      <c r="HC40">
        <f t="shared" si="7"/>
        <v>33</v>
      </c>
      <c r="HD40">
        <f t="shared" si="7"/>
        <v>33</v>
      </c>
      <c r="HE40">
        <f t="shared" si="7"/>
        <v>33</v>
      </c>
      <c r="HF40">
        <f t="shared" si="7"/>
        <v>33</v>
      </c>
      <c r="HG40">
        <f t="shared" si="7"/>
        <v>33</v>
      </c>
      <c r="HH40">
        <f t="shared" si="7"/>
        <v>33</v>
      </c>
      <c r="HI40">
        <f t="shared" si="7"/>
        <v>33</v>
      </c>
      <c r="HJ40">
        <f t="shared" si="7"/>
        <v>33</v>
      </c>
      <c r="HK40">
        <f t="shared" si="7"/>
        <v>33</v>
      </c>
      <c r="HL40">
        <f t="shared" si="7"/>
        <v>33</v>
      </c>
      <c r="HM40">
        <f t="shared" si="7"/>
        <v>33</v>
      </c>
      <c r="HN40">
        <f t="shared" si="7"/>
        <v>33</v>
      </c>
      <c r="HO40">
        <f t="shared" si="7"/>
        <v>33</v>
      </c>
      <c r="HP40">
        <f t="shared" si="7"/>
        <v>33</v>
      </c>
      <c r="HQ40">
        <f t="shared" si="7"/>
        <v>33</v>
      </c>
      <c r="HR40">
        <f t="shared" si="7"/>
        <v>3</v>
      </c>
      <c r="HS40">
        <f t="shared" si="7"/>
        <v>4</v>
      </c>
      <c r="HT40">
        <f t="shared" si="7"/>
        <v>3</v>
      </c>
      <c r="HU40">
        <f t="shared" si="7"/>
        <v>33</v>
      </c>
      <c r="HV40">
        <f>SUM(HU36,HV39)</f>
        <v>33</v>
      </c>
      <c r="HX40">
        <f>SUM(HW36,HX39)</f>
        <v>33</v>
      </c>
    </row>
    <row r="41" spans="1:235" ht="14.65" thickTop="1" x14ac:dyDescent="0.45">
      <c r="AJ41" s="7"/>
      <c r="ET41" t="e">
        <f>SUM(#REF!,#REF!,#REF!,#REF!,#REF!)</f>
        <v>#REF!</v>
      </c>
      <c r="EU41" t="e">
        <f>SUM(#REF!,#REF!,#REF!,#REF!,#REF!)</f>
        <v>#REF!</v>
      </c>
      <c r="EV41" t="e">
        <f>SUM(#REF!,#REF!,#REF!,#REF!,#REF!)</f>
        <v>#REF!</v>
      </c>
      <c r="EW41" t="e">
        <f>SUM(#REF!,#REF!,#REF!,#REF!,#REF!)</f>
        <v>#REF!</v>
      </c>
      <c r="EX41" t="e">
        <f>SUM(#REF!,#REF!,#REF!,#REF!,#REF!)</f>
        <v>#REF!</v>
      </c>
      <c r="EY41" t="e">
        <f>SUM(#REF!,#REF!,#REF!,#REF!,#REF!)</f>
        <v>#REF!</v>
      </c>
      <c r="EZ41" t="e">
        <f>SUM(#REF!,#REF!,#REF!,#REF!,#REF!)</f>
        <v>#REF!</v>
      </c>
      <c r="FA41" t="e">
        <f>SUM(ET41:EZ41)</f>
        <v>#REF!</v>
      </c>
      <c r="FB41" t="e">
        <f>SUM(#REF!,#REF!,#REF!,#REF!,#REF!)</f>
        <v>#REF!</v>
      </c>
      <c r="FC41" t="e">
        <f>SUM(#REF!,#REF!,#REF!,#REF!,#REF!)</f>
        <v>#REF!</v>
      </c>
      <c r="FD41" t="e">
        <f>SUM(#REF!,#REF!,#REF!,#REF!,#REF!)</f>
        <v>#REF!</v>
      </c>
      <c r="FE41" t="e">
        <f>SUM(#REF!,#REF!,#REF!,#REF!,#REF!)</f>
        <v>#REF!</v>
      </c>
      <c r="FF41" t="e">
        <f>SUM(#REF!,#REF!,#REF!,#REF!,#REF!)</f>
        <v>#REF!</v>
      </c>
      <c r="FG41" t="e">
        <f>SUM(#REF!,#REF!,#REF!,#REF!,#REF!)</f>
        <v>#REF!</v>
      </c>
      <c r="FH41" t="e">
        <f>SUM(#REF!,#REF!,#REF!,#REF!,#REF!)</f>
        <v>#REF!</v>
      </c>
      <c r="FI41" t="e">
        <f>SUM(FB41:FH41)</f>
        <v>#REF!</v>
      </c>
    </row>
    <row r="42" spans="1:235" x14ac:dyDescent="0.45">
      <c r="ET42" s="33" t="e">
        <f t="shared" ref="ET42:EZ42" si="8">ET41/$FA$41</f>
        <v>#REF!</v>
      </c>
      <c r="EU42" s="33" t="e">
        <f t="shared" si="8"/>
        <v>#REF!</v>
      </c>
      <c r="EV42" s="33" t="e">
        <f t="shared" si="8"/>
        <v>#REF!</v>
      </c>
      <c r="EW42" s="33" t="e">
        <f t="shared" si="8"/>
        <v>#REF!</v>
      </c>
      <c r="EX42" s="33" t="e">
        <f t="shared" si="8"/>
        <v>#REF!</v>
      </c>
      <c r="EY42" s="33" t="e">
        <f t="shared" si="8"/>
        <v>#REF!</v>
      </c>
      <c r="EZ42" s="33" t="e">
        <f t="shared" si="8"/>
        <v>#REF!</v>
      </c>
      <c r="FA42" s="33" t="e">
        <f>SUM(ET42:EZ42)</f>
        <v>#REF!</v>
      </c>
      <c r="FB42" s="33" t="e">
        <f t="shared" ref="FB42:FH42" si="9">FB41/$FA$41</f>
        <v>#REF!</v>
      </c>
      <c r="FC42" s="33" t="e">
        <f t="shared" si="9"/>
        <v>#REF!</v>
      </c>
      <c r="FD42" s="33" t="e">
        <f t="shared" si="9"/>
        <v>#REF!</v>
      </c>
      <c r="FE42" s="33" t="e">
        <f t="shared" si="9"/>
        <v>#REF!</v>
      </c>
      <c r="FF42" s="33" t="e">
        <f t="shared" si="9"/>
        <v>#REF!</v>
      </c>
      <c r="FG42" s="33" t="e">
        <f t="shared" si="9"/>
        <v>#REF!</v>
      </c>
      <c r="FH42" s="33" t="e">
        <f t="shared" si="9"/>
        <v>#REF!</v>
      </c>
      <c r="FI42" s="33" t="e">
        <f>SUM(FB42:FH42)</f>
        <v>#REF!</v>
      </c>
    </row>
  </sheetData>
  <sheetProtection formatCells="0" formatColumns="0" formatRows="0" insertColumns="0" insertRows="0" insertHyperlinks="0" deleteColumns="0" deleteRows="0" sort="0" autoFilter="0" pivotTables="0"/>
  <phoneticPr fontId="1" type="noConversion"/>
  <conditionalFormatting sqref="E2:E35">
    <cfRule type="duplicateValues" dxfId="110" priority="106"/>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20EE0-9811-44A8-8E75-1814665F5535}">
  <dimension ref="B1:J176"/>
  <sheetViews>
    <sheetView topLeftCell="A27" workbookViewId="0">
      <selection activeCell="F30" sqref="F30"/>
    </sheetView>
  </sheetViews>
  <sheetFormatPr defaultRowHeight="14.25" x14ac:dyDescent="0.45"/>
  <cols>
    <col min="1" max="1" width="18.33203125" customWidth="1"/>
    <col min="2" max="2" width="29.46484375" customWidth="1"/>
    <col min="3" max="3" width="23.6640625" customWidth="1"/>
    <col min="4" max="4" width="12.19921875" customWidth="1"/>
    <col min="6" max="6" width="17.73046875" customWidth="1"/>
    <col min="7" max="7" width="20.6640625" customWidth="1"/>
  </cols>
  <sheetData>
    <row r="1" spans="2:4" x14ac:dyDescent="0.45">
      <c r="C1" s="20" t="s">
        <v>2486</v>
      </c>
    </row>
    <row r="2" spans="2:4" x14ac:dyDescent="0.45">
      <c r="B2" s="20" t="s">
        <v>2315</v>
      </c>
      <c r="C2" s="20" t="s">
        <v>2312</v>
      </c>
    </row>
    <row r="3" spans="2:4" x14ac:dyDescent="0.45">
      <c r="B3">
        <v>1930</v>
      </c>
      <c r="C3" s="20" t="s">
        <v>2314</v>
      </c>
    </row>
    <row r="4" spans="2:4" x14ac:dyDescent="0.45">
      <c r="B4">
        <v>1955</v>
      </c>
      <c r="C4" s="20" t="s">
        <v>2449</v>
      </c>
    </row>
    <row r="5" spans="2:4" x14ac:dyDescent="0.45">
      <c r="B5">
        <v>1965</v>
      </c>
      <c r="C5" s="20" t="s">
        <v>2450</v>
      </c>
    </row>
    <row r="6" spans="2:4" x14ac:dyDescent="0.45">
      <c r="B6">
        <v>1975</v>
      </c>
      <c r="C6" s="20" t="s">
        <v>2451</v>
      </c>
    </row>
    <row r="7" spans="2:4" x14ac:dyDescent="0.45">
      <c r="B7">
        <v>1985</v>
      </c>
      <c r="C7" s="20" t="s">
        <v>2452</v>
      </c>
    </row>
    <row r="8" spans="2:4" x14ac:dyDescent="0.45">
      <c r="B8">
        <v>1995</v>
      </c>
      <c r="C8" s="20" t="s">
        <v>2313</v>
      </c>
    </row>
    <row r="9" spans="2:4" x14ac:dyDescent="0.45">
      <c r="C9" s="20"/>
    </row>
    <row r="10" spans="2:4" x14ac:dyDescent="0.45">
      <c r="C10" s="20"/>
    </row>
    <row r="11" spans="2:4" x14ac:dyDescent="0.45">
      <c r="B11" s="20" t="s">
        <v>2319</v>
      </c>
      <c r="C11" s="20" t="s">
        <v>2324</v>
      </c>
      <c r="D11" s="20" t="s">
        <v>2759</v>
      </c>
    </row>
    <row r="12" spans="2:4" x14ac:dyDescent="0.45">
      <c r="B12" s="28" t="s">
        <v>987</v>
      </c>
      <c r="C12" s="20" t="s">
        <v>2323</v>
      </c>
      <c r="D12" s="20" t="s">
        <v>2760</v>
      </c>
    </row>
    <row r="13" spans="2:4" x14ac:dyDescent="0.45">
      <c r="B13" s="28" t="s">
        <v>1503</v>
      </c>
      <c r="C13" s="20" t="s">
        <v>2321</v>
      </c>
      <c r="D13" s="20" t="s">
        <v>2759</v>
      </c>
    </row>
    <row r="14" spans="2:4" x14ac:dyDescent="0.45">
      <c r="B14" s="28" t="s">
        <v>234</v>
      </c>
      <c r="C14" s="20" t="s">
        <v>2321</v>
      </c>
      <c r="D14" s="20" t="s">
        <v>2760</v>
      </c>
    </row>
    <row r="15" spans="2:4" ht="28.5" x14ac:dyDescent="0.45">
      <c r="B15" s="28" t="s">
        <v>2270</v>
      </c>
      <c r="C15" s="20" t="s">
        <v>2321</v>
      </c>
      <c r="D15" s="20" t="s">
        <v>2760</v>
      </c>
    </row>
    <row r="16" spans="2:4" x14ac:dyDescent="0.45">
      <c r="B16" s="28" t="s">
        <v>2269</v>
      </c>
      <c r="C16" s="20" t="s">
        <v>2321</v>
      </c>
      <c r="D16" s="20" t="s">
        <v>2760</v>
      </c>
    </row>
    <row r="17" spans="2:4" ht="28.5" x14ac:dyDescent="0.45">
      <c r="B17" s="28" t="s">
        <v>2268</v>
      </c>
      <c r="C17" s="20" t="s">
        <v>2321</v>
      </c>
      <c r="D17" s="20" t="s">
        <v>2760</v>
      </c>
    </row>
    <row r="18" spans="2:4" x14ac:dyDescent="0.45">
      <c r="B18" s="28" t="s">
        <v>995</v>
      </c>
      <c r="C18" s="20" t="s">
        <v>2321</v>
      </c>
      <c r="D18" s="20" t="s">
        <v>2760</v>
      </c>
    </row>
    <row r="19" spans="2:4" x14ac:dyDescent="0.45">
      <c r="B19" s="28" t="s">
        <v>1461</v>
      </c>
      <c r="C19" s="20" t="s">
        <v>2321</v>
      </c>
      <c r="D19" s="20" t="s">
        <v>2760</v>
      </c>
    </row>
    <row r="20" spans="2:4" x14ac:dyDescent="0.45">
      <c r="B20" s="28" t="s">
        <v>428</v>
      </c>
      <c r="C20" s="20" t="s">
        <v>2321</v>
      </c>
      <c r="D20" s="20" t="s">
        <v>2760</v>
      </c>
    </row>
    <row r="21" spans="2:4" x14ac:dyDescent="0.45">
      <c r="B21" s="28" t="s">
        <v>191</v>
      </c>
      <c r="C21" s="20" t="s">
        <v>2321</v>
      </c>
      <c r="D21" s="20" t="s">
        <v>2759</v>
      </c>
    </row>
    <row r="22" spans="2:4" x14ac:dyDescent="0.45">
      <c r="B22" s="28" t="s">
        <v>2318</v>
      </c>
      <c r="C22" s="20" t="s">
        <v>2321</v>
      </c>
      <c r="D22" s="20" t="s">
        <v>2759</v>
      </c>
    </row>
    <row r="23" spans="2:4" x14ac:dyDescent="0.45">
      <c r="B23" s="28" t="s">
        <v>1415</v>
      </c>
      <c r="C23" s="20" t="s">
        <v>2321</v>
      </c>
      <c r="D23" s="20" t="s">
        <v>2759</v>
      </c>
    </row>
    <row r="24" spans="2:4" x14ac:dyDescent="0.45">
      <c r="B24" s="28" t="s">
        <v>1090</v>
      </c>
      <c r="C24" s="20" t="s">
        <v>2321</v>
      </c>
      <c r="D24" s="20" t="s">
        <v>2759</v>
      </c>
    </row>
    <row r="25" spans="2:4" x14ac:dyDescent="0.45">
      <c r="B25" s="28" t="s">
        <v>862</v>
      </c>
      <c r="C25" s="20" t="s">
        <v>2321</v>
      </c>
      <c r="D25" s="20" t="s">
        <v>2760</v>
      </c>
    </row>
    <row r="26" spans="2:4" x14ac:dyDescent="0.45">
      <c r="B26" s="28" t="s">
        <v>1290</v>
      </c>
      <c r="C26" s="20" t="s">
        <v>2323</v>
      </c>
      <c r="D26" s="20" t="s">
        <v>2760</v>
      </c>
    </row>
    <row r="27" spans="2:4" x14ac:dyDescent="0.45">
      <c r="B27" s="28" t="s">
        <v>1514</v>
      </c>
      <c r="C27" s="20" t="s">
        <v>2322</v>
      </c>
      <c r="D27" s="20" t="s">
        <v>2760</v>
      </c>
    </row>
    <row r="28" spans="2:4" ht="28.5" x14ac:dyDescent="0.45">
      <c r="B28" s="28" t="s">
        <v>2271</v>
      </c>
      <c r="C28" s="20" t="s">
        <v>2321</v>
      </c>
      <c r="D28" s="20" t="s">
        <v>2760</v>
      </c>
    </row>
    <row r="29" spans="2:4" ht="28.5" x14ac:dyDescent="0.45">
      <c r="B29" s="28" t="s">
        <v>553</v>
      </c>
      <c r="C29" s="20" t="s">
        <v>2321</v>
      </c>
      <c r="D29" s="20" t="s">
        <v>2760</v>
      </c>
    </row>
    <row r="30" spans="2:4" ht="28.5" x14ac:dyDescent="0.45">
      <c r="B30" s="28" t="s">
        <v>1472</v>
      </c>
      <c r="C30" s="20" t="s">
        <v>2321</v>
      </c>
      <c r="D30" s="20" t="s">
        <v>2760</v>
      </c>
    </row>
    <row r="31" spans="2:4" x14ac:dyDescent="0.45">
      <c r="B31" s="28" t="s">
        <v>223</v>
      </c>
      <c r="C31" s="20" t="s">
        <v>2321</v>
      </c>
      <c r="D31" s="20" t="s">
        <v>2760</v>
      </c>
    </row>
    <row r="32" spans="2:4" x14ac:dyDescent="0.45">
      <c r="B32" s="28" t="s">
        <v>445</v>
      </c>
      <c r="C32" s="20" t="s">
        <v>2321</v>
      </c>
      <c r="D32" s="20" t="s">
        <v>2760</v>
      </c>
    </row>
    <row r="33" spans="2:7" ht="28.5" x14ac:dyDescent="0.45">
      <c r="B33" s="28" t="s">
        <v>2272</v>
      </c>
      <c r="C33" s="20" t="s">
        <v>2321</v>
      </c>
      <c r="D33" s="20" t="s">
        <v>2760</v>
      </c>
    </row>
    <row r="34" spans="2:7" x14ac:dyDescent="0.45">
      <c r="B34" s="28" t="s">
        <v>813</v>
      </c>
      <c r="C34" s="20" t="s">
        <v>2321</v>
      </c>
      <c r="D34" s="20" t="s">
        <v>2760</v>
      </c>
    </row>
    <row r="35" spans="2:7" x14ac:dyDescent="0.45">
      <c r="B35" s="28" t="s">
        <v>1712</v>
      </c>
      <c r="C35" s="20" t="s">
        <v>2321</v>
      </c>
      <c r="D35" s="20" t="s">
        <v>2760</v>
      </c>
    </row>
    <row r="36" spans="2:7" ht="28.5" x14ac:dyDescent="0.45">
      <c r="B36" s="28" t="s">
        <v>1636</v>
      </c>
      <c r="C36" s="20" t="s">
        <v>2321</v>
      </c>
      <c r="D36" s="20" t="s">
        <v>2760</v>
      </c>
    </row>
    <row r="37" spans="2:7" x14ac:dyDescent="0.45">
      <c r="B37" s="28" t="s">
        <v>975</v>
      </c>
      <c r="C37" s="20" t="s">
        <v>2321</v>
      </c>
      <c r="D37" s="20" t="s">
        <v>2760</v>
      </c>
    </row>
    <row r="38" spans="2:7" x14ac:dyDescent="0.45">
      <c r="B38" s="28" t="s">
        <v>701</v>
      </c>
      <c r="C38" s="20" t="s">
        <v>2321</v>
      </c>
      <c r="D38" s="20" t="s">
        <v>2760</v>
      </c>
    </row>
    <row r="39" spans="2:7" x14ac:dyDescent="0.45">
      <c r="B39" s="28" t="s">
        <v>800</v>
      </c>
      <c r="C39" s="20" t="s">
        <v>2321</v>
      </c>
      <c r="D39" s="20" t="s">
        <v>2760</v>
      </c>
    </row>
    <row r="40" spans="2:7" x14ac:dyDescent="0.45">
      <c r="B40" s="28" t="s">
        <v>160</v>
      </c>
      <c r="C40" s="20" t="s">
        <v>2321</v>
      </c>
      <c r="D40" s="20" t="s">
        <v>2760</v>
      </c>
    </row>
    <row r="41" spans="2:7" x14ac:dyDescent="0.45">
      <c r="B41" s="28" t="s">
        <v>1439</v>
      </c>
      <c r="C41" s="20" t="s">
        <v>2323</v>
      </c>
      <c r="D41" s="20" t="s">
        <v>2760</v>
      </c>
    </row>
    <row r="43" spans="2:7" x14ac:dyDescent="0.45">
      <c r="B43" s="29" t="s">
        <v>2328</v>
      </c>
    </row>
    <row r="44" spans="2:7" x14ac:dyDescent="0.45">
      <c r="B44" s="20" t="s">
        <v>2330</v>
      </c>
      <c r="C44" s="20" t="s">
        <v>2331</v>
      </c>
      <c r="D44" s="20" t="s">
        <v>2429</v>
      </c>
      <c r="F44" s="20" t="s">
        <v>2432</v>
      </c>
      <c r="G44" s="20" t="s">
        <v>2431</v>
      </c>
    </row>
    <row r="45" spans="2:7" x14ac:dyDescent="0.45">
      <c r="B45" t="s">
        <v>169</v>
      </c>
      <c r="C45">
        <v>7</v>
      </c>
      <c r="D45" s="44">
        <f t="shared" ref="D45:D50" si="0">D46+6/7</f>
        <v>6.9999999999999991</v>
      </c>
      <c r="F45">
        <f>C51</f>
        <v>1</v>
      </c>
      <c r="G45" s="49" t="s">
        <v>129</v>
      </c>
    </row>
    <row r="46" spans="2:7" x14ac:dyDescent="0.45">
      <c r="B46" t="s">
        <v>150</v>
      </c>
      <c r="C46">
        <v>6</v>
      </c>
      <c r="D46" s="44">
        <f t="shared" si="0"/>
        <v>6.1428571428571423</v>
      </c>
      <c r="F46" s="44">
        <f>D51</f>
        <v>1.8571428571428572</v>
      </c>
      <c r="G46" s="50" t="s">
        <v>236</v>
      </c>
    </row>
    <row r="47" spans="2:7" x14ac:dyDescent="0.45">
      <c r="B47" t="s">
        <v>162</v>
      </c>
      <c r="C47">
        <v>5</v>
      </c>
      <c r="D47" s="44">
        <f t="shared" si="0"/>
        <v>5.2857142857142856</v>
      </c>
      <c r="F47" s="44">
        <f>D50</f>
        <v>2.7142857142857144</v>
      </c>
      <c r="G47" s="49" t="s">
        <v>128</v>
      </c>
    </row>
    <row r="48" spans="2:7" x14ac:dyDescent="0.45">
      <c r="B48" t="s">
        <v>151</v>
      </c>
      <c r="C48">
        <v>4</v>
      </c>
      <c r="D48" s="44">
        <f t="shared" si="0"/>
        <v>4.4285714285714288</v>
      </c>
      <c r="F48" s="44">
        <f>D49</f>
        <v>3.5714285714285716</v>
      </c>
      <c r="G48" s="50" t="s">
        <v>151</v>
      </c>
    </row>
    <row r="49" spans="2:10" x14ac:dyDescent="0.45">
      <c r="B49" t="s">
        <v>128</v>
      </c>
      <c r="C49">
        <v>3</v>
      </c>
      <c r="D49" s="44">
        <f t="shared" si="0"/>
        <v>3.5714285714285716</v>
      </c>
      <c r="F49" s="44">
        <f>D48</f>
        <v>4.4285714285714288</v>
      </c>
      <c r="G49" s="49" t="s">
        <v>162</v>
      </c>
    </row>
    <row r="50" spans="2:10" x14ac:dyDescent="0.45">
      <c r="B50" t="s">
        <v>236</v>
      </c>
      <c r="C50">
        <v>2</v>
      </c>
      <c r="D50" s="44">
        <f t="shared" si="0"/>
        <v>2.7142857142857144</v>
      </c>
      <c r="F50" s="44">
        <f>D47</f>
        <v>5.2857142857142856</v>
      </c>
      <c r="G50" s="50" t="s">
        <v>150</v>
      </c>
    </row>
    <row r="51" spans="2:10" x14ac:dyDescent="0.45">
      <c r="B51" t="s">
        <v>129</v>
      </c>
      <c r="C51">
        <v>1</v>
      </c>
      <c r="D51" s="44">
        <f>1+6/7</f>
        <v>1.8571428571428572</v>
      </c>
      <c r="F51" s="44">
        <f>D46</f>
        <v>6.1428571428571423</v>
      </c>
      <c r="G51" s="49" t="s">
        <v>169</v>
      </c>
    </row>
    <row r="52" spans="2:10" x14ac:dyDescent="0.45">
      <c r="B52" t="s">
        <v>132</v>
      </c>
      <c r="C52" s="20" t="s">
        <v>2329</v>
      </c>
    </row>
    <row r="55" spans="2:10" x14ac:dyDescent="0.45">
      <c r="C55" t="s">
        <v>2408</v>
      </c>
    </row>
    <row r="56" spans="2:10" ht="28.5" x14ac:dyDescent="0.45">
      <c r="C56" s="46" t="s">
        <v>2409</v>
      </c>
      <c r="D56" s="29" t="s">
        <v>2410</v>
      </c>
      <c r="E56" s="29" t="s">
        <v>2411</v>
      </c>
      <c r="F56" s="29" t="s">
        <v>2412</v>
      </c>
      <c r="G56" s="29" t="s">
        <v>2413</v>
      </c>
      <c r="H56" s="29" t="s">
        <v>2414</v>
      </c>
      <c r="I56" s="29" t="s">
        <v>2415</v>
      </c>
      <c r="J56" s="29" t="s">
        <v>2416</v>
      </c>
    </row>
    <row r="57" spans="2:10" x14ac:dyDescent="0.45">
      <c r="C57" s="29">
        <v>1</v>
      </c>
      <c r="D57">
        <f>TINV(D$56,$C57)</f>
        <v>1</v>
      </c>
      <c r="E57">
        <f t="shared" ref="E57:J72" si="1">TINV(E$56,$C57)</f>
        <v>3.077683537175254</v>
      </c>
      <c r="F57">
        <f t="shared" si="1"/>
        <v>6.3137515146750438</v>
      </c>
      <c r="G57">
        <f t="shared" si="1"/>
        <v>12.706204736174707</v>
      </c>
      <c r="H57">
        <f t="shared" si="1"/>
        <v>63.656741162871583</v>
      </c>
      <c r="I57">
        <f t="shared" si="1"/>
        <v>127.32133646887215</v>
      </c>
      <c r="J57">
        <f t="shared" si="1"/>
        <v>636.61924876871956</v>
      </c>
    </row>
    <row r="58" spans="2:10" x14ac:dyDescent="0.45">
      <c r="C58" s="29">
        <v>2</v>
      </c>
      <c r="D58">
        <f t="shared" ref="D58:J89" si="2">TINV(D$56,$C58)</f>
        <v>0.81649658092772592</v>
      </c>
      <c r="E58">
        <f t="shared" si="1"/>
        <v>1.8856180831641267</v>
      </c>
      <c r="F58">
        <f t="shared" si="1"/>
        <v>2.9199855803537269</v>
      </c>
      <c r="G58">
        <f t="shared" si="1"/>
        <v>4.3026527297494637</v>
      </c>
      <c r="H58">
        <f t="shared" si="1"/>
        <v>9.9248432009182928</v>
      </c>
      <c r="I58">
        <f t="shared" si="1"/>
        <v>14.089047275555295</v>
      </c>
      <c r="J58">
        <f t="shared" si="1"/>
        <v>31.599054576443621</v>
      </c>
    </row>
    <row r="59" spans="2:10" x14ac:dyDescent="0.45">
      <c r="C59" s="29">
        <v>3</v>
      </c>
      <c r="D59">
        <f t="shared" si="2"/>
        <v>0.76489232840434507</v>
      </c>
      <c r="E59">
        <f t="shared" si="1"/>
        <v>1.63774435369621</v>
      </c>
      <c r="F59">
        <f t="shared" si="1"/>
        <v>2.3533634348018233</v>
      </c>
      <c r="G59">
        <f t="shared" si="1"/>
        <v>3.1824463052837091</v>
      </c>
      <c r="H59">
        <f t="shared" si="1"/>
        <v>5.8409093097333571</v>
      </c>
      <c r="I59">
        <f t="shared" si="1"/>
        <v>7.4533185051506248</v>
      </c>
      <c r="J59">
        <f t="shared" si="1"/>
        <v>12.923978636687485</v>
      </c>
    </row>
    <row r="60" spans="2:10" x14ac:dyDescent="0.45">
      <c r="C60" s="29">
        <v>4</v>
      </c>
      <c r="D60">
        <f t="shared" si="2"/>
        <v>0.74069708411268287</v>
      </c>
      <c r="E60">
        <f t="shared" si="1"/>
        <v>1.5332062740589443</v>
      </c>
      <c r="F60">
        <f t="shared" si="1"/>
        <v>2.1318467863266499</v>
      </c>
      <c r="G60">
        <f t="shared" si="1"/>
        <v>2.7764451051977934</v>
      </c>
      <c r="H60">
        <f t="shared" si="1"/>
        <v>4.604094871349993</v>
      </c>
      <c r="I60">
        <f t="shared" si="1"/>
        <v>5.5975683670754597</v>
      </c>
      <c r="J60">
        <f t="shared" si="1"/>
        <v>8.6103015813792751</v>
      </c>
    </row>
    <row r="61" spans="2:10" x14ac:dyDescent="0.45">
      <c r="C61" s="29">
        <v>5</v>
      </c>
      <c r="D61">
        <f t="shared" si="2"/>
        <v>0.72668684380042159</v>
      </c>
      <c r="E61">
        <f t="shared" si="1"/>
        <v>1.4758840488244813</v>
      </c>
      <c r="F61">
        <f t="shared" si="1"/>
        <v>2.0150483733330233</v>
      </c>
      <c r="G61">
        <f t="shared" si="1"/>
        <v>2.570581835636315</v>
      </c>
      <c r="H61">
        <f t="shared" si="1"/>
        <v>4.0321429835552278</v>
      </c>
      <c r="I61">
        <f t="shared" si="1"/>
        <v>4.7733406048555223</v>
      </c>
      <c r="J61">
        <f t="shared" si="1"/>
        <v>6.8688266258811099</v>
      </c>
    </row>
    <row r="62" spans="2:10" x14ac:dyDescent="0.45">
      <c r="C62" s="29">
        <v>6</v>
      </c>
      <c r="D62">
        <f t="shared" si="2"/>
        <v>0.71755819649141217</v>
      </c>
      <c r="E62">
        <f t="shared" si="1"/>
        <v>1.4397557472651481</v>
      </c>
      <c r="F62">
        <f t="shared" si="1"/>
        <v>1.9431802805153031</v>
      </c>
      <c r="G62">
        <f t="shared" si="1"/>
        <v>2.4469118511449697</v>
      </c>
      <c r="H62">
        <f t="shared" si="1"/>
        <v>3.7074280213247794</v>
      </c>
      <c r="I62">
        <f t="shared" si="1"/>
        <v>4.3168271036333739</v>
      </c>
      <c r="J62">
        <f t="shared" si="1"/>
        <v>5.9588161788187586</v>
      </c>
    </row>
    <row r="63" spans="2:10" x14ac:dyDescent="0.45">
      <c r="C63" s="29">
        <v>7</v>
      </c>
      <c r="D63">
        <f t="shared" si="2"/>
        <v>0.71114177808178591</v>
      </c>
      <c r="E63">
        <f t="shared" si="1"/>
        <v>1.4149239276505079</v>
      </c>
      <c r="F63">
        <f t="shared" si="1"/>
        <v>1.8945786050900073</v>
      </c>
      <c r="G63">
        <f t="shared" si="1"/>
        <v>2.3646242515927849</v>
      </c>
      <c r="H63">
        <f t="shared" si="1"/>
        <v>3.4994832973504946</v>
      </c>
      <c r="I63">
        <f t="shared" si="1"/>
        <v>4.0293371776424847</v>
      </c>
      <c r="J63">
        <f t="shared" si="1"/>
        <v>5.4078825208617252</v>
      </c>
    </row>
    <row r="64" spans="2:10" x14ac:dyDescent="0.45">
      <c r="C64" s="29">
        <v>8</v>
      </c>
      <c r="D64">
        <f t="shared" si="2"/>
        <v>0.70638661264483749</v>
      </c>
      <c r="E64">
        <f t="shared" si="1"/>
        <v>1.3968153097438645</v>
      </c>
      <c r="F64">
        <f t="shared" si="1"/>
        <v>1.8595480375308981</v>
      </c>
      <c r="G64">
        <f t="shared" si="1"/>
        <v>2.3060041352041671</v>
      </c>
      <c r="H64">
        <f t="shared" si="1"/>
        <v>3.3553873313333953</v>
      </c>
      <c r="I64">
        <f t="shared" si="1"/>
        <v>3.8325186853443429</v>
      </c>
      <c r="J64">
        <f t="shared" si="1"/>
        <v>5.0413054333733669</v>
      </c>
    </row>
    <row r="65" spans="3:10" x14ac:dyDescent="0.45">
      <c r="C65" s="29">
        <v>9</v>
      </c>
      <c r="D65">
        <f t="shared" si="2"/>
        <v>0.70272214675132494</v>
      </c>
      <c r="E65">
        <f t="shared" si="1"/>
        <v>1.383028738396632</v>
      </c>
      <c r="F65">
        <f t="shared" si="1"/>
        <v>1.8331129326562374</v>
      </c>
      <c r="G65">
        <f t="shared" si="1"/>
        <v>2.2621571627982053</v>
      </c>
      <c r="H65">
        <f t="shared" si="1"/>
        <v>3.2498355415921263</v>
      </c>
      <c r="I65">
        <f t="shared" si="1"/>
        <v>3.6896623923042302</v>
      </c>
      <c r="J65">
        <f t="shared" si="1"/>
        <v>4.7809125859311381</v>
      </c>
    </row>
    <row r="66" spans="3:10" x14ac:dyDescent="0.45">
      <c r="C66" s="29">
        <v>10</v>
      </c>
      <c r="D66">
        <f t="shared" si="2"/>
        <v>0.69981206131243168</v>
      </c>
      <c r="E66">
        <f t="shared" si="1"/>
        <v>1.3721836411103363</v>
      </c>
      <c r="F66">
        <f t="shared" si="1"/>
        <v>1.812461122811676</v>
      </c>
      <c r="G66">
        <f t="shared" si="1"/>
        <v>2.2281388519862744</v>
      </c>
      <c r="H66">
        <f t="shared" si="1"/>
        <v>3.1692726726169518</v>
      </c>
      <c r="I66">
        <f t="shared" si="1"/>
        <v>3.5814062020906565</v>
      </c>
      <c r="J66">
        <f t="shared" si="1"/>
        <v>4.586893858702636</v>
      </c>
    </row>
    <row r="67" spans="3:10" x14ac:dyDescent="0.45">
      <c r="C67" s="29">
        <v>11</v>
      </c>
      <c r="D67">
        <f t="shared" si="2"/>
        <v>0.69744532755988053</v>
      </c>
      <c r="E67">
        <f t="shared" si="1"/>
        <v>1.3634303180205409</v>
      </c>
      <c r="F67">
        <f t="shared" si="1"/>
        <v>1.7958848187040437</v>
      </c>
      <c r="G67">
        <f t="shared" si="1"/>
        <v>2.2009851600916384</v>
      </c>
      <c r="H67">
        <f t="shared" si="1"/>
        <v>3.1058065155392809</v>
      </c>
      <c r="I67">
        <f t="shared" si="1"/>
        <v>3.4966141732536715</v>
      </c>
      <c r="J67">
        <f t="shared" si="1"/>
        <v>4.4369793382344493</v>
      </c>
    </row>
    <row r="68" spans="3:10" x14ac:dyDescent="0.45">
      <c r="C68" s="29">
        <v>12</v>
      </c>
      <c r="D68">
        <f t="shared" si="2"/>
        <v>0.69548286551179161</v>
      </c>
      <c r="E68">
        <f t="shared" si="1"/>
        <v>1.3562173340232047</v>
      </c>
      <c r="F68">
        <f t="shared" si="1"/>
        <v>1.7822875556493194</v>
      </c>
      <c r="G68">
        <f t="shared" si="1"/>
        <v>2.1788128296672284</v>
      </c>
      <c r="H68">
        <f t="shared" si="1"/>
        <v>3.0545395893929017</v>
      </c>
      <c r="I68">
        <f t="shared" si="1"/>
        <v>3.4284442422922528</v>
      </c>
      <c r="J68">
        <f t="shared" si="1"/>
        <v>4.3177912836061845</v>
      </c>
    </row>
    <row r="69" spans="3:10" x14ac:dyDescent="0.45">
      <c r="C69" s="29">
        <v>13</v>
      </c>
      <c r="D69">
        <f t="shared" si="2"/>
        <v>0.69382930423544042</v>
      </c>
      <c r="E69">
        <f t="shared" si="1"/>
        <v>1.3501712887800554</v>
      </c>
      <c r="F69">
        <f t="shared" si="1"/>
        <v>1.7709333959868729</v>
      </c>
      <c r="G69">
        <f t="shared" si="1"/>
        <v>2.1603686564627926</v>
      </c>
      <c r="H69">
        <f t="shared" si="1"/>
        <v>3.0122758387165782</v>
      </c>
      <c r="I69">
        <f t="shared" si="1"/>
        <v>3.3724679410109792</v>
      </c>
      <c r="J69">
        <f t="shared" si="1"/>
        <v>4.2208317277071208</v>
      </c>
    </row>
    <row r="70" spans="3:10" x14ac:dyDescent="0.45">
      <c r="C70" s="29">
        <v>14</v>
      </c>
      <c r="D70">
        <f t="shared" si="2"/>
        <v>0.69241706957000537</v>
      </c>
      <c r="E70">
        <f t="shared" si="1"/>
        <v>1.3450303744546506</v>
      </c>
      <c r="F70">
        <f t="shared" si="1"/>
        <v>1.7613101357748921</v>
      </c>
      <c r="G70">
        <f t="shared" si="1"/>
        <v>2.1447866879178044</v>
      </c>
      <c r="H70">
        <f t="shared" si="1"/>
        <v>2.9768427343708348</v>
      </c>
      <c r="I70">
        <f t="shared" si="1"/>
        <v>3.3256958178380245</v>
      </c>
      <c r="J70">
        <f t="shared" si="1"/>
        <v>4.1404541127382029</v>
      </c>
    </row>
    <row r="71" spans="3:10" x14ac:dyDescent="0.45">
      <c r="C71" s="29">
        <v>15</v>
      </c>
      <c r="D71">
        <f t="shared" si="2"/>
        <v>0.6911969489584906</v>
      </c>
      <c r="E71">
        <f t="shared" si="1"/>
        <v>1.3406056078504547</v>
      </c>
      <c r="F71">
        <f t="shared" si="1"/>
        <v>1.7530503556925723</v>
      </c>
      <c r="G71">
        <f t="shared" si="1"/>
        <v>2.1314495455597742</v>
      </c>
      <c r="H71">
        <f t="shared" si="1"/>
        <v>2.9467128834752381</v>
      </c>
      <c r="I71">
        <f t="shared" si="1"/>
        <v>3.2860385709462228</v>
      </c>
      <c r="J71">
        <f t="shared" si="1"/>
        <v>4.0727651959037905</v>
      </c>
    </row>
    <row r="72" spans="3:10" x14ac:dyDescent="0.45">
      <c r="C72" s="29">
        <v>16</v>
      </c>
      <c r="D72">
        <f t="shared" si="2"/>
        <v>0.69013225381055954</v>
      </c>
      <c r="E72">
        <f t="shared" si="1"/>
        <v>1.3367571673273144</v>
      </c>
      <c r="F72">
        <f t="shared" si="1"/>
        <v>1.7458836762762506</v>
      </c>
      <c r="G72">
        <f t="shared" si="1"/>
        <v>2.119905299221255</v>
      </c>
      <c r="H72">
        <f t="shared" si="1"/>
        <v>2.9207816224251002</v>
      </c>
      <c r="I72">
        <f t="shared" si="1"/>
        <v>3.2519928743828799</v>
      </c>
      <c r="J72">
        <f t="shared" si="1"/>
        <v>4.0149963271840559</v>
      </c>
    </row>
    <row r="73" spans="3:10" x14ac:dyDescent="0.45">
      <c r="C73" s="29">
        <v>17</v>
      </c>
      <c r="D73">
        <f t="shared" si="2"/>
        <v>0.68919507515393985</v>
      </c>
      <c r="E73">
        <f t="shared" si="2"/>
        <v>1.3333793897216262</v>
      </c>
      <c r="F73">
        <f t="shared" si="2"/>
        <v>1.7396067260750732</v>
      </c>
      <c r="G73">
        <f t="shared" si="2"/>
        <v>2.109815577833317</v>
      </c>
      <c r="H73">
        <f t="shared" si="2"/>
        <v>2.8982305196774178</v>
      </c>
      <c r="I73">
        <f t="shared" si="2"/>
        <v>3.2224499113574638</v>
      </c>
      <c r="J73">
        <f t="shared" si="2"/>
        <v>3.9651262721190315</v>
      </c>
    </row>
    <row r="74" spans="3:10" x14ac:dyDescent="0.45">
      <c r="C74" s="29">
        <v>18</v>
      </c>
      <c r="D74">
        <f t="shared" si="2"/>
        <v>0.68836380646620021</v>
      </c>
      <c r="E74">
        <f t="shared" si="2"/>
        <v>1.3303909435699084</v>
      </c>
      <c r="F74">
        <f t="shared" si="2"/>
        <v>1.7340636066175394</v>
      </c>
      <c r="G74">
        <f t="shared" si="2"/>
        <v>2.1009220402410378</v>
      </c>
      <c r="H74">
        <f t="shared" si="2"/>
        <v>2.8784404727386073</v>
      </c>
      <c r="I74">
        <f t="shared" si="2"/>
        <v>3.19657422225522</v>
      </c>
      <c r="J74">
        <f t="shared" si="2"/>
        <v>3.9216458250851596</v>
      </c>
    </row>
    <row r="75" spans="3:10" x14ac:dyDescent="0.45">
      <c r="C75" s="29">
        <v>19</v>
      </c>
      <c r="D75">
        <f t="shared" si="2"/>
        <v>0.68762146020395809</v>
      </c>
      <c r="E75">
        <f t="shared" si="2"/>
        <v>1.3277282090267981</v>
      </c>
      <c r="F75">
        <f t="shared" si="2"/>
        <v>1.7291328115213698</v>
      </c>
      <c r="G75">
        <f t="shared" si="2"/>
        <v>2.0930240544083096</v>
      </c>
      <c r="H75">
        <f t="shared" si="2"/>
        <v>2.8609346064649799</v>
      </c>
      <c r="I75">
        <f t="shared" si="2"/>
        <v>3.1737245307923159</v>
      </c>
      <c r="J75">
        <f t="shared" si="2"/>
        <v>3.883405852592082</v>
      </c>
    </row>
    <row r="76" spans="3:10" x14ac:dyDescent="0.45">
      <c r="C76" s="29">
        <v>20</v>
      </c>
      <c r="D76">
        <f t="shared" si="2"/>
        <v>0.68695449644880313</v>
      </c>
      <c r="E76">
        <f t="shared" si="2"/>
        <v>1.3253407069850465</v>
      </c>
      <c r="F76">
        <f t="shared" si="2"/>
        <v>1.7247182429207868</v>
      </c>
      <c r="G76">
        <f t="shared" si="2"/>
        <v>2.0859634472658648</v>
      </c>
      <c r="H76">
        <f t="shared" si="2"/>
        <v>2.8453397097861091</v>
      </c>
      <c r="I76">
        <f t="shared" si="2"/>
        <v>3.1534005329064536</v>
      </c>
      <c r="J76">
        <f t="shared" si="2"/>
        <v>3.8495162749308265</v>
      </c>
    </row>
    <row r="77" spans="3:10" x14ac:dyDescent="0.45">
      <c r="C77" s="29">
        <v>21</v>
      </c>
      <c r="D77">
        <f t="shared" si="2"/>
        <v>0.68635199072695385</v>
      </c>
      <c r="E77">
        <f t="shared" si="2"/>
        <v>1.3231878738651732</v>
      </c>
      <c r="F77">
        <f t="shared" si="2"/>
        <v>1.7207429028118781</v>
      </c>
      <c r="G77">
        <f t="shared" si="2"/>
        <v>2.07961384472768</v>
      </c>
      <c r="H77">
        <f t="shared" si="2"/>
        <v>2.8313595580230499</v>
      </c>
      <c r="I77">
        <f t="shared" si="2"/>
        <v>3.1352062454062688</v>
      </c>
      <c r="J77">
        <f t="shared" si="2"/>
        <v>3.8192771642744621</v>
      </c>
    </row>
    <row r="78" spans="3:10" x14ac:dyDescent="0.45">
      <c r="C78" s="29">
        <v>22</v>
      </c>
      <c r="D78">
        <f t="shared" si="2"/>
        <v>0.68580503172188534</v>
      </c>
      <c r="E78">
        <f t="shared" si="2"/>
        <v>1.3212367416133624</v>
      </c>
      <c r="F78">
        <f t="shared" si="2"/>
        <v>1.7171443743802424</v>
      </c>
      <c r="G78">
        <f t="shared" si="2"/>
        <v>2.0738730679040258</v>
      </c>
      <c r="H78">
        <f t="shared" si="2"/>
        <v>2.8187560606001436</v>
      </c>
      <c r="I78">
        <f t="shared" si="2"/>
        <v>3.1188242068607348</v>
      </c>
      <c r="J78">
        <f t="shared" si="2"/>
        <v>3.79213067169839</v>
      </c>
    </row>
    <row r="79" spans="3:10" x14ac:dyDescent="0.45">
      <c r="C79" s="29">
        <v>23</v>
      </c>
      <c r="D79">
        <f t="shared" si="2"/>
        <v>0.68530627806129341</v>
      </c>
      <c r="E79">
        <f t="shared" si="2"/>
        <v>1.3194602398161621</v>
      </c>
      <c r="F79">
        <f t="shared" si="2"/>
        <v>1.7138715277470482</v>
      </c>
      <c r="G79">
        <f t="shared" si="2"/>
        <v>2.0686576104190491</v>
      </c>
      <c r="H79">
        <f t="shared" si="2"/>
        <v>2.807335683769999</v>
      </c>
      <c r="I79">
        <f t="shared" si="2"/>
        <v>3.1039969631408812</v>
      </c>
      <c r="J79">
        <f t="shared" si="2"/>
        <v>3.7676268043117811</v>
      </c>
    </row>
    <row r="80" spans="3:10" x14ac:dyDescent="0.45">
      <c r="C80" s="29">
        <v>24</v>
      </c>
      <c r="D80">
        <f t="shared" si="2"/>
        <v>0.68484962723698206</v>
      </c>
      <c r="E80">
        <f t="shared" si="2"/>
        <v>1.3178359336731498</v>
      </c>
      <c r="F80">
        <f t="shared" si="2"/>
        <v>1.7108820799094284</v>
      </c>
      <c r="G80">
        <f t="shared" si="2"/>
        <v>2.0638985616280254</v>
      </c>
      <c r="H80">
        <f t="shared" si="2"/>
        <v>2.7969395047744556</v>
      </c>
      <c r="I80">
        <f t="shared" si="2"/>
        <v>3.0905135487169919</v>
      </c>
      <c r="J80">
        <f t="shared" si="2"/>
        <v>3.7453986192900528</v>
      </c>
    </row>
    <row r="81" spans="3:10" x14ac:dyDescent="0.45">
      <c r="C81" s="29">
        <v>25</v>
      </c>
      <c r="D81">
        <f t="shared" si="2"/>
        <v>0.68442996490426722</v>
      </c>
      <c r="E81">
        <f t="shared" si="2"/>
        <v>1.3163450726738706</v>
      </c>
      <c r="F81">
        <f t="shared" si="2"/>
        <v>1.7081407612518986</v>
      </c>
      <c r="G81">
        <f t="shared" si="2"/>
        <v>2.0595385527532977</v>
      </c>
      <c r="H81">
        <f t="shared" si="2"/>
        <v>2.7874358136769706</v>
      </c>
      <c r="I81">
        <f t="shared" si="2"/>
        <v>3.0781994605435226</v>
      </c>
      <c r="J81">
        <f t="shared" si="2"/>
        <v>3.7251439497286496</v>
      </c>
    </row>
    <row r="82" spans="3:10" x14ac:dyDescent="0.45">
      <c r="C82" s="29">
        <v>26</v>
      </c>
      <c r="D82">
        <f t="shared" si="2"/>
        <v>0.68404297268287217</v>
      </c>
      <c r="E82">
        <f t="shared" si="2"/>
        <v>1.3149718642705173</v>
      </c>
      <c r="F82">
        <f t="shared" si="2"/>
        <v>1.7056179197592738</v>
      </c>
      <c r="G82">
        <f t="shared" si="2"/>
        <v>2.0555294386428731</v>
      </c>
      <c r="H82">
        <f t="shared" si="2"/>
        <v>2.7787145333296839</v>
      </c>
      <c r="I82">
        <f t="shared" si="2"/>
        <v>3.0669091164305566</v>
      </c>
      <c r="J82">
        <f t="shared" si="2"/>
        <v>3.7066117434809116</v>
      </c>
    </row>
    <row r="83" spans="3:10" x14ac:dyDescent="0.45">
      <c r="C83" s="29">
        <v>27</v>
      </c>
      <c r="D83">
        <f t="shared" si="2"/>
        <v>0.68368497913103199</v>
      </c>
      <c r="E83">
        <f t="shared" si="2"/>
        <v>1.3137029128292739</v>
      </c>
      <c r="F83">
        <f t="shared" si="2"/>
        <v>1.7032884457221271</v>
      </c>
      <c r="G83">
        <f t="shared" si="2"/>
        <v>2.0518305164802859</v>
      </c>
      <c r="H83">
        <f t="shared" si="2"/>
        <v>2.770682957122212</v>
      </c>
      <c r="I83">
        <f t="shared" si="2"/>
        <v>3.0565201088565046</v>
      </c>
      <c r="J83">
        <f t="shared" si="2"/>
        <v>3.6895917134592362</v>
      </c>
    </row>
    <row r="84" spans="3:10" x14ac:dyDescent="0.45">
      <c r="C84" s="29">
        <v>28</v>
      </c>
      <c r="D84">
        <f t="shared" si="2"/>
        <v>0.68335284298850385</v>
      </c>
      <c r="E84">
        <f t="shared" si="2"/>
        <v>1.3125267815926682</v>
      </c>
      <c r="F84">
        <f t="shared" si="2"/>
        <v>1.7011309342659326</v>
      </c>
      <c r="G84">
        <f t="shared" si="2"/>
        <v>2.0484071417952445</v>
      </c>
      <c r="H84">
        <f t="shared" si="2"/>
        <v>2.7632624554614447</v>
      </c>
      <c r="I84">
        <f t="shared" si="2"/>
        <v>3.0469287750530354</v>
      </c>
      <c r="J84">
        <f t="shared" si="2"/>
        <v>3.6739064007012763</v>
      </c>
    </row>
    <row r="85" spans="3:10" x14ac:dyDescent="0.45">
      <c r="C85" s="29">
        <v>29</v>
      </c>
      <c r="D85">
        <f t="shared" si="2"/>
        <v>0.68304386082161361</v>
      </c>
      <c r="E85">
        <f t="shared" si="2"/>
        <v>1.3114336473015527</v>
      </c>
      <c r="F85">
        <f t="shared" si="2"/>
        <v>1.6991270265334986</v>
      </c>
      <c r="G85">
        <f t="shared" si="2"/>
        <v>2.0452296421327048</v>
      </c>
      <c r="H85">
        <f t="shared" si="2"/>
        <v>2.7563859036706049</v>
      </c>
      <c r="I85">
        <f t="shared" si="2"/>
        <v>3.0380467448491753</v>
      </c>
      <c r="J85">
        <f t="shared" si="2"/>
        <v>3.659405019466333</v>
      </c>
    </row>
    <row r="86" spans="3:10" x14ac:dyDescent="0.45">
      <c r="C86" s="29">
        <v>30</v>
      </c>
      <c r="D86">
        <f t="shared" si="2"/>
        <v>0.68275569332128949</v>
      </c>
      <c r="E86">
        <f t="shared" si="2"/>
        <v>1.3104150253913947</v>
      </c>
      <c r="F86">
        <f t="shared" si="2"/>
        <v>1.6972608865939587</v>
      </c>
      <c r="G86">
        <f t="shared" si="2"/>
        <v>2.0422724563012378</v>
      </c>
      <c r="H86">
        <f t="shared" si="2"/>
        <v>2.7499956535672259</v>
      </c>
      <c r="I86">
        <f t="shared" si="2"/>
        <v>3.029798223648243</v>
      </c>
      <c r="J86">
        <f t="shared" si="2"/>
        <v>3.6459586350420214</v>
      </c>
    </row>
    <row r="87" spans="3:10" x14ac:dyDescent="0.45">
      <c r="C87" s="29">
        <v>31</v>
      </c>
      <c r="D87">
        <f t="shared" si="2"/>
        <v>0.68248630600257054</v>
      </c>
      <c r="E87">
        <f t="shared" si="2"/>
        <v>1.3094635494946458</v>
      </c>
      <c r="F87">
        <f t="shared" si="2"/>
        <v>1.6955187825458664</v>
      </c>
      <c r="G87">
        <f t="shared" si="2"/>
        <v>2.0395134463964082</v>
      </c>
      <c r="H87">
        <f t="shared" si="2"/>
        <v>2.7440419192942698</v>
      </c>
      <c r="I87">
        <f t="shared" si="2"/>
        <v>3.0221178343096851</v>
      </c>
      <c r="J87">
        <f t="shared" si="2"/>
        <v>3.633456349758331</v>
      </c>
    </row>
    <row r="88" spans="3:10" x14ac:dyDescent="0.45">
      <c r="C88" s="29">
        <v>32</v>
      </c>
      <c r="D88">
        <f t="shared" si="2"/>
        <v>0.68223392112627324</v>
      </c>
      <c r="E88">
        <f t="shared" si="2"/>
        <v>1.3085727931295197</v>
      </c>
      <c r="F88">
        <f t="shared" si="2"/>
        <v>1.6938887483837093</v>
      </c>
      <c r="G88">
        <f t="shared" si="2"/>
        <v>2.0369333434601011</v>
      </c>
      <c r="H88">
        <f t="shared" si="2"/>
        <v>2.7384814820121886</v>
      </c>
      <c r="I88">
        <f t="shared" si="2"/>
        <v>3.0149488883545028</v>
      </c>
      <c r="J88">
        <f t="shared" si="2"/>
        <v>3.6218022598674953</v>
      </c>
    </row>
    <row r="89" spans="3:10" x14ac:dyDescent="0.45">
      <c r="C89" s="29">
        <v>33</v>
      </c>
      <c r="D89">
        <f t="shared" si="2"/>
        <v>0.68199697844127993</v>
      </c>
      <c r="E89">
        <f t="shared" si="2"/>
        <v>1.3077371244508877</v>
      </c>
      <c r="F89">
        <f t="shared" si="2"/>
        <v>1.6923603090303456</v>
      </c>
      <c r="G89">
        <f t="shared" si="2"/>
        <v>2.0345152974493397</v>
      </c>
      <c r="H89">
        <f t="shared" si="2"/>
        <v>2.733276642350837</v>
      </c>
      <c r="I89">
        <f t="shared" si="2"/>
        <v>3.0082419901232798</v>
      </c>
      <c r="J89">
        <f t="shared" si="2"/>
        <v>3.6109130076544274</v>
      </c>
    </row>
    <row r="90" spans="3:10" x14ac:dyDescent="0.45">
      <c r="C90" s="29">
        <v>34</v>
      </c>
      <c r="D90">
        <f t="shared" ref="D90:J121" si="3">TINV(D$56,$C90)</f>
        <v>0.68177410291557616</v>
      </c>
      <c r="E90">
        <f t="shared" si="3"/>
        <v>1.3069515871264279</v>
      </c>
      <c r="F90">
        <f t="shared" si="3"/>
        <v>1.6909242551868542</v>
      </c>
      <c r="G90">
        <f t="shared" si="3"/>
        <v>2.0322445093177191</v>
      </c>
      <c r="H90">
        <f t="shared" si="3"/>
        <v>2.7283943670707203</v>
      </c>
      <c r="I90">
        <f t="shared" si="3"/>
        <v>3.0019539014540748</v>
      </c>
      <c r="J90">
        <f t="shared" si="3"/>
        <v>3.6007157973864077</v>
      </c>
    </row>
    <row r="91" spans="3:10" x14ac:dyDescent="0.45">
      <c r="C91" s="29">
        <v>35</v>
      </c>
      <c r="D91">
        <f t="shared" si="3"/>
        <v>0.68156407804658736</v>
      </c>
      <c r="E91">
        <f t="shared" si="3"/>
        <v>1.3062118020160358</v>
      </c>
      <c r="F91">
        <f t="shared" si="3"/>
        <v>1.6895724577802647</v>
      </c>
      <c r="G91">
        <f t="shared" si="3"/>
        <v>2.0301079282503438</v>
      </c>
      <c r="H91">
        <f t="shared" si="3"/>
        <v>2.7238055892080912</v>
      </c>
      <c r="I91">
        <f t="shared" si="3"/>
        <v>2.9960466119017921</v>
      </c>
      <c r="J91">
        <f t="shared" si="3"/>
        <v>3.5911467758107785</v>
      </c>
    </row>
    <row r="92" spans="3:10" x14ac:dyDescent="0.45">
      <c r="C92" s="29">
        <v>36</v>
      </c>
      <c r="D92">
        <f t="shared" si="3"/>
        <v>0.6813658236568686</v>
      </c>
      <c r="E92">
        <f t="shared" si="3"/>
        <v>1.3055138855362491</v>
      </c>
      <c r="F92">
        <f t="shared" si="3"/>
        <v>1.6882977141168172</v>
      </c>
      <c r="G92">
        <f t="shared" si="3"/>
        <v>2.028094000980452</v>
      </c>
      <c r="H92">
        <f t="shared" si="3"/>
        <v>2.7194846304500082</v>
      </c>
      <c r="I92">
        <f t="shared" si="3"/>
        <v>2.9904865723842788</v>
      </c>
      <c r="J92">
        <f t="shared" si="3"/>
        <v>3.5821497014563373</v>
      </c>
    </row>
    <row r="93" spans="3:10" x14ac:dyDescent="0.45">
      <c r="C93" s="29">
        <v>37</v>
      </c>
      <c r="D93">
        <f t="shared" si="3"/>
        <v>0.68117837731985531</v>
      </c>
      <c r="E93">
        <f t="shared" si="3"/>
        <v>1.3048543814976252</v>
      </c>
      <c r="F93">
        <f t="shared" si="3"/>
        <v>1.6870936195962629</v>
      </c>
      <c r="G93">
        <f t="shared" si="3"/>
        <v>2.026192463029111</v>
      </c>
      <c r="H93">
        <f t="shared" si="3"/>
        <v>2.7154087215499887</v>
      </c>
      <c r="I93">
        <f t="shared" si="3"/>
        <v>2.9852440597161727</v>
      </c>
      <c r="J93">
        <f t="shared" si="3"/>
        <v>3.5736748444452058</v>
      </c>
    </row>
    <row r="94" spans="3:10" x14ac:dyDescent="0.45">
      <c r="C94" s="29">
        <v>38</v>
      </c>
      <c r="D94">
        <f t="shared" si="3"/>
        <v>0.68100087874171833</v>
      </c>
      <c r="E94">
        <f t="shared" si="3"/>
        <v>1.3042302038905009</v>
      </c>
      <c r="F94">
        <f t="shared" si="3"/>
        <v>1.6859544601667387</v>
      </c>
      <c r="G94">
        <f t="shared" si="3"/>
        <v>2.0243941639119702</v>
      </c>
      <c r="H94">
        <f t="shared" si="3"/>
        <v>2.711557601913082</v>
      </c>
      <c r="I94">
        <f t="shared" si="3"/>
        <v>2.9802926466868227</v>
      </c>
      <c r="J94">
        <f t="shared" si="3"/>
        <v>3.5656780715802339</v>
      </c>
    </row>
    <row r="95" spans="3:10" x14ac:dyDescent="0.45">
      <c r="C95" s="29">
        <v>39</v>
      </c>
      <c r="D95">
        <f t="shared" si="3"/>
        <v>0.68083255656460673</v>
      </c>
      <c r="E95">
        <f t="shared" si="3"/>
        <v>1.3036385886212738</v>
      </c>
      <c r="F95">
        <f t="shared" si="3"/>
        <v>1.6848751217112248</v>
      </c>
      <c r="G95">
        <f t="shared" si="3"/>
        <v>2.0226909200367595</v>
      </c>
      <c r="H95">
        <f t="shared" si="3"/>
        <v>2.7079131835176615</v>
      </c>
      <c r="I95">
        <f t="shared" si="3"/>
        <v>2.9756087577929864</v>
      </c>
      <c r="J95">
        <f t="shared" si="3"/>
        <v>3.5581200813327323</v>
      </c>
    </row>
    <row r="96" spans="3:10" x14ac:dyDescent="0.45">
      <c r="C96" s="29">
        <v>40</v>
      </c>
      <c r="D96">
        <f t="shared" si="3"/>
        <v>0.68067271716444966</v>
      </c>
      <c r="E96">
        <f t="shared" si="3"/>
        <v>1.3030770526071962</v>
      </c>
      <c r="F96">
        <f t="shared" si="3"/>
        <v>1.6838510133356521</v>
      </c>
      <c r="G96">
        <f t="shared" si="3"/>
        <v>2.0210753903062737</v>
      </c>
      <c r="H96">
        <f t="shared" si="3"/>
        <v>2.7044592674331631</v>
      </c>
      <c r="I96">
        <f t="shared" si="3"/>
        <v>2.9711712949060733</v>
      </c>
      <c r="J96">
        <f t="shared" si="3"/>
        <v>3.5509657608633112</v>
      </c>
    </row>
    <row r="97" spans="3:10" x14ac:dyDescent="0.45">
      <c r="C97" s="29">
        <v>41</v>
      </c>
      <c r="D97">
        <f t="shared" si="3"/>
        <v>0.68052073510019795</v>
      </c>
      <c r="E97">
        <f t="shared" si="3"/>
        <v>1.3025433589533821</v>
      </c>
      <c r="F97">
        <f t="shared" si="3"/>
        <v>1.6828780021327077</v>
      </c>
      <c r="G97">
        <f t="shared" si="3"/>
        <v>2.0195409704413767</v>
      </c>
      <c r="H97">
        <f t="shared" si="3"/>
        <v>2.7011813035785219</v>
      </c>
      <c r="I97">
        <f t="shared" si="3"/>
        <v>2.9669613203650944</v>
      </c>
      <c r="J97">
        <f t="shared" si="3"/>
        <v>3.5441836429715834</v>
      </c>
    </row>
    <row r="98" spans="3:10" x14ac:dyDescent="0.45">
      <c r="C98" s="29">
        <v>42</v>
      </c>
      <c r="D98">
        <f t="shared" si="3"/>
        <v>0.68037604493738657</v>
      </c>
      <c r="E98">
        <f t="shared" si="3"/>
        <v>1.3020354871825144</v>
      </c>
      <c r="F98">
        <f t="shared" si="3"/>
        <v>1.6819523574675355</v>
      </c>
      <c r="G98">
        <f t="shared" si="3"/>
        <v>2.0180817028184461</v>
      </c>
      <c r="H98">
        <f t="shared" si="3"/>
        <v>2.6980661862199842</v>
      </c>
      <c r="I98">
        <f t="shared" si="3"/>
        <v>2.9629617874787026</v>
      </c>
      <c r="J98">
        <f t="shared" si="3"/>
        <v>3.5377454453274293</v>
      </c>
    </row>
    <row r="99" spans="3:10" x14ac:dyDescent="0.45">
      <c r="C99" s="29">
        <v>43</v>
      </c>
      <c r="D99">
        <f t="shared" si="3"/>
        <v>0.68023813422066126</v>
      </c>
      <c r="E99">
        <f t="shared" si="3"/>
        <v>1.301551607682168</v>
      </c>
      <c r="F99">
        <f t="shared" si="3"/>
        <v>1.6810707032025196</v>
      </c>
      <c r="G99">
        <f t="shared" si="3"/>
        <v>2.0166921992278248</v>
      </c>
      <c r="H99">
        <f t="shared" si="3"/>
        <v>2.695102079157675</v>
      </c>
      <c r="I99">
        <f t="shared" si="3"/>
        <v>2.9591573103669315</v>
      </c>
      <c r="J99">
        <f t="shared" si="3"/>
        <v>3.5316256778080515</v>
      </c>
    </row>
    <row r="100" spans="3:10" x14ac:dyDescent="0.45">
      <c r="C100" s="29">
        <v>44</v>
      </c>
      <c r="D100">
        <f t="shared" si="3"/>
        <v>0.68010653741124139</v>
      </c>
      <c r="E100">
        <f t="shared" si="3"/>
        <v>1.3010900596888011</v>
      </c>
      <c r="F100">
        <f t="shared" si="3"/>
        <v>1.680229976572116</v>
      </c>
      <c r="G100">
        <f t="shared" si="3"/>
        <v>2.0153675744437649</v>
      </c>
      <c r="H100">
        <f t="shared" si="3"/>
        <v>2.6922782656930231</v>
      </c>
      <c r="I100">
        <f t="shared" si="3"/>
        <v>2.9555339666050702</v>
      </c>
      <c r="J100">
        <f t="shared" si="3"/>
        <v>3.5258013064871769</v>
      </c>
    </row>
    <row r="101" spans="3:10" x14ac:dyDescent="0.45">
      <c r="C101" s="29">
        <v>45</v>
      </c>
      <c r="D101">
        <f t="shared" si="3"/>
        <v>0.67998083063819126</v>
      </c>
      <c r="E101">
        <f t="shared" si="3"/>
        <v>1.3006493322502373</v>
      </c>
      <c r="F101">
        <f t="shared" si="3"/>
        <v>1.6794273926523535</v>
      </c>
      <c r="G101">
        <f t="shared" si="3"/>
        <v>2.0141033888808457</v>
      </c>
      <c r="H101">
        <f t="shared" si="3"/>
        <v>2.6895850193746429</v>
      </c>
      <c r="I101">
        <f t="shared" si="3"/>
        <v>2.9520791273444176</v>
      </c>
      <c r="J101">
        <f t="shared" si="3"/>
        <v>3.5202514649710976</v>
      </c>
    </row>
    <row r="102" spans="3:10" x14ac:dyDescent="0.45">
      <c r="C102" s="29">
        <v>46</v>
      </c>
      <c r="D102">
        <f t="shared" si="3"/>
        <v>0.67986062713891449</v>
      </c>
      <c r="E102">
        <f t="shared" si="3"/>
        <v>1.3002280477069388</v>
      </c>
      <c r="F102">
        <f t="shared" si="3"/>
        <v>1.678660413556865</v>
      </c>
      <c r="G102">
        <f t="shared" si="3"/>
        <v>2.0128955989194299</v>
      </c>
      <c r="H102">
        <f t="shared" si="3"/>
        <v>2.6870134922422171</v>
      </c>
      <c r="I102">
        <f t="shared" si="3"/>
        <v>2.9487813105498906</v>
      </c>
      <c r="J102">
        <f t="shared" si="3"/>
        <v>3.5149572054818057</v>
      </c>
    </row>
    <row r="103" spans="3:10" x14ac:dyDescent="0.45">
      <c r="C103" s="29">
        <v>47</v>
      </c>
      <c r="D103">
        <f t="shared" si="3"/>
        <v>0.67974557328545526</v>
      </c>
      <c r="E103">
        <f t="shared" si="3"/>
        <v>1.2998249473116616</v>
      </c>
      <c r="F103">
        <f t="shared" si="3"/>
        <v>1.6779267216418625</v>
      </c>
      <c r="G103">
        <f t="shared" si="3"/>
        <v>2.0117405137297668</v>
      </c>
      <c r="H103">
        <f t="shared" si="3"/>
        <v>2.6845556178665255</v>
      </c>
      <c r="I103">
        <f t="shared" si="3"/>
        <v>2.9456300537673283</v>
      </c>
      <c r="J103">
        <f t="shared" si="3"/>
        <v>3.5099012834494778</v>
      </c>
    </row>
    <row r="104" spans="3:10" x14ac:dyDescent="0.45">
      <c r="C104" s="29">
        <v>48</v>
      </c>
      <c r="D104">
        <f t="shared" si="3"/>
        <v>0.67963534511070278</v>
      </c>
      <c r="E104">
        <f t="shared" si="3"/>
        <v>1.2994388786713924</v>
      </c>
      <c r="F104">
        <f t="shared" si="3"/>
        <v>1.6772241961243386</v>
      </c>
      <c r="G104">
        <f t="shared" si="3"/>
        <v>2.0106347576242314</v>
      </c>
      <c r="H104">
        <f t="shared" si="3"/>
        <v>2.6822040269502154</v>
      </c>
      <c r="I104">
        <f t="shared" si="3"/>
        <v>2.9426158034554675</v>
      </c>
      <c r="J104">
        <f t="shared" si="3"/>
        <v>3.5050679704702019</v>
      </c>
    </row>
    <row r="105" spans="3:10" x14ac:dyDescent="0.45">
      <c r="C105" s="29">
        <v>49</v>
      </c>
      <c r="D105">
        <f t="shared" si="3"/>
        <v>0.6795296452626528</v>
      </c>
      <c r="E105">
        <f t="shared" si="3"/>
        <v>1.2990687847477498</v>
      </c>
      <c r="F105">
        <f t="shared" si="3"/>
        <v>1.6765508926168529</v>
      </c>
      <c r="G105">
        <f t="shared" si="3"/>
        <v>2.0095752371292388</v>
      </c>
      <c r="H105">
        <f t="shared" si="3"/>
        <v>2.6799519736315514</v>
      </c>
      <c r="I105">
        <f t="shared" si="3"/>
        <v>2.9397298184209277</v>
      </c>
      <c r="J105">
        <f t="shared" si="3"/>
        <v>3.5004428913673662</v>
      </c>
    </row>
    <row r="106" spans="3:10" x14ac:dyDescent="0.45">
      <c r="C106" s="29">
        <v>50</v>
      </c>
      <c r="D106">
        <f t="shared" si="3"/>
        <v>0.6794282003263471</v>
      </c>
      <c r="E106">
        <f t="shared" si="3"/>
        <v>1.2987136941948108</v>
      </c>
      <c r="F106">
        <f t="shared" si="3"/>
        <v>1.6759050251630967</v>
      </c>
      <c r="G106">
        <f t="shared" si="3"/>
        <v>2.0085591121007611</v>
      </c>
      <c r="H106">
        <f t="shared" si="3"/>
        <v>2.6777932709408443</v>
      </c>
      <c r="I106">
        <f t="shared" si="3"/>
        <v>2.9369640853037615</v>
      </c>
      <c r="J106">
        <f t="shared" si="3"/>
        <v>3.4960128818111396</v>
      </c>
    </row>
    <row r="107" spans="3:10" x14ac:dyDescent="0.45">
      <c r="C107" s="29">
        <v>51</v>
      </c>
      <c r="D107">
        <f t="shared" si="3"/>
        <v>0.67933075846284718</v>
      </c>
      <c r="E107">
        <f t="shared" si="3"/>
        <v>1.2983727128483706</v>
      </c>
      <c r="F107">
        <f t="shared" si="3"/>
        <v>1.6752849504249088</v>
      </c>
      <c r="G107">
        <f t="shared" si="3"/>
        <v>2.007583770315835</v>
      </c>
      <c r="H107">
        <f t="shared" si="3"/>
        <v>2.6757222341106486</v>
      </c>
      <c r="I107">
        <f t="shared" si="3"/>
        <v>2.9343112443954844</v>
      </c>
      <c r="J107">
        <f t="shared" si="3"/>
        <v>3.4917658635339026</v>
      </c>
    </row>
    <row r="108" spans="3:10" x14ac:dyDescent="0.45">
      <c r="C108" s="29">
        <v>52</v>
      </c>
      <c r="D108">
        <f t="shared" si="3"/>
        <v>0.67923708732219779</v>
      </c>
      <c r="E108">
        <f t="shared" si="3"/>
        <v>1.2980450162097479</v>
      </c>
      <c r="F108">
        <f t="shared" si="3"/>
        <v>1.6746891537260258</v>
      </c>
      <c r="G108">
        <f t="shared" si="3"/>
        <v>2.0066468050616861</v>
      </c>
      <c r="H108">
        <f t="shared" si="3"/>
        <v>2.6737336306472206</v>
      </c>
      <c r="I108">
        <f t="shared" si="3"/>
        <v>2.9317645243457093</v>
      </c>
      <c r="J108">
        <f t="shared" si="3"/>
        <v>3.4876907346571904</v>
      </c>
    </row>
    <row r="109" spans="3:10" x14ac:dyDescent="0.45">
      <c r="C109" s="29">
        <v>53</v>
      </c>
      <c r="D109">
        <f t="shared" si="3"/>
        <v>0.6791469721940594</v>
      </c>
      <c r="E109">
        <f t="shared" si="3"/>
        <v>1.2977298427910675</v>
      </c>
      <c r="F109">
        <f t="shared" si="3"/>
        <v>1.6741162367030993</v>
      </c>
      <c r="G109">
        <f t="shared" si="3"/>
        <v>2.0057459953178696</v>
      </c>
      <c r="H109">
        <f t="shared" si="3"/>
        <v>2.6718226362410036</v>
      </c>
      <c r="I109">
        <f t="shared" si="3"/>
        <v>2.9293176845395941</v>
      </c>
      <c r="J109">
        <f t="shared" si="3"/>
        <v>3.4837772730384478</v>
      </c>
    </row>
    <row r="110" spans="3:10" x14ac:dyDescent="0.45">
      <c r="C110" s="29">
        <v>54</v>
      </c>
      <c r="D110">
        <f t="shared" si="3"/>
        <v>0.67906021436497543</v>
      </c>
      <c r="E110">
        <f t="shared" si="3"/>
        <v>1.2974264882090694</v>
      </c>
      <c r="F110">
        <f t="shared" si="3"/>
        <v>1.6735649063521589</v>
      </c>
      <c r="G110">
        <f t="shared" si="3"/>
        <v>2.0048792881880577</v>
      </c>
      <c r="H110">
        <f t="shared" si="3"/>
        <v>2.6699847957348912</v>
      </c>
      <c r="I110">
        <f t="shared" si="3"/>
        <v>2.926964964115164</v>
      </c>
      <c r="J110">
        <f t="shared" si="3"/>
        <v>3.4800160508702764</v>
      </c>
    </row>
    <row r="111" spans="3:10" x14ac:dyDescent="0.45">
      <c r="C111" s="29">
        <v>55</v>
      </c>
      <c r="D111">
        <f t="shared" si="3"/>
        <v>0.67897662965592642</v>
      </c>
      <c r="E111">
        <f t="shared" si="3"/>
        <v>1.2971342999309419</v>
      </c>
      <c r="F111">
        <f t="shared" si="3"/>
        <v>1.673033965289912</v>
      </c>
      <c r="G111">
        <f t="shared" si="3"/>
        <v>2.0040447832891455</v>
      </c>
      <c r="H111">
        <f t="shared" si="3"/>
        <v>2.6682159884861933</v>
      </c>
      <c r="I111">
        <f t="shared" si="3"/>
        <v>2.9247010367450219</v>
      </c>
      <c r="J111">
        <f t="shared" si="3"/>
        <v>3.4763983590335892</v>
      </c>
    </row>
    <row r="112" spans="3:10" x14ac:dyDescent="0.45">
      <c r="C112" s="29">
        <v>56</v>
      </c>
      <c r="D112">
        <f t="shared" si="3"/>
        <v>0.67889604711731799</v>
      </c>
      <c r="E112">
        <f t="shared" si="3"/>
        <v>1.2968526725898011</v>
      </c>
      <c r="F112">
        <f t="shared" si="3"/>
        <v>1.6725223030755785</v>
      </c>
      <c r="G112">
        <f t="shared" si="3"/>
        <v>2.0032407188478727</v>
      </c>
      <c r="H112">
        <f t="shared" si="3"/>
        <v>2.6665123975560618</v>
      </c>
      <c r="I112">
        <f t="shared" si="3"/>
        <v>2.9225209704363095</v>
      </c>
      <c r="J112">
        <f t="shared" si="3"/>
        <v>3.4729161399299082</v>
      </c>
    </row>
    <row r="113" spans="3:10" x14ac:dyDescent="0.45">
      <c r="C113" s="29">
        <v>57</v>
      </c>
      <c r="D113">
        <f t="shared" si="3"/>
        <v>0.67881830786219843</v>
      </c>
      <c r="E113">
        <f t="shared" si="3"/>
        <v>1.2965810437990108</v>
      </c>
      <c r="F113">
        <f t="shared" si="3"/>
        <v>1.6720288884609551</v>
      </c>
      <c r="G113">
        <f t="shared" si="3"/>
        <v>2.0024654592910065</v>
      </c>
      <c r="H113">
        <f t="shared" si="3"/>
        <v>2.6648704822419695</v>
      </c>
      <c r="I113">
        <f t="shared" si="3"/>
        <v>2.9204201917111519</v>
      </c>
      <c r="J113">
        <f t="shared" si="3"/>
        <v>3.4695619277047838</v>
      </c>
    </row>
    <row r="114" spans="3:10" x14ac:dyDescent="0.45">
      <c r="C114" s="29">
        <v>58</v>
      </c>
      <c r="D114">
        <f t="shared" si="3"/>
        <v>0.67874326402074703</v>
      </c>
      <c r="E114">
        <f t="shared" si="3"/>
        <v>1.2963188904044187</v>
      </c>
      <c r="F114">
        <f t="shared" si="3"/>
        <v>1.671552762454859</v>
      </c>
      <c r="G114">
        <f t="shared" si="3"/>
        <v>2.0017174841452352</v>
      </c>
      <c r="H114">
        <f t="shared" si="3"/>
        <v>2.663286953537658</v>
      </c>
      <c r="I114">
        <f t="shared" si="3"/>
        <v>2.9183944536208246</v>
      </c>
      <c r="J114">
        <f t="shared" si="3"/>
        <v>3.4663287949310115</v>
      </c>
    </row>
    <row r="115" spans="3:10" x14ac:dyDescent="0.45">
      <c r="C115" s="29">
        <v>59</v>
      </c>
      <c r="D115">
        <f t="shared" si="3"/>
        <v>0.67867077780171603</v>
      </c>
      <c r="E115">
        <f t="shared" si="3"/>
        <v>1.2960657251220524</v>
      </c>
      <c r="F115">
        <f t="shared" si="3"/>
        <v>1.6710930321038957</v>
      </c>
      <c r="G115">
        <f t="shared" si="3"/>
        <v>2.0009953780882688</v>
      </c>
      <c r="H115">
        <f t="shared" si="3"/>
        <v>2.6617587521629682</v>
      </c>
      <c r="I115">
        <f t="shared" si="3"/>
        <v>2.9164398071234019</v>
      </c>
      <c r="J115">
        <f t="shared" si="3"/>
        <v>3.463210304951942</v>
      </c>
    </row>
    <row r="116" spans="3:10" x14ac:dyDescent="0.45">
      <c r="C116" s="29">
        <v>60</v>
      </c>
      <c r="D116">
        <f t="shared" si="3"/>
        <v>0.67860072064813881</v>
      </c>
      <c r="E116">
        <f t="shared" si="3"/>
        <v>1.2958210935157342</v>
      </c>
      <c r="F116">
        <f t="shared" si="3"/>
        <v>1.6706488649046354</v>
      </c>
      <c r="G116">
        <f t="shared" si="3"/>
        <v>2.0002978220142609</v>
      </c>
      <c r="H116">
        <f t="shared" si="3"/>
        <v>2.6602830288550381</v>
      </c>
      <c r="I116">
        <f t="shared" si="3"/>
        <v>2.9145525754194992</v>
      </c>
      <c r="J116">
        <f t="shared" si="3"/>
        <v>3.4602004691963555</v>
      </c>
    </row>
    <row r="117" spans="3:10" x14ac:dyDescent="0.45">
      <c r="C117" s="29">
        <v>61</v>
      </c>
      <c r="D117">
        <f t="shared" si="3"/>
        <v>0.67853297247653332</v>
      </c>
      <c r="E117">
        <f t="shared" si="3"/>
        <v>1.2955845712752145</v>
      </c>
      <c r="F117">
        <f t="shared" si="3"/>
        <v>1.6702194837737363</v>
      </c>
      <c r="G117">
        <f t="shared" si="3"/>
        <v>1.9996235849949404</v>
      </c>
      <c r="H117">
        <f t="shared" si="3"/>
        <v>2.6588571266539258</v>
      </c>
      <c r="I117">
        <f t="shared" si="3"/>
        <v>2.9127293308955386</v>
      </c>
      <c r="J117">
        <f t="shared" si="3"/>
        <v>3.4572937088704121</v>
      </c>
    </row>
    <row r="118" spans="3:10" x14ac:dyDescent="0.45">
      <c r="C118" s="29">
        <v>62</v>
      </c>
      <c r="D118">
        <f t="shared" si="3"/>
        <v>0.67846742099015378</v>
      </c>
      <c r="E118">
        <f t="shared" si="3"/>
        <v>1.2953557617605702</v>
      </c>
      <c r="F118">
        <f t="shared" si="3"/>
        <v>1.6698041625120112</v>
      </c>
      <c r="G118">
        <f t="shared" si="3"/>
        <v>1.9989715170333793</v>
      </c>
      <c r="H118">
        <f t="shared" si="3"/>
        <v>2.6574785649511572</v>
      </c>
      <c r="I118">
        <f t="shared" si="3"/>
        <v>2.9109668743706907</v>
      </c>
      <c r="J118">
        <f t="shared" si="3"/>
        <v>3.45448482051202</v>
      </c>
    </row>
    <row r="119" spans="3:10" x14ac:dyDescent="0.45">
      <c r="C119" s="29">
        <v>63</v>
      </c>
      <c r="D119">
        <f t="shared" si="3"/>
        <v>0.67840396105786294</v>
      </c>
      <c r="E119">
        <f t="shared" si="3"/>
        <v>1.2951342937828914</v>
      </c>
      <c r="F119">
        <f t="shared" si="3"/>
        <v>1.6694022217068125</v>
      </c>
      <c r="G119">
        <f t="shared" si="3"/>
        <v>1.9983405425207412</v>
      </c>
      <c r="H119">
        <f t="shared" si="3"/>
        <v>2.6561450250998613</v>
      </c>
      <c r="I119">
        <f t="shared" si="3"/>
        <v>2.9092622163834236</v>
      </c>
      <c r="J119">
        <f t="shared" si="3"/>
        <v>3.4517689449609983</v>
      </c>
    </row>
    <row r="120" spans="3:10" x14ac:dyDescent="0.45">
      <c r="C120" s="29">
        <v>64</v>
      </c>
      <c r="D120">
        <f t="shared" si="3"/>
        <v>0.67834249415162207</v>
      </c>
      <c r="E120">
        <f t="shared" si="3"/>
        <v>1.2949198195951703</v>
      </c>
      <c r="F120">
        <f t="shared" si="3"/>
        <v>1.6690130250240895</v>
      </c>
      <c r="G120">
        <f t="shared" si="3"/>
        <v>1.9977296543176954</v>
      </c>
      <c r="H120">
        <f t="shared" si="3"/>
        <v>2.6548543374110856</v>
      </c>
      <c r="I120">
        <f t="shared" si="3"/>
        <v>2.9076125602876033</v>
      </c>
      <c r="J120">
        <f t="shared" si="3"/>
        <v>3.4491415393563734</v>
      </c>
    </row>
    <row r="121" spans="3:10" x14ac:dyDescent="0.45">
      <c r="C121" s="29">
        <v>65</v>
      </c>
      <c r="D121">
        <f t="shared" si="3"/>
        <v>0.67828292783610455</v>
      </c>
      <c r="E121">
        <f t="shared" si="3"/>
        <v>1.294712013070648</v>
      </c>
      <c r="F121">
        <f t="shared" si="3"/>
        <v>1.6686359758475535</v>
      </c>
      <c r="G121">
        <f t="shared" si="3"/>
        <v>1.9971379083920051</v>
      </c>
      <c r="H121">
        <f t="shared" si="3"/>
        <v>2.6536044693829237</v>
      </c>
      <c r="I121">
        <f t="shared" si="3"/>
        <v>2.9060152869573033</v>
      </c>
      <c r="J121">
        <f t="shared" si="3"/>
        <v>3.4465983518219709</v>
      </c>
    </row>
    <row r="122" spans="3:10" x14ac:dyDescent="0.45">
      <c r="C122" s="29">
        <v>66</v>
      </c>
      <c r="D122">
        <f t="shared" ref="D122:J153" si="4">TINV(D$56,$C122)</f>
        <v>0.67822517530491255</v>
      </c>
      <c r="E122">
        <f t="shared" si="4"/>
        <v>1.2945105680482982</v>
      </c>
      <c r="F122">
        <f t="shared" si="4"/>
        <v>1.6682705142276302</v>
      </c>
      <c r="G122">
        <f t="shared" si="4"/>
        <v>1.996564418952312</v>
      </c>
      <c r="H122">
        <f t="shared" si="4"/>
        <v>2.6523935150283151</v>
      </c>
      <c r="I122">
        <f t="shared" si="4"/>
        <v>2.9044679409245098</v>
      </c>
      <c r="J122">
        <f t="shared" si="4"/>
        <v>3.4441353985440073</v>
      </c>
    </row>
    <row r="123" spans="3:10" x14ac:dyDescent="0.45">
      <c r="C123" s="29">
        <v>67</v>
      </c>
      <c r="D123">
        <f t="shared" si="4"/>
        <v>0.67816915495855412</v>
      </c>
      <c r="E123">
        <f t="shared" si="4"/>
        <v>1.2943151968280293</v>
      </c>
      <c r="F123">
        <f t="shared" si="4"/>
        <v>1.6679161141074239</v>
      </c>
      <c r="G123">
        <f t="shared" si="4"/>
        <v>1.9960083540252964</v>
      </c>
      <c r="H123">
        <f t="shared" si="4"/>
        <v>2.6512196851836585</v>
      </c>
      <c r="I123">
        <f t="shared" si="4"/>
        <v>2.9029682177955918</v>
      </c>
      <c r="J123">
        <f t="shared" si="4"/>
        <v>3.4417489429811972</v>
      </c>
    </row>
    <row r="124" spans="3:10" x14ac:dyDescent="0.45">
      <c r="C124" s="29">
        <v>68</v>
      </c>
      <c r="D124">
        <f t="shared" si="4"/>
        <v>0.67811479001980624</v>
      </c>
      <c r="E124">
        <f t="shared" si="4"/>
        <v>1.2941256287999623</v>
      </c>
      <c r="F124">
        <f t="shared" si="4"/>
        <v>1.6675722807967104</v>
      </c>
      <c r="G124">
        <f t="shared" si="4"/>
        <v>1.9954689314298424</v>
      </c>
      <c r="H124">
        <f t="shared" si="4"/>
        <v>2.6500812986947286</v>
      </c>
      <c r="I124">
        <f t="shared" si="4"/>
        <v>2.9015139528109786</v>
      </c>
      <c r="J124">
        <f t="shared" si="4"/>
        <v>3.439435476979499</v>
      </c>
    </row>
    <row r="125" spans="3:10" x14ac:dyDescent="0.45">
      <c r="C125" s="29">
        <v>69</v>
      </c>
      <c r="D125">
        <f t="shared" si="4"/>
        <v>0.67806200818270401</v>
      </c>
      <c r="E125">
        <f t="shared" si="4"/>
        <v>1.2939416091940081</v>
      </c>
      <c r="F125">
        <f t="shared" si="4"/>
        <v>1.6672385486685533</v>
      </c>
      <c r="G125">
        <f t="shared" si="4"/>
        <v>1.9949454151072357</v>
      </c>
      <c r="H125">
        <f t="shared" si="4"/>
        <v>2.6489767743886254</v>
      </c>
      <c r="I125">
        <f t="shared" si="4"/>
        <v>2.9001031104287311</v>
      </c>
      <c r="J125">
        <f t="shared" si="4"/>
        <v>3.4371917035910893</v>
      </c>
    </row>
    <row r="126" spans="3:10" x14ac:dyDescent="0.45">
      <c r="C126" s="29">
        <v>70</v>
      </c>
      <c r="D126">
        <f t="shared" si="4"/>
        <v>0.67801074129170669</v>
      </c>
      <c r="E126">
        <f t="shared" si="4"/>
        <v>1.2937628979376541</v>
      </c>
      <c r="F126">
        <f t="shared" si="4"/>
        <v>1.6669144790559576</v>
      </c>
      <c r="G126">
        <f t="shared" si="4"/>
        <v>1.9944371117711854</v>
      </c>
      <c r="H126">
        <f t="shared" si="4"/>
        <v>2.6479046237511512</v>
      </c>
      <c r="I126">
        <f t="shared" si="4"/>
        <v>2.8987337748266873</v>
      </c>
      <c r="J126">
        <f t="shared" si="4"/>
        <v>3.4350145214208152</v>
      </c>
    </row>
    <row r="127" spans="3:10" x14ac:dyDescent="0.45">
      <c r="C127" s="29">
        <v>71</v>
      </c>
      <c r="D127">
        <f t="shared" si="4"/>
        <v>0.67796092504812122</v>
      </c>
      <c r="E127">
        <f t="shared" si="4"/>
        <v>1.293589268611236</v>
      </c>
      <c r="F127">
        <f t="shared" si="4"/>
        <v>1.6665996583285314</v>
      </c>
      <c r="G127">
        <f t="shared" si="4"/>
        <v>1.9939433678456266</v>
      </c>
      <c r="H127">
        <f t="shared" si="4"/>
        <v>2.6468634442383925</v>
      </c>
      <c r="I127">
        <f t="shared" si="4"/>
        <v>2.8974041412300653</v>
      </c>
      <c r="J127">
        <f t="shared" si="4"/>
        <v>3.4329010103440991</v>
      </c>
    </row>
    <row r="128" spans="3:10" x14ac:dyDescent="0.45">
      <c r="C128" s="29">
        <v>72</v>
      </c>
      <c r="D128">
        <f t="shared" si="4"/>
        <v>0.67791249874111115</v>
      </c>
      <c r="E128">
        <f t="shared" si="4"/>
        <v>1.2934205074909773</v>
      </c>
      <c r="F128">
        <f t="shared" si="4"/>
        <v>1.6662936961315378</v>
      </c>
      <c r="G128">
        <f t="shared" si="4"/>
        <v>1.9934635666618719</v>
      </c>
      <c r="H128">
        <f t="shared" si="4"/>
        <v>2.6458519131593259</v>
      </c>
      <c r="I128">
        <f t="shared" si="4"/>
        <v>2.8961125079820049</v>
      </c>
      <c r="J128">
        <f t="shared" si="4"/>
        <v>3.430848418458126</v>
      </c>
    </row>
    <row r="129" spans="3:10" x14ac:dyDescent="0.45">
      <c r="C129" s="29">
        <v>73</v>
      </c>
      <c r="D129">
        <f t="shared" si="4"/>
        <v>0.67786540500090808</v>
      </c>
      <c r="E129">
        <f t="shared" si="4"/>
        <v>1.2932564126714845</v>
      </c>
      <c r="F129">
        <f t="shared" si="4"/>
        <v>1.6659962237714305</v>
      </c>
      <c r="G129">
        <f t="shared" si="4"/>
        <v>1.9929971258898567</v>
      </c>
      <c r="H129">
        <f t="shared" si="4"/>
        <v>2.6448687820733814</v>
      </c>
      <c r="I129">
        <f t="shared" si="4"/>
        <v>2.8948572692839085</v>
      </c>
      <c r="J129">
        <f t="shared" si="4"/>
        <v>3.4288541501438901</v>
      </c>
    </row>
    <row r="130" spans="3:10" x14ac:dyDescent="0.45">
      <c r="C130" s="29">
        <v>74</v>
      </c>
      <c r="D130">
        <f t="shared" si="4"/>
        <v>0.67781958957205235</v>
      </c>
      <c r="E130">
        <f t="shared" si="4"/>
        <v>1.2930967932600044</v>
      </c>
      <c r="F130">
        <f t="shared" si="4"/>
        <v>1.6657068927340244</v>
      </c>
      <c r="G130">
        <f t="shared" si="4"/>
        <v>1.992543495180934</v>
      </c>
      <c r="H130">
        <f t="shared" si="4"/>
        <v>2.64391287165309</v>
      </c>
      <c r="I130">
        <f t="shared" si="4"/>
        <v>2.8936369085404432</v>
      </c>
      <c r="J130">
        <f t="shared" si="4"/>
        <v>3.4269157551303602</v>
      </c>
    </row>
    <row r="131" spans="3:10" x14ac:dyDescent="0.45">
      <c r="C131" s="29">
        <v>75</v>
      </c>
      <c r="D131">
        <f t="shared" si="4"/>
        <v>0.67777500110493227</v>
      </c>
      <c r="E131">
        <f t="shared" si="4"/>
        <v>1.2929414686356859</v>
      </c>
      <c r="F131">
        <f t="shared" si="4"/>
        <v>1.6654253733225626</v>
      </c>
      <c r="G131">
        <f t="shared" si="4"/>
        <v>1.9921021540022406</v>
      </c>
      <c r="H131">
        <f t="shared" si="4"/>
        <v>2.6429830669673917</v>
      </c>
      <c r="I131">
        <f t="shared" si="4"/>
        <v>2.8924499922513127</v>
      </c>
      <c r="J131">
        <f t="shared" si="4"/>
        <v>3.4250309184639538</v>
      </c>
    </row>
    <row r="132" spans="3:10" x14ac:dyDescent="0.45">
      <c r="C132" s="29">
        <v>76</v>
      </c>
      <c r="D132">
        <f t="shared" si="4"/>
        <v>0.67773159096383728</v>
      </c>
      <c r="E132">
        <f t="shared" si="4"/>
        <v>1.2927902677678638</v>
      </c>
      <c r="F132">
        <f t="shared" si="4"/>
        <v>1.6651513534046942</v>
      </c>
      <c r="G132">
        <f t="shared" si="4"/>
        <v>1.991672609644662</v>
      </c>
      <c r="H132">
        <f t="shared" si="4"/>
        <v>2.6420783131459933</v>
      </c>
      <c r="I132">
        <f t="shared" si="4"/>
        <v>2.8912951643980631</v>
      </c>
      <c r="J132">
        <f t="shared" si="4"/>
        <v>3.4231974512971659</v>
      </c>
    </row>
    <row r="133" spans="3:10" x14ac:dyDescent="0.45">
      <c r="C133" s="29">
        <v>77</v>
      </c>
      <c r="D133">
        <f t="shared" si="4"/>
        <v>0.67768931304996416</v>
      </c>
      <c r="E133">
        <f t="shared" si="4"/>
        <v>1.2926430285879402</v>
      </c>
      <c r="F133">
        <f t="shared" si="4"/>
        <v>1.6648845372582084</v>
      </c>
      <c r="G133">
        <f t="shared" si="4"/>
        <v>1.9912543953883848</v>
      </c>
      <c r="H133">
        <f t="shared" si="4"/>
        <v>2.6411976113892712</v>
      </c>
      <c r="I133">
        <f t="shared" si="4"/>
        <v>2.8901711412797715</v>
      </c>
      <c r="J133">
        <f t="shared" si="4"/>
        <v>3.4214132824193051</v>
      </c>
    </row>
    <row r="134" spans="3:10" x14ac:dyDescent="0.45">
      <c r="C134" s="29">
        <v>78</v>
      </c>
      <c r="D134">
        <f t="shared" si="4"/>
        <v>0.67764812363817284</v>
      </c>
      <c r="E134">
        <f t="shared" si="4"/>
        <v>1.2924995974099172</v>
      </c>
      <c r="F134">
        <f t="shared" si="4"/>
        <v>1.6646246445066122</v>
      </c>
      <c r="G134">
        <f t="shared" si="4"/>
        <v>1.9908470688116919</v>
      </c>
      <c r="H134">
        <f t="shared" si="4"/>
        <v>2.6403400152921264</v>
      </c>
      <c r="I134">
        <f t="shared" si="4"/>
        <v>2.8890767067563141</v>
      </c>
      <c r="J134">
        <f t="shared" si="4"/>
        <v>3.4196764504605754</v>
      </c>
    </row>
    <row r="135" spans="3:10" x14ac:dyDescent="0.45">
      <c r="C135" s="29">
        <v>79</v>
      </c>
      <c r="D135">
        <f t="shared" si="4"/>
        <v>0.67760798122611865</v>
      </c>
      <c r="E135">
        <f t="shared" si="4"/>
        <v>1.2923598283954396</v>
      </c>
      <c r="F135">
        <f t="shared" si="4"/>
        <v>1.6643714091365507</v>
      </c>
      <c r="G135">
        <f t="shared" si="4"/>
        <v>1.9904502102301287</v>
      </c>
      <c r="H135">
        <f t="shared" si="4"/>
        <v>2.6395046274532201</v>
      </c>
      <c r="I135">
        <f t="shared" si="4"/>
        <v>2.8880107078621089</v>
      </c>
      <c r="J135">
        <f t="shared" si="4"/>
        <v>3.4179850967078589</v>
      </c>
    </row>
    <row r="136" spans="3:10" x14ac:dyDescent="0.45">
      <c r="C136" s="29">
        <v>80</v>
      </c>
      <c r="D136">
        <f t="shared" si="4"/>
        <v>0.67756884639483062</v>
      </c>
      <c r="E136">
        <f t="shared" si="4"/>
        <v>1.2922235830591293</v>
      </c>
      <c r="F136">
        <f t="shared" si="4"/>
        <v>1.6641245785896708</v>
      </c>
      <c r="G136">
        <f t="shared" si="4"/>
        <v>1.9900634212544475</v>
      </c>
      <c r="H136">
        <f t="shared" si="4"/>
        <v>2.6386905963441825</v>
      </c>
      <c r="I136">
        <f t="shared" si="4"/>
        <v>2.8869720507572003</v>
      </c>
      <c r="J136">
        <f t="shared" si="4"/>
        <v>3.4163374584769461</v>
      </c>
    </row>
    <row r="137" spans="3:10" x14ac:dyDescent="0.45">
      <c r="C137" s="29">
        <v>81</v>
      </c>
      <c r="D137">
        <f t="shared" si="4"/>
        <v>0.67753068167958108</v>
      </c>
      <c r="E137">
        <f t="shared" si="4"/>
        <v>1.2920907298110498</v>
      </c>
      <c r="F137">
        <f t="shared" si="4"/>
        <v>1.6638839129226006</v>
      </c>
      <c r="G137">
        <f t="shared" si="4"/>
        <v>1.9896863234569038</v>
      </c>
      <c r="H137">
        <f t="shared" si="4"/>
        <v>2.637897113415776</v>
      </c>
      <c r="I137">
        <f t="shared" si="4"/>
        <v>2.8859596969857129</v>
      </c>
      <c r="J137">
        <f t="shared" si="4"/>
        <v>3.4147318629915833</v>
      </c>
    </row>
    <row r="138" spans="3:10" x14ac:dyDescent="0.45">
      <c r="C138" s="29">
        <v>82</v>
      </c>
      <c r="D138">
        <f t="shared" si="4"/>
        <v>0.67749345145022366</v>
      </c>
      <c r="E138">
        <f t="shared" si="4"/>
        <v>1.2919611435327278</v>
      </c>
      <c r="F138">
        <f t="shared" si="4"/>
        <v>1.6636491840290772</v>
      </c>
      <c r="G138">
        <f t="shared" si="4"/>
        <v>1.9893185571365706</v>
      </c>
      <c r="H138">
        <f t="shared" si="4"/>
        <v>2.6371234104203745</v>
      </c>
      <c r="I138">
        <f t="shared" si="4"/>
        <v>2.8849726600148831</v>
      </c>
      <c r="J138">
        <f t="shared" si="4"/>
        <v>3.4131667217246888</v>
      </c>
    </row>
    <row r="139" spans="3:10" x14ac:dyDescent="0.45">
      <c r="C139" s="29">
        <v>83</v>
      </c>
      <c r="D139">
        <f t="shared" si="4"/>
        <v>0.67745712180035156</v>
      </c>
      <c r="E139">
        <f t="shared" si="4"/>
        <v>1.291834705184236</v>
      </c>
      <c r="F139">
        <f t="shared" si="4"/>
        <v>1.6634201749188866</v>
      </c>
      <c r="G139">
        <f t="shared" si="4"/>
        <v>1.9889597801751635</v>
      </c>
      <c r="H139">
        <f t="shared" si="4"/>
        <v>2.6363687569321219</v>
      </c>
      <c r="I139">
        <f t="shared" si="4"/>
        <v>2.8840100020303447</v>
      </c>
      <c r="J139">
        <f t="shared" si="4"/>
        <v>3.4116405251615696</v>
      </c>
    </row>
    <row r="140" spans="3:10" x14ac:dyDescent="0.45">
      <c r="C140" s="29">
        <v>84</v>
      </c>
      <c r="D140">
        <f t="shared" si="4"/>
        <v>0.6774216604442167</v>
      </c>
      <c r="E140">
        <f t="shared" si="4"/>
        <v>1.2917113014394768</v>
      </c>
      <c r="F140">
        <f t="shared" si="4"/>
        <v>1.6631966790489103</v>
      </c>
      <c r="G140">
        <f t="shared" si="4"/>
        <v>1.9886096669757098</v>
      </c>
      <c r="H140">
        <f t="shared" si="4"/>
        <v>2.6356324580479598</v>
      </c>
      <c r="I140">
        <f t="shared" si="4"/>
        <v>2.8830708309658521</v>
      </c>
      <c r="J140">
        <f t="shared" si="4"/>
        <v>3.4101518379488622</v>
      </c>
    </row>
    <row r="141" spans="3:10" x14ac:dyDescent="0.45">
      <c r="C141" s="29">
        <v>85</v>
      </c>
      <c r="D141">
        <f t="shared" si="4"/>
        <v>0.67738703662106614</v>
      </c>
      <c r="E141">
        <f t="shared" si="4"/>
        <v>1.2915908243473977</v>
      </c>
      <c r="F141">
        <f t="shared" si="4"/>
        <v>1.6629784997019019</v>
      </c>
      <c r="G141">
        <f t="shared" si="4"/>
        <v>1.9882679074772251</v>
      </c>
      <c r="H141">
        <f t="shared" si="4"/>
        <v>2.6349138522543041</v>
      </c>
      <c r="I141">
        <f t="shared" si="4"/>
        <v>2.882154297747697</v>
      </c>
      <c r="J141">
        <f t="shared" si="4"/>
        <v>3.4086992943964334</v>
      </c>
    </row>
    <row r="142" spans="3:10" x14ac:dyDescent="0.45">
      <c r="C142" s="29">
        <v>86</v>
      </c>
      <c r="D142">
        <f t="shared" si="4"/>
        <v>0.67735322100620998</v>
      </c>
      <c r="E142">
        <f t="shared" si="4"/>
        <v>1.2914731710171075</v>
      </c>
      <c r="F142">
        <f t="shared" si="4"/>
        <v>1.662765449409072</v>
      </c>
      <c r="G142">
        <f t="shared" si="4"/>
        <v>1.987934206239018</v>
      </c>
      <c r="H142">
        <f t="shared" si="4"/>
        <v>2.6342123094456342</v>
      </c>
      <c r="I142">
        <f t="shared" si="4"/>
        <v>2.8812595937358711</v>
      </c>
      <c r="J142">
        <f t="shared" si="4"/>
        <v>3.407281594302725</v>
      </c>
    </row>
    <row r="143" spans="3:10" x14ac:dyDescent="0.45">
      <c r="C143" s="29">
        <v>87</v>
      </c>
      <c r="D143">
        <f t="shared" si="4"/>
        <v>0.67732018562808383</v>
      </c>
      <c r="E143">
        <f t="shared" si="4"/>
        <v>1.2913582433247877</v>
      </c>
      <c r="F143">
        <f t="shared" si="4"/>
        <v>1.662557349412876</v>
      </c>
      <c r="G143">
        <f t="shared" si="4"/>
        <v>1.9876082815890745</v>
      </c>
      <c r="H143">
        <f t="shared" si="4"/>
        <v>2.6335272290824983</v>
      </c>
      <c r="I143">
        <f t="shared" si="4"/>
        <v>2.8803859483458192</v>
      </c>
      <c r="J143">
        <f t="shared" si="4"/>
        <v>3.4058974990766364</v>
      </c>
    </row>
    <row r="144" spans="3:10" x14ac:dyDescent="0.45">
      <c r="C144" s="29">
        <v>88</v>
      </c>
      <c r="D144">
        <f t="shared" si="4"/>
        <v>0.67728790379122439</v>
      </c>
      <c r="E144">
        <f t="shared" si="4"/>
        <v>1.2912459476407916</v>
      </c>
      <c r="F144">
        <f t="shared" si="4"/>
        <v>1.662354029166899</v>
      </c>
      <c r="G144">
        <f t="shared" si="4"/>
        <v>1.9872898648311721</v>
      </c>
      <c r="H144">
        <f t="shared" si="4"/>
        <v>2.6328580384776465</v>
      </c>
      <c r="I144">
        <f t="shared" si="4"/>
        <v>2.8795326268360961</v>
      </c>
      <c r="J144">
        <f t="shared" si="4"/>
        <v>3.4045458281317469</v>
      </c>
    </row>
    <row r="145" spans="3:10" x14ac:dyDescent="0.45">
      <c r="C145" s="29">
        <v>89</v>
      </c>
      <c r="D145">
        <f t="shared" si="4"/>
        <v>0.67725635000417672</v>
      </c>
      <c r="E145">
        <f t="shared" si="4"/>
        <v>1.2911361945752782</v>
      </c>
      <c r="F145">
        <f t="shared" si="4"/>
        <v>1.6621553258697011</v>
      </c>
      <c r="G145">
        <f t="shared" si="4"/>
        <v>1.986978699506285</v>
      </c>
      <c r="H145">
        <f t="shared" si="4"/>
        <v>2.6322041912000063</v>
      </c>
      <c r="I145">
        <f t="shared" si="4"/>
        <v>2.878698928248558</v>
      </c>
      <c r="J145">
        <f t="shared" si="4"/>
        <v>3.4032254555307562</v>
      </c>
    </row>
    <row r="146" spans="3:10" x14ac:dyDescent="0.45">
      <c r="C146" s="29">
        <v>90</v>
      </c>
      <c r="D146">
        <f t="shared" si="4"/>
        <v>0.67722549991249448</v>
      </c>
      <c r="E146">
        <f t="shared" si="4"/>
        <v>1.2910288987408942</v>
      </c>
      <c r="F146">
        <f t="shared" si="4"/>
        <v>1.661961084030164</v>
      </c>
      <c r="G146">
        <f t="shared" si="4"/>
        <v>1.986674540703772</v>
      </c>
      <c r="H146">
        <f t="shared" si="4"/>
        <v>2.6315651655871597</v>
      </c>
      <c r="I146">
        <f t="shared" si="4"/>
        <v>2.8778841834889604</v>
      </c>
      <c r="J146">
        <f t="shared" si="4"/>
        <v>3.4019353068602105</v>
      </c>
    </row>
    <row r="147" spans="3:10" x14ac:dyDescent="0.45">
      <c r="C147" s="29">
        <v>91</v>
      </c>
      <c r="D147">
        <f t="shared" si="4"/>
        <v>0.67719533023598455</v>
      </c>
      <c r="E147">
        <f t="shared" si="4"/>
        <v>1.2909239785312321</v>
      </c>
      <c r="F147">
        <f t="shared" si="4"/>
        <v>1.6617711550616978</v>
      </c>
      <c r="G147">
        <f t="shared" si="4"/>
        <v>1.9863771544186202</v>
      </c>
      <c r="H147">
        <f t="shared" si="4"/>
        <v>2.6309404633577622</v>
      </c>
      <c r="I147">
        <f t="shared" si="4"/>
        <v>2.8770877535369568</v>
      </c>
      <c r="J147">
        <f t="shared" si="4"/>
        <v>3.4006743563171655</v>
      </c>
    </row>
    <row r="148" spans="3:10" x14ac:dyDescent="0.45">
      <c r="C148" s="29">
        <v>92</v>
      </c>
      <c r="D148">
        <f t="shared" si="4"/>
        <v>0.67716581871011294</v>
      </c>
      <c r="E148">
        <f t="shared" si="4"/>
        <v>1.2908213559139037</v>
      </c>
      <c r="F148">
        <f t="shared" si="4"/>
        <v>1.6615853969032315</v>
      </c>
      <c r="G148">
        <f t="shared" si="4"/>
        <v>1.9860863169511298</v>
      </c>
      <c r="H148">
        <f t="shared" si="4"/>
        <v>2.6303296083162864</v>
      </c>
      <c r="I148">
        <f t="shared" si="4"/>
        <v>2.8763090277753824</v>
      </c>
      <c r="J148">
        <f t="shared" si="4"/>
        <v>3.3994416239913354</v>
      </c>
    </row>
    <row r="149" spans="3:10" x14ac:dyDescent="0.45">
      <c r="C149" s="29">
        <v>93</v>
      </c>
      <c r="D149">
        <f t="shared" si="4"/>
        <v>0.67713694403127722</v>
      </c>
      <c r="E149">
        <f t="shared" si="4"/>
        <v>1.2907209562369371</v>
      </c>
      <c r="F149">
        <f t="shared" si="4"/>
        <v>1.6614036736648974</v>
      </c>
      <c r="G149">
        <f t="shared" si="4"/>
        <v>1.9858018143458216</v>
      </c>
      <c r="H149">
        <f t="shared" si="4"/>
        <v>2.6297321451428344</v>
      </c>
      <c r="I149">
        <f t="shared" si="4"/>
        <v>2.8755474224296944</v>
      </c>
      <c r="J149">
        <f t="shared" si="4"/>
        <v>3.3982361733275277</v>
      </c>
    </row>
    <row r="150" spans="3:10" x14ac:dyDescent="0.45">
      <c r="C150" s="29">
        <v>94</v>
      </c>
      <c r="D150">
        <f t="shared" si="4"/>
        <v>0.67710868580542882</v>
      </c>
      <c r="E150">
        <f t="shared" si="4"/>
        <v>1.2906227080477188</v>
      </c>
      <c r="F150">
        <f t="shared" si="4"/>
        <v>1.6612258552965111</v>
      </c>
      <c r="G150">
        <f t="shared" si="4"/>
        <v>1.9855234418666059</v>
      </c>
      <c r="H150">
        <f t="shared" si="4"/>
        <v>2.6291476382617032</v>
      </c>
      <c r="I150">
        <f t="shared" si="4"/>
        <v>2.8748023791091826</v>
      </c>
      <c r="J150">
        <f t="shared" si="4"/>
        <v>3.3970571087545349</v>
      </c>
    </row>
    <row r="151" spans="3:10" x14ac:dyDescent="0.45">
      <c r="C151" s="29">
        <v>95</v>
      </c>
      <c r="D151">
        <f t="shared" si="4"/>
        <v>0.67708102450015506</v>
      </c>
      <c r="E151">
        <f t="shared" si="4"/>
        <v>1.2905265429234298</v>
      </c>
      <c r="F151">
        <f t="shared" si="4"/>
        <v>1.6610518172772404</v>
      </c>
      <c r="G151">
        <f t="shared" si="4"/>
        <v>1.9852510035054973</v>
      </c>
      <c r="H151">
        <f t="shared" si="4"/>
        <v>2.6285756707827428</v>
      </c>
      <c r="I151">
        <f t="shared" si="4"/>
        <v>2.8740733634422471</v>
      </c>
      <c r="J151">
        <f t="shared" si="4"/>
        <v>3.3959035734680061</v>
      </c>
    </row>
    <row r="152" spans="3:10" x14ac:dyDescent="0.45">
      <c r="C152" s="29">
        <v>96</v>
      </c>
      <c r="D152">
        <f t="shared" si="4"/>
        <v>0.67705394139952546</v>
      </c>
      <c r="E152">
        <f t="shared" si="4"/>
        <v>1.290432395312135</v>
      </c>
      <c r="F152">
        <f t="shared" si="4"/>
        <v>1.6608814403248366</v>
      </c>
      <c r="G152">
        <f t="shared" si="4"/>
        <v>1.9849843115224561</v>
      </c>
      <c r="H152">
        <f t="shared" si="4"/>
        <v>2.628015843510068</v>
      </c>
      <c r="I152">
        <f t="shared" si="4"/>
        <v>2.8733598637988305</v>
      </c>
      <c r="J152">
        <f t="shared" si="4"/>
        <v>3.3947747473556018</v>
      </c>
    </row>
    <row r="153" spans="3:10" x14ac:dyDescent="0.45">
      <c r="C153" s="29">
        <v>97</v>
      </c>
      <c r="D153">
        <f t="shared" si="4"/>
        <v>0.67702741856199578</v>
      </c>
      <c r="E153">
        <f t="shared" si="4"/>
        <v>1.2903402023837507</v>
      </c>
      <c r="F153">
        <f t="shared" si="4"/>
        <v>1.6607146101230255</v>
      </c>
      <c r="G153">
        <f t="shared" si="4"/>
        <v>1.9847231860139838</v>
      </c>
      <c r="H153">
        <f t="shared" si="4"/>
        <v>2.6274677740132515</v>
      </c>
      <c r="I153">
        <f t="shared" si="4"/>
        <v>2.8726613900934614</v>
      </c>
      <c r="J153">
        <f t="shared" si="4"/>
        <v>3.3936698450540255</v>
      </c>
    </row>
    <row r="154" spans="3:10" x14ac:dyDescent="0.45">
      <c r="C154" s="29">
        <v>98</v>
      </c>
      <c r="D154">
        <f t="shared" ref="D154:J176" si="5">TINV(D$56,$C154)</f>
        <v>0.6770014387806923</v>
      </c>
      <c r="E154">
        <f t="shared" si="5"/>
        <v>1.2902499038902864</v>
      </c>
      <c r="F154">
        <f t="shared" si="5"/>
        <v>1.6605512170657302</v>
      </c>
      <c r="G154">
        <f t="shared" si="5"/>
        <v>1.9844674545084788</v>
      </c>
      <c r="H154">
        <f t="shared" si="5"/>
        <v>2.6269310957563716</v>
      </c>
      <c r="I154">
        <f t="shared" si="5"/>
        <v>2.8719774726631746</v>
      </c>
      <c r="J154">
        <f t="shared" si="5"/>
        <v>3.3925881141281873</v>
      </c>
    </row>
    <row r="155" spans="3:10" x14ac:dyDescent="0.45">
      <c r="C155" s="29">
        <v>99</v>
      </c>
      <c r="D155">
        <f t="shared" si="5"/>
        <v>0.67697598554615868</v>
      </c>
      <c r="E155">
        <f t="shared" si="5"/>
        <v>1.290161442034484</v>
      </c>
      <c r="F155">
        <f t="shared" si="5"/>
        <v>1.6603911560169928</v>
      </c>
      <c r="G155">
        <f t="shared" si="5"/>
        <v>1.9842169515864165</v>
      </c>
      <c r="H155">
        <f t="shared" si="5"/>
        <v>2.626405457280828</v>
      </c>
      <c r="I155">
        <f t="shared" si="5"/>
        <v>2.871307661214765</v>
      </c>
      <c r="J155">
        <f t="shared" si="5"/>
        <v>3.3915288333636497</v>
      </c>
    </row>
    <row r="156" spans="3:10" x14ac:dyDescent="0.45">
      <c r="C156" s="29">
        <v>100</v>
      </c>
      <c r="D156">
        <f t="shared" si="5"/>
        <v>0.67695104301146958</v>
      </c>
      <c r="E156">
        <f t="shared" si="5"/>
        <v>1.2900747613465169</v>
      </c>
      <c r="F156">
        <f t="shared" si="5"/>
        <v>1.6602343260853425</v>
      </c>
      <c r="G156">
        <f t="shared" si="5"/>
        <v>1.9839715185235556</v>
      </c>
      <c r="H156">
        <f t="shared" si="5"/>
        <v>2.6258905214380182</v>
      </c>
      <c r="I156">
        <f t="shared" si="5"/>
        <v>2.8706515238365373</v>
      </c>
      <c r="J156">
        <f t="shared" si="5"/>
        <v>3.3904913111642285</v>
      </c>
    </row>
    <row r="157" spans="3:10" x14ac:dyDescent="0.45">
      <c r="C157" s="29">
        <v>101</v>
      </c>
      <c r="D157">
        <f t="shared" si="5"/>
        <v>0.67692659595928051</v>
      </c>
      <c r="E157">
        <f t="shared" si="5"/>
        <v>1.2899898085679691</v>
      </c>
      <c r="F157">
        <f t="shared" si="5"/>
        <v>1.660080630411789</v>
      </c>
      <c r="G157">
        <f t="shared" si="5"/>
        <v>1.9837310029556046</v>
      </c>
      <c r="H157">
        <f t="shared" si="5"/>
        <v>2.6253859646684394</v>
      </c>
      <c r="I157">
        <f t="shared" si="5"/>
        <v>2.8700086460699143</v>
      </c>
      <c r="J157">
        <f t="shared" si="5"/>
        <v>3.3894748840472722</v>
      </c>
    </row>
    <row r="158" spans="3:10" x14ac:dyDescent="0.45">
      <c r="C158" s="29">
        <v>102</v>
      </c>
      <c r="D158">
        <f t="shared" si="5"/>
        <v>0.67690262977086535</v>
      </c>
      <c r="E158">
        <f t="shared" si="5"/>
        <v>1.2899065325427479</v>
      </c>
      <c r="F158">
        <f t="shared" si="5"/>
        <v>1.6599299759703381</v>
      </c>
      <c r="G158">
        <f t="shared" si="5"/>
        <v>1.9834952585628811</v>
      </c>
      <c r="H158">
        <f t="shared" si="5"/>
        <v>2.6248914763239122</v>
      </c>
      <c r="I158">
        <f t="shared" si="5"/>
        <v>2.8693786300367581</v>
      </c>
      <c r="J158">
        <f t="shared" si="5"/>
        <v>3.3884789152297241</v>
      </c>
    </row>
    <row r="159" spans="3:10" x14ac:dyDescent="0.45">
      <c r="C159" s="29">
        <v>103</v>
      </c>
      <c r="D159">
        <f t="shared" si="5"/>
        <v>0.6768791303969427</v>
      </c>
      <c r="E159">
        <f t="shared" si="5"/>
        <v>1.2898248841143414</v>
      </c>
      <c r="F159">
        <f t="shared" si="5"/>
        <v>1.6597822733802527</v>
      </c>
      <c r="G159">
        <f t="shared" si="5"/>
        <v>1.9832641447734605</v>
      </c>
      <c r="H159">
        <f t="shared" si="5"/>
        <v>2.6244067580299557</v>
      </c>
      <c r="I159">
        <f t="shared" si="5"/>
        <v>2.8687610936185406</v>
      </c>
      <c r="J159">
        <f t="shared" si="5"/>
        <v>3.387502793298681</v>
      </c>
    </row>
    <row r="160" spans="3:10" x14ac:dyDescent="0.45">
      <c r="C160" s="29">
        <v>104</v>
      </c>
      <c r="D160">
        <f t="shared" si="5"/>
        <v>0.67685608433028699</v>
      </c>
      <c r="E160">
        <f t="shared" si="5"/>
        <v>1.2897448160290867</v>
      </c>
      <c r="F160">
        <f t="shared" si="5"/>
        <v>1.6596374367292375</v>
      </c>
      <c r="G160">
        <f t="shared" si="5"/>
        <v>1.9830375264837292</v>
      </c>
      <c r="H160">
        <f t="shared" si="5"/>
        <v>2.6239315230856071</v>
      </c>
      <c r="I160">
        <f t="shared" si="5"/>
        <v>2.868155669683774</v>
      </c>
      <c r="J160">
        <f t="shared" si="5"/>
        <v>3.3865459309605601</v>
      </c>
    </row>
    <row r="161" spans="3:10" x14ac:dyDescent="0.45">
      <c r="C161" s="29">
        <v>105</v>
      </c>
      <c r="D161">
        <f t="shared" si="5"/>
        <v>0.67683347857977127</v>
      </c>
      <c r="E161">
        <f t="shared" si="5"/>
        <v>1.2896662828449672</v>
      </c>
      <c r="F161">
        <f t="shared" si="5"/>
        <v>1.6594953834068058</v>
      </c>
      <c r="G161">
        <f t="shared" si="5"/>
        <v>1.9828152737950464</v>
      </c>
      <c r="H161">
        <f t="shared" si="5"/>
        <v>2.6234654958980856</v>
      </c>
      <c r="I161">
        <f t="shared" si="5"/>
        <v>2.8675620053604489</v>
      </c>
      <c r="J161">
        <f t="shared" si="5"/>
        <v>3.3856077638635655</v>
      </c>
    </row>
    <row r="162" spans="3:10" x14ac:dyDescent="0.45">
      <c r="C162" s="29">
        <v>106</v>
      </c>
      <c r="D162">
        <f t="shared" si="5"/>
        <v>0.67681130064595885</v>
      </c>
      <c r="E162">
        <f t="shared" si="5"/>
        <v>1.2895892408456322</v>
      </c>
      <c r="F162">
        <f t="shared" si="5"/>
        <v>1.6593560339471876</v>
      </c>
      <c r="G162">
        <f t="shared" si="5"/>
        <v>1.9825972617654992</v>
      </c>
      <c r="H162">
        <f t="shared" si="5"/>
        <v>2.6230084114500185</v>
      </c>
      <c r="I162">
        <f t="shared" si="5"/>
        <v>2.8669797613504597</v>
      </c>
      <c r="J162">
        <f t="shared" si="5"/>
        <v>3.3846877494884473</v>
      </c>
    </row>
    <row r="163" spans="3:10" x14ac:dyDescent="0.45">
      <c r="C163" s="29">
        <v>107</v>
      </c>
      <c r="D163">
        <f t="shared" si="5"/>
        <v>0.67678953849811974</v>
      </c>
      <c r="E163">
        <f t="shared" si="5"/>
        <v>1.2895136479592184</v>
      </c>
      <c r="F163">
        <f t="shared" si="5"/>
        <v>1.6592193118810985</v>
      </c>
      <c r="G163">
        <f t="shared" si="5"/>
        <v>1.9823833701756892</v>
      </c>
      <c r="H163">
        <f t="shared" si="5"/>
        <v>2.6225600147970343</v>
      </c>
      <c r="I163">
        <f t="shared" si="5"/>
        <v>2.8664086112831875</v>
      </c>
      <c r="J163">
        <f t="shared" si="5"/>
        <v>3.3837853661030053</v>
      </c>
    </row>
    <row r="164" spans="3:10" x14ac:dyDescent="0.45">
      <c r="C164" s="29">
        <v>108</v>
      </c>
      <c r="D164">
        <f t="shared" si="5"/>
        <v>0.67676818055240484</v>
      </c>
      <c r="E164">
        <f t="shared" si="5"/>
        <v>1.2894394636817965</v>
      </c>
      <c r="F164">
        <f t="shared" si="5"/>
        <v>1.6590851435958269</v>
      </c>
      <c r="G164">
        <f t="shared" si="5"/>
        <v>1.982173483307728</v>
      </c>
      <c r="H164">
        <f t="shared" si="5"/>
        <v>2.6221200605936885</v>
      </c>
      <c r="I164">
        <f t="shared" si="5"/>
        <v>2.8658482411056827</v>
      </c>
      <c r="J164">
        <f t="shared" si="5"/>
        <v>3.382900111776074</v>
      </c>
    </row>
    <row r="165" spans="3:10" x14ac:dyDescent="0.45">
      <c r="C165" s="29">
        <v>109</v>
      </c>
      <c r="D165">
        <f t="shared" si="5"/>
        <v>0.67674721565130658</v>
      </c>
      <c r="E165">
        <f t="shared" si="5"/>
        <v>1.2893666490049474</v>
      </c>
      <c r="F165">
        <f t="shared" si="5"/>
        <v>1.6589534582030776</v>
      </c>
      <c r="G165">
        <f t="shared" si="5"/>
        <v>1.9819674897364858</v>
      </c>
      <c r="H165">
        <f t="shared" si="5"/>
        <v>2.621688312645976</v>
      </c>
      <c r="I165">
        <f t="shared" si="5"/>
        <v>2.8652983485070282</v>
      </c>
      <c r="J165">
        <f t="shared" si="5"/>
        <v>3.3820315034471213</v>
      </c>
    </row>
    <row r="166" spans="3:10" x14ac:dyDescent="0.45">
      <c r="C166" s="29">
        <v>110</v>
      </c>
      <c r="D166">
        <f t="shared" si="5"/>
        <v>0.67672663304417002</v>
      </c>
      <c r="E166">
        <f t="shared" si="5"/>
        <v>1.2892951663474244</v>
      </c>
      <c r="F166">
        <f t="shared" si="5"/>
        <v>1.6588241874140928</v>
      </c>
      <c r="G166">
        <f t="shared" si="5"/>
        <v>1.9817652821323735</v>
      </c>
      <c r="H166">
        <f t="shared" si="5"/>
        <v>2.6212645434885942</v>
      </c>
      <c r="I166">
        <f t="shared" si="5"/>
        <v>2.864758642374698</v>
      </c>
      <c r="J166">
        <f t="shared" si="5"/>
        <v>3.3811790760477991</v>
      </c>
    </row>
    <row r="167" spans="3:10" x14ac:dyDescent="0.45">
      <c r="C167" s="29">
        <v>111</v>
      </c>
      <c r="D167">
        <f t="shared" si="5"/>
        <v>0.6767064223689564</v>
      </c>
      <c r="E167">
        <f t="shared" si="5"/>
        <v>1.2892249794904438</v>
      </c>
      <c r="F167">
        <f t="shared" si="5"/>
        <v>1.6586972654215832</v>
      </c>
      <c r="G167">
        <f t="shared" si="5"/>
        <v>1.9815667570749009</v>
      </c>
      <c r="H167">
        <f t="shared" si="5"/>
        <v>2.6208485339854359</v>
      </c>
      <c r="I167">
        <f t="shared" si="5"/>
        <v>2.8642288422808377</v>
      </c>
      <c r="J167">
        <f t="shared" si="5"/>
        <v>3.3803423816720963</v>
      </c>
    </row>
    <row r="168" spans="3:10" x14ac:dyDescent="0.45">
      <c r="C168" s="29">
        <v>112</v>
      </c>
      <c r="D168">
        <f t="shared" si="5"/>
        <v>0.67668657363467399</v>
      </c>
      <c r="E168">
        <f t="shared" si="5"/>
        <v>1.2891560535165116</v>
      </c>
      <c r="F168">
        <f t="shared" si="5"/>
        <v>1.6585726287880238</v>
      </c>
      <c r="G168">
        <f t="shared" si="5"/>
        <v>1.9813718148763031</v>
      </c>
      <c r="H168">
        <f t="shared" si="5"/>
        <v>2.6204400729518436</v>
      </c>
      <c r="I168">
        <f t="shared" si="5"/>
        <v>2.8637086779965553</v>
      </c>
      <c r="J168">
        <f t="shared" si="5"/>
        <v>3.3795209887920259</v>
      </c>
    </row>
    <row r="169" spans="3:10" x14ac:dyDescent="0.45">
      <c r="C169" s="29">
        <v>113</v>
      </c>
      <c r="D169">
        <f t="shared" si="5"/>
        <v>0.67666707720505548</v>
      </c>
      <c r="E169">
        <f t="shared" si="5"/>
        <v>1.2890883547514773</v>
      </c>
      <c r="F169">
        <f t="shared" si="5"/>
        <v>1.6584502163399364</v>
      </c>
      <c r="G169">
        <f t="shared" si="5"/>
        <v>1.9811803594146622</v>
      </c>
      <c r="H169">
        <f t="shared" si="5"/>
        <v>2.6200389567971949</v>
      </c>
      <c r="I169">
        <f t="shared" si="5"/>
        <v>2.8631978890324721</v>
      </c>
      <c r="J169">
        <f t="shared" si="5"/>
        <v>3.3787144815158996</v>
      </c>
    </row>
    <row r="170" spans="3:10" x14ac:dyDescent="0.45">
      <c r="C170" s="29">
        <v>114</v>
      </c>
      <c r="D170">
        <f t="shared" si="5"/>
        <v>0.67664792378283645</v>
      </c>
      <c r="E170">
        <f t="shared" si="5"/>
        <v>1.2890218507097286</v>
      </c>
      <c r="F170">
        <f t="shared" si="5"/>
        <v>1.6583299690677951</v>
      </c>
      <c r="G170">
        <f t="shared" si="5"/>
        <v>1.9809922979758596</v>
      </c>
      <c r="H170">
        <f t="shared" si="5"/>
        <v>2.619644989186654</v>
      </c>
      <c r="I170">
        <f t="shared" si="5"/>
        <v>2.862696224203888</v>
      </c>
      <c r="J170">
        <f t="shared" si="5"/>
        <v>3.3779224588865455</v>
      </c>
    </row>
    <row r="171" spans="3:10" x14ac:dyDescent="0.45">
      <c r="C171" s="29">
        <v>115</v>
      </c>
      <c r="D171">
        <f t="shared" si="5"/>
        <v>0.67662910439509216</v>
      </c>
      <c r="E171">
        <f t="shared" si="5"/>
        <v>1.2889565100421754</v>
      </c>
      <c r="F171">
        <f t="shared" si="5"/>
        <v>1.658211830031149</v>
      </c>
      <c r="G171">
        <f t="shared" si="5"/>
        <v>1.9808075411039101</v>
      </c>
      <c r="H171">
        <f t="shared" si="5"/>
        <v>2.6192579807207728</v>
      </c>
      <c r="I171">
        <f t="shared" si="5"/>
        <v>2.8622034412190427</v>
      </c>
      <c r="J171">
        <f t="shared" si="5"/>
        <v>3.3771445342170181</v>
      </c>
    </row>
    <row r="172" spans="3:10" x14ac:dyDescent="0.45">
      <c r="C172" s="29">
        <v>116</v>
      </c>
      <c r="D172">
        <f t="shared" si="5"/>
        <v>0.67661061037911385</v>
      </c>
      <c r="E172">
        <f t="shared" si="5"/>
        <v>1.2888923024869843</v>
      </c>
      <c r="F172">
        <f t="shared" si="5"/>
        <v>1.6580957442687665</v>
      </c>
      <c r="G172">
        <f t="shared" si="5"/>
        <v>1.98062600245909</v>
      </c>
      <c r="H172">
        <f t="shared" si="5"/>
        <v>2.6188777486319674</v>
      </c>
      <c r="I172">
        <f t="shared" si="5"/>
        <v>2.8617193062890269</v>
      </c>
      <c r="J172">
        <f t="shared" si="5"/>
        <v>3.3763803344613872</v>
      </c>
    </row>
    <row r="173" spans="3:10" x14ac:dyDescent="0.45">
      <c r="C173" s="29">
        <v>117</v>
      </c>
      <c r="D173">
        <f t="shared" si="5"/>
        <v>0.67659243336918984</v>
      </c>
      <c r="E173">
        <f t="shared" si="5"/>
        <v>1.2888291988228651</v>
      </c>
      <c r="F173">
        <f t="shared" si="5"/>
        <v>1.6579816587133522</v>
      </c>
      <c r="G173">
        <f t="shared" si="5"/>
        <v>1.9804475986834036</v>
      </c>
      <c r="H173">
        <f t="shared" si="5"/>
        <v>2.6185041164968004</v>
      </c>
      <c r="I173">
        <f t="shared" si="5"/>
        <v>2.8612435937580836</v>
      </c>
      <c r="J173">
        <f t="shared" si="5"/>
        <v>3.37562949961859</v>
      </c>
    </row>
    <row r="174" spans="3:10" x14ac:dyDescent="0.45">
      <c r="C174" s="29">
        <v>118</v>
      </c>
      <c r="D174">
        <f t="shared" si="5"/>
        <v>0.6765745652839551</v>
      </c>
      <c r="E174">
        <f t="shared" si="5"/>
        <v>1.2887671708247093</v>
      </c>
      <c r="F174">
        <f t="shared" si="5"/>
        <v>1.6578695221106927</v>
      </c>
      <c r="G174">
        <f t="shared" si="5"/>
        <v>1.9802722492729716</v>
      </c>
      <c r="H174">
        <f t="shared" si="5"/>
        <v>2.6181369139630566</v>
      </c>
      <c r="I174">
        <f t="shared" si="5"/>
        <v>2.8607760857529678</v>
      </c>
      <c r="J174">
        <f t="shared" si="5"/>
        <v>3.3748916821672221</v>
      </c>
    </row>
    <row r="175" spans="3:10" x14ac:dyDescent="0.45">
      <c r="C175" s="29">
        <v>119</v>
      </c>
      <c r="D175">
        <f t="shared" si="5"/>
        <v>0.6765569983143862</v>
      </c>
      <c r="E175">
        <f t="shared" si="5"/>
        <v>1.2887061912215023</v>
      </c>
      <c r="F175">
        <f t="shared" si="5"/>
        <v>1.6577592849428349</v>
      </c>
      <c r="G175">
        <f t="shared" si="5"/>
        <v>1.9800998764569426</v>
      </c>
      <c r="H175">
        <f t="shared" si="5"/>
        <v>2.6177759764908615</v>
      </c>
      <c r="I175">
        <f t="shared" si="5"/>
        <v>2.8603165718503787</v>
      </c>
      <c r="J175">
        <f t="shared" si="5"/>
        <v>3.3741665465294783</v>
      </c>
    </row>
    <row r="176" spans="3:10" x14ac:dyDescent="0.45">
      <c r="C176" s="29">
        <v>120</v>
      </c>
      <c r="D176">
        <f t="shared" si="5"/>
        <v>0.67653972491251135</v>
      </c>
      <c r="E176">
        <f t="shared" si="5"/>
        <v>1.2886462336563809</v>
      </c>
      <c r="F176">
        <f t="shared" si="5"/>
        <v>1.6576508993552355</v>
      </c>
      <c r="G176">
        <f t="shared" si="5"/>
        <v>1.9799304050824413</v>
      </c>
      <c r="H176">
        <f t="shared" si="5"/>
        <v>2.617421145106865</v>
      </c>
      <c r="I176">
        <f t="shared" si="5"/>
        <v>2.8598648487612008</v>
      </c>
      <c r="J176">
        <f t="shared" si="5"/>
        <v>3.3734537685625003</v>
      </c>
    </row>
  </sheetData>
  <pageMargins left="0.7" right="0.7" top="0.75" bottom="0.75" header="0.3" footer="0.3"/>
  <pageSetup paperSize="9" orientation="portrait" verticalDpi="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171E8-7E4D-4EB0-8B9D-4313E5C2A0BB}">
  <dimension ref="A2:F56"/>
  <sheetViews>
    <sheetView workbookViewId="0">
      <selection activeCell="B9" sqref="B9"/>
    </sheetView>
  </sheetViews>
  <sheetFormatPr defaultRowHeight="14.25" x14ac:dyDescent="0.45"/>
  <cols>
    <col min="1" max="1" width="31.796875" style="28" bestFit="1" customWidth="1"/>
    <col min="2" max="2" width="38.53125" style="28" bestFit="1" customWidth="1"/>
    <col min="3" max="3" width="9.59765625" bestFit="1" customWidth="1"/>
    <col min="4" max="4" width="13.1328125" bestFit="1" customWidth="1"/>
    <col min="5" max="5" width="44.9296875" bestFit="1" customWidth="1"/>
    <col min="6" max="6" width="58.3984375" bestFit="1" customWidth="1"/>
  </cols>
  <sheetData>
    <row r="2" spans="1:6" x14ac:dyDescent="0.45">
      <c r="A2" s="21" t="s">
        <v>74</v>
      </c>
      <c r="B2" s="22" t="s">
        <v>2278</v>
      </c>
    </row>
    <row r="4" spans="1:6" x14ac:dyDescent="0.45">
      <c r="A4" s="23" t="s">
        <v>2279</v>
      </c>
      <c r="B4" s="24" t="s">
        <v>2283</v>
      </c>
    </row>
    <row r="5" spans="1:6" x14ac:dyDescent="0.45">
      <c r="A5" s="25" t="s">
        <v>123</v>
      </c>
      <c r="B5" s="24">
        <v>119</v>
      </c>
    </row>
    <row r="6" spans="1:6" x14ac:dyDescent="0.45">
      <c r="A6" s="26" t="s">
        <v>416</v>
      </c>
      <c r="B6" s="36">
        <v>14</v>
      </c>
    </row>
    <row r="7" spans="1:6" x14ac:dyDescent="0.45">
      <c r="A7" s="27" t="s">
        <v>2280</v>
      </c>
      <c r="B7" s="22">
        <v>133</v>
      </c>
    </row>
    <row r="9" spans="1:6" x14ac:dyDescent="0.45">
      <c r="A9" s="21" t="s">
        <v>74</v>
      </c>
      <c r="B9" s="22" t="s">
        <v>2278</v>
      </c>
    </row>
    <row r="11" spans="1:6" ht="28.5" x14ac:dyDescent="0.45">
      <c r="A11" s="23" t="s">
        <v>2279</v>
      </c>
      <c r="B11" s="24" t="s">
        <v>2281</v>
      </c>
    </row>
    <row r="12" spans="1:6" x14ac:dyDescent="0.45">
      <c r="A12" s="25" t="s">
        <v>123</v>
      </c>
      <c r="B12" s="24">
        <v>13</v>
      </c>
    </row>
    <row r="13" spans="1:6" ht="28.5" x14ac:dyDescent="0.45">
      <c r="A13" s="26" t="s">
        <v>124</v>
      </c>
      <c r="B13" s="36">
        <v>120</v>
      </c>
    </row>
    <row r="14" spans="1:6" x14ac:dyDescent="0.45">
      <c r="A14" s="27" t="s">
        <v>2280</v>
      </c>
      <c r="B14" s="22">
        <v>133</v>
      </c>
    </row>
    <row r="16" spans="1:6" x14ac:dyDescent="0.45">
      <c r="A16" s="21" t="s">
        <v>74</v>
      </c>
      <c r="B16" s="22" t="s">
        <v>2278</v>
      </c>
      <c r="E16" s="21" t="s">
        <v>24</v>
      </c>
      <c r="F16" s="22" t="s">
        <v>2278</v>
      </c>
    </row>
    <row r="17" spans="1:6" x14ac:dyDescent="0.45">
      <c r="E17" s="28"/>
      <c r="F17" s="28"/>
    </row>
    <row r="18" spans="1:6" ht="28.5" x14ac:dyDescent="0.45">
      <c r="A18" s="23" t="s">
        <v>2279</v>
      </c>
      <c r="B18" s="24" t="s">
        <v>2284</v>
      </c>
      <c r="E18" s="23" t="s">
        <v>2279</v>
      </c>
      <c r="F18" s="24" t="s">
        <v>2284</v>
      </c>
    </row>
    <row r="19" spans="1:6" x14ac:dyDescent="0.45">
      <c r="A19" s="25" t="s">
        <v>123</v>
      </c>
      <c r="B19" s="24">
        <v>116</v>
      </c>
      <c r="E19" s="25" t="s">
        <v>123</v>
      </c>
      <c r="F19" s="24">
        <v>116</v>
      </c>
    </row>
    <row r="20" spans="1:6" ht="28.5" x14ac:dyDescent="0.45">
      <c r="A20" s="26" t="s">
        <v>159</v>
      </c>
      <c r="B20" s="36">
        <v>17</v>
      </c>
      <c r="E20" s="26" t="s">
        <v>159</v>
      </c>
      <c r="F20" s="36">
        <v>17</v>
      </c>
    </row>
    <row r="21" spans="1:6" x14ac:dyDescent="0.45">
      <c r="A21" s="27" t="s">
        <v>2280</v>
      </c>
      <c r="B21" s="22">
        <v>133</v>
      </c>
      <c r="E21" s="27" t="s">
        <v>2280</v>
      </c>
      <c r="F21" s="22">
        <v>133</v>
      </c>
    </row>
    <row r="23" spans="1:6" x14ac:dyDescent="0.45">
      <c r="A23" s="21" t="s">
        <v>74</v>
      </c>
      <c r="B23" s="22" t="s">
        <v>2278</v>
      </c>
    </row>
    <row r="25" spans="1:6" ht="28.5" x14ac:dyDescent="0.45">
      <c r="A25" s="23" t="s">
        <v>2279</v>
      </c>
      <c r="B25" s="24" t="s">
        <v>2285</v>
      </c>
    </row>
    <row r="26" spans="1:6" x14ac:dyDescent="0.45">
      <c r="A26" s="25" t="s">
        <v>123</v>
      </c>
      <c r="B26" s="24">
        <v>129</v>
      </c>
    </row>
    <row r="27" spans="1:6" ht="28.5" x14ac:dyDescent="0.45">
      <c r="A27" s="26" t="s">
        <v>387</v>
      </c>
      <c r="B27" s="36">
        <v>4</v>
      </c>
    </row>
    <row r="28" spans="1:6" x14ac:dyDescent="0.45">
      <c r="A28" s="27" t="s">
        <v>2280</v>
      </c>
      <c r="B28" s="22">
        <v>133</v>
      </c>
    </row>
    <row r="30" spans="1:6" x14ac:dyDescent="0.45">
      <c r="A30" s="21" t="s">
        <v>74</v>
      </c>
      <c r="B30" s="22" t="s">
        <v>2278</v>
      </c>
    </row>
    <row r="32" spans="1:6" ht="28.5" x14ac:dyDescent="0.45">
      <c r="A32" s="23" t="s">
        <v>2279</v>
      </c>
      <c r="B32" s="24" t="s">
        <v>2286</v>
      </c>
    </row>
    <row r="33" spans="1:2" x14ac:dyDescent="0.45">
      <c r="A33" s="25" t="s">
        <v>123</v>
      </c>
      <c r="B33" s="24">
        <v>117</v>
      </c>
    </row>
    <row r="34" spans="1:2" ht="42.75" x14ac:dyDescent="0.45">
      <c r="A34" s="26" t="s">
        <v>214</v>
      </c>
      <c r="B34" s="36">
        <v>16</v>
      </c>
    </row>
    <row r="35" spans="1:2" x14ac:dyDescent="0.45">
      <c r="A35" s="27" t="s">
        <v>2280</v>
      </c>
      <c r="B35" s="22">
        <v>133</v>
      </c>
    </row>
    <row r="37" spans="1:2" x14ac:dyDescent="0.45">
      <c r="A37" s="21" t="s">
        <v>74</v>
      </c>
      <c r="B37" s="22" t="s">
        <v>2278</v>
      </c>
    </row>
    <row r="39" spans="1:2" ht="57" x14ac:dyDescent="0.45">
      <c r="A39" s="23" t="s">
        <v>2279</v>
      </c>
      <c r="B39" s="24" t="s">
        <v>2289</v>
      </c>
    </row>
    <row r="40" spans="1:2" x14ac:dyDescent="0.45">
      <c r="A40" s="25" t="s">
        <v>123</v>
      </c>
      <c r="B40" s="24">
        <v>128</v>
      </c>
    </row>
    <row r="41" spans="1:2" ht="28.5" x14ac:dyDescent="0.45">
      <c r="A41" s="26" t="s">
        <v>174</v>
      </c>
      <c r="B41" s="36">
        <v>5</v>
      </c>
    </row>
    <row r="42" spans="1:2" x14ac:dyDescent="0.45">
      <c r="A42" s="27" t="s">
        <v>2280</v>
      </c>
      <c r="B42" s="22">
        <v>133</v>
      </c>
    </row>
    <row r="44" spans="1:2" x14ac:dyDescent="0.45">
      <c r="A44" s="21" t="s">
        <v>74</v>
      </c>
      <c r="B44" s="22" t="s">
        <v>2278</v>
      </c>
    </row>
    <row r="46" spans="1:2" ht="57" x14ac:dyDescent="0.45">
      <c r="A46" s="23" t="s">
        <v>2279</v>
      </c>
      <c r="B46" s="24" t="s">
        <v>2291</v>
      </c>
    </row>
    <row r="47" spans="1:2" x14ac:dyDescent="0.45">
      <c r="A47" s="25" t="s">
        <v>123</v>
      </c>
      <c r="B47" s="24">
        <v>115</v>
      </c>
    </row>
    <row r="48" spans="1:2" ht="28.5" x14ac:dyDescent="0.45">
      <c r="A48" s="26" t="s">
        <v>177</v>
      </c>
      <c r="B48" s="36">
        <v>18</v>
      </c>
    </row>
    <row r="49" spans="1:2" x14ac:dyDescent="0.45">
      <c r="A49" s="27" t="s">
        <v>2280</v>
      </c>
      <c r="B49" s="22">
        <v>133</v>
      </c>
    </row>
    <row r="51" spans="1:2" x14ac:dyDescent="0.45">
      <c r="A51" s="21" t="s">
        <v>74</v>
      </c>
      <c r="B51" s="22" t="s">
        <v>2278</v>
      </c>
    </row>
    <row r="53" spans="1:2" ht="42.75" x14ac:dyDescent="0.45">
      <c r="A53" s="23" t="s">
        <v>2279</v>
      </c>
      <c r="B53" s="24" t="s">
        <v>2290</v>
      </c>
    </row>
    <row r="54" spans="1:2" x14ac:dyDescent="0.45">
      <c r="A54" s="25" t="s">
        <v>123</v>
      </c>
      <c r="B54" s="24">
        <v>131</v>
      </c>
    </row>
    <row r="55" spans="1:2" ht="28.5" x14ac:dyDescent="0.45">
      <c r="A55" s="26" t="s">
        <v>2022</v>
      </c>
      <c r="B55" s="36">
        <v>2</v>
      </c>
    </row>
    <row r="56" spans="1:2" x14ac:dyDescent="0.45">
      <c r="A56" s="27" t="s">
        <v>2280</v>
      </c>
      <c r="B56" s="22">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82E0C-9801-414B-B930-BA6380555AE0}">
  <dimension ref="A2:D21"/>
  <sheetViews>
    <sheetView workbookViewId="0"/>
  </sheetViews>
  <sheetFormatPr defaultRowHeight="14.25" x14ac:dyDescent="0.45"/>
  <cols>
    <col min="1" max="1" width="127.46484375" bestFit="1" customWidth="1"/>
    <col min="2" max="2" width="26.9296875" bestFit="1" customWidth="1"/>
    <col min="3" max="3" width="31.796875" bestFit="1" customWidth="1"/>
    <col min="4" max="5" width="13.1328125" bestFit="1" customWidth="1"/>
    <col min="6" max="6" width="74.3984375" bestFit="1" customWidth="1"/>
  </cols>
  <sheetData>
    <row r="2" spans="1:4" x14ac:dyDescent="0.45">
      <c r="A2" s="12" t="s">
        <v>74</v>
      </c>
      <c r="B2" s="13" t="s">
        <v>2282</v>
      </c>
    </row>
    <row r="3" spans="1:4" x14ac:dyDescent="0.45">
      <c r="A3" s="12" t="s">
        <v>12</v>
      </c>
      <c r="B3" s="13" t="s">
        <v>2278</v>
      </c>
    </row>
    <row r="4" spans="1:4" x14ac:dyDescent="0.45">
      <c r="A4" s="12" t="s">
        <v>24</v>
      </c>
      <c r="B4" s="13" t="s">
        <v>2278</v>
      </c>
    </row>
    <row r="5" spans="1:4" x14ac:dyDescent="0.45">
      <c r="A5" s="12" t="s">
        <v>34</v>
      </c>
      <c r="B5" s="13" t="s">
        <v>2278</v>
      </c>
    </row>
    <row r="6" spans="1:4" x14ac:dyDescent="0.45">
      <c r="A6" s="12" t="s">
        <v>46</v>
      </c>
      <c r="B6" s="13" t="s">
        <v>2278</v>
      </c>
    </row>
    <row r="7" spans="1:4" x14ac:dyDescent="0.45">
      <c r="A7" s="12" t="s">
        <v>49</v>
      </c>
      <c r="B7" s="13" t="s">
        <v>2278</v>
      </c>
    </row>
    <row r="8" spans="1:4" x14ac:dyDescent="0.45">
      <c r="A8" s="12" t="s">
        <v>50</v>
      </c>
      <c r="B8" s="13" t="s">
        <v>2278</v>
      </c>
    </row>
    <row r="9" spans="1:4" x14ac:dyDescent="0.45">
      <c r="A9" s="12" t="s">
        <v>65</v>
      </c>
      <c r="B9" s="13" t="s">
        <v>2278</v>
      </c>
    </row>
    <row r="10" spans="1:4" x14ac:dyDescent="0.45">
      <c r="A10" s="12" t="s">
        <v>55</v>
      </c>
      <c r="B10" s="13" t="s">
        <v>2278</v>
      </c>
    </row>
    <row r="12" spans="1:4" x14ac:dyDescent="0.45">
      <c r="A12" s="9"/>
      <c r="B12" s="15" t="s">
        <v>2287</v>
      </c>
      <c r="C12" s="10"/>
      <c r="D12" s="11"/>
    </row>
    <row r="13" spans="1:4" x14ac:dyDescent="0.45">
      <c r="A13" s="15" t="s">
        <v>2288</v>
      </c>
      <c r="B13" s="9" t="s">
        <v>123</v>
      </c>
      <c r="C13" s="18" t="s">
        <v>416</v>
      </c>
      <c r="D13" s="14" t="s">
        <v>2280</v>
      </c>
    </row>
    <row r="14" spans="1:4" x14ac:dyDescent="0.45">
      <c r="A14" s="16" t="s">
        <v>2281</v>
      </c>
      <c r="B14" s="9">
        <v>15</v>
      </c>
      <c r="C14" s="18">
        <v>7</v>
      </c>
      <c r="D14" s="14">
        <v>22</v>
      </c>
    </row>
    <row r="15" spans="1:4" x14ac:dyDescent="0.45">
      <c r="A15" s="17" t="s">
        <v>2283</v>
      </c>
      <c r="B15" s="37">
        <v>15</v>
      </c>
      <c r="C15" s="38">
        <v>7</v>
      </c>
      <c r="D15" s="35">
        <v>22</v>
      </c>
    </row>
    <row r="16" spans="1:4" x14ac:dyDescent="0.45">
      <c r="A16" s="17" t="s">
        <v>2284</v>
      </c>
      <c r="B16" s="37">
        <v>13</v>
      </c>
      <c r="C16" s="38">
        <v>6</v>
      </c>
      <c r="D16" s="35">
        <v>19</v>
      </c>
    </row>
    <row r="17" spans="1:4" x14ac:dyDescent="0.45">
      <c r="A17" s="17" t="s">
        <v>2285</v>
      </c>
      <c r="B17" s="37">
        <v>10</v>
      </c>
      <c r="C17" s="38">
        <v>5</v>
      </c>
      <c r="D17" s="35">
        <v>15</v>
      </c>
    </row>
    <row r="18" spans="1:4" x14ac:dyDescent="0.45">
      <c r="A18" s="17" t="s">
        <v>2286</v>
      </c>
      <c r="B18" s="37">
        <v>8</v>
      </c>
      <c r="C18" s="38">
        <v>5</v>
      </c>
      <c r="D18" s="35">
        <v>13</v>
      </c>
    </row>
    <row r="19" spans="1:4" x14ac:dyDescent="0.45">
      <c r="A19" s="17" t="s">
        <v>2289</v>
      </c>
      <c r="B19" s="37">
        <v>8</v>
      </c>
      <c r="C19" s="38">
        <v>5</v>
      </c>
      <c r="D19" s="35">
        <v>13</v>
      </c>
    </row>
    <row r="20" spans="1:4" x14ac:dyDescent="0.45">
      <c r="A20" s="17" t="s">
        <v>2290</v>
      </c>
      <c r="B20" s="37">
        <v>5</v>
      </c>
      <c r="C20" s="38">
        <v>4</v>
      </c>
      <c r="D20" s="35">
        <v>9</v>
      </c>
    </row>
    <row r="21" spans="1:4" x14ac:dyDescent="0.45">
      <c r="A21" s="19" t="s">
        <v>2291</v>
      </c>
      <c r="B21" s="39">
        <v>7</v>
      </c>
      <c r="C21" s="40">
        <v>5</v>
      </c>
      <c r="D21" s="41">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0876E-32F5-4BBF-BAF5-66EFDC5B3A70}">
  <dimension ref="A1:HF178"/>
  <sheetViews>
    <sheetView workbookViewId="0">
      <selection activeCell="P3" sqref="P3"/>
    </sheetView>
  </sheetViews>
  <sheetFormatPr defaultColWidth="8.1328125" defaultRowHeight="14.25" outlineLevelCol="1" x14ac:dyDescent="0.45"/>
  <cols>
    <col min="4" max="4" width="13" hidden="1" customWidth="1" outlineLevel="1"/>
    <col min="5" max="9" width="8.1328125" hidden="1" customWidth="1" outlineLevel="1"/>
    <col min="10" max="10" width="8.1328125" collapsed="1"/>
    <col min="11" max="12" width="5.9296875" customWidth="1"/>
    <col min="13" max="14" width="8.1328125" hidden="1" customWidth="1" outlineLevel="1"/>
    <col min="15" max="15" width="8.1328125" collapsed="1"/>
    <col min="16" max="16" width="11.796875" customWidth="1"/>
    <col min="17" max="17" width="33.1328125" hidden="1" customWidth="1" outlineLevel="1"/>
    <col min="18" max="18" width="8.1328125" hidden="1" customWidth="1" outlineLevel="1"/>
    <col min="19" max="19" width="16.1328125" hidden="1" customWidth="1" outlineLevel="1"/>
    <col min="20" max="31" width="8.1328125" hidden="1" customWidth="1" outlineLevel="1"/>
    <col min="32" max="32" width="11.796875" customWidth="1" collapsed="1"/>
    <col min="33" max="49" width="23.1328125" hidden="1" customWidth="1" outlineLevel="1"/>
    <col min="50" max="50" width="11.796875" customWidth="1" collapsed="1"/>
    <col min="51" max="51" width="8.1328125" hidden="1" customWidth="1" outlineLevel="1"/>
    <col min="52" max="95" width="26.3984375" hidden="1" customWidth="1" outlineLevel="1"/>
    <col min="96" max="96" width="11.796875" customWidth="1" collapsed="1"/>
    <col min="97" max="105" width="19.9296875" hidden="1" customWidth="1" outlineLevel="1"/>
    <col min="106" max="106" width="11.796875" customWidth="1" collapsed="1"/>
    <col min="107" max="115" width="23.33203125" hidden="1" customWidth="1" outlineLevel="1"/>
    <col min="116" max="116" width="11.796875" customWidth="1" collapsed="1"/>
    <col min="117" max="144" width="8.1328125" hidden="1" customWidth="1" outlineLevel="1"/>
    <col min="145" max="145" width="11.796875" customWidth="1" collapsed="1"/>
    <col min="146" max="170" width="8.1328125" hidden="1" customWidth="1" outlineLevel="1"/>
    <col min="171" max="171" width="11.796875" customWidth="1" collapsed="1"/>
    <col min="172" max="207" width="0" hidden="1" customWidth="1" outlineLevel="1"/>
    <col min="208" max="208" width="9.46484375" customWidth="1" collapsed="1"/>
  </cols>
  <sheetData>
    <row r="1" spans="1:214" ht="57.75" customHeight="1" x14ac:dyDescent="0.45">
      <c r="A1" t="s">
        <v>0</v>
      </c>
      <c r="D1" t="s">
        <v>1</v>
      </c>
      <c r="E1" t="s">
        <v>2</v>
      </c>
      <c r="F1" t="s">
        <v>3</v>
      </c>
      <c r="G1" t="s">
        <v>4</v>
      </c>
      <c r="H1" t="s">
        <v>5</v>
      </c>
      <c r="I1" t="s">
        <v>6</v>
      </c>
      <c r="J1" t="s">
        <v>7</v>
      </c>
      <c r="K1" t="s">
        <v>8</v>
      </c>
      <c r="L1" t="s">
        <v>9</v>
      </c>
      <c r="M1" t="s">
        <v>10</v>
      </c>
      <c r="N1" t="s">
        <v>11</v>
      </c>
      <c r="O1" t="s">
        <v>12</v>
      </c>
      <c r="P1" s="3" t="s">
        <v>13</v>
      </c>
      <c r="Q1" t="s">
        <v>14</v>
      </c>
      <c r="R1" t="s">
        <v>15</v>
      </c>
      <c r="S1" t="s">
        <v>16</v>
      </c>
      <c r="T1" t="s">
        <v>17</v>
      </c>
      <c r="W1" t="s">
        <v>18</v>
      </c>
      <c r="X1" t="s">
        <v>19</v>
      </c>
      <c r="Z1" t="s">
        <v>20</v>
      </c>
      <c r="AA1" t="s">
        <v>21</v>
      </c>
      <c r="AC1" t="s">
        <v>22</v>
      </c>
      <c r="AE1" t="s">
        <v>23</v>
      </c>
      <c r="AF1" s="3" t="s">
        <v>24</v>
      </c>
      <c r="AG1" t="s">
        <v>25</v>
      </c>
      <c r="AH1" t="s">
        <v>26</v>
      </c>
      <c r="AI1" t="s">
        <v>27</v>
      </c>
      <c r="AJ1" t="s">
        <v>28</v>
      </c>
      <c r="AK1" t="s">
        <v>17</v>
      </c>
      <c r="AP1" t="s">
        <v>29</v>
      </c>
      <c r="AQ1" t="s">
        <v>30</v>
      </c>
      <c r="AS1" t="s">
        <v>31</v>
      </c>
      <c r="AT1" t="s">
        <v>32</v>
      </c>
      <c r="AV1" t="s">
        <v>33</v>
      </c>
      <c r="AX1" s="3" t="s">
        <v>34</v>
      </c>
      <c r="AY1" t="s">
        <v>35</v>
      </c>
      <c r="AZ1" t="s">
        <v>36</v>
      </c>
      <c r="BA1" t="s">
        <v>37</v>
      </c>
      <c r="BB1" t="s">
        <v>38</v>
      </c>
      <c r="BC1" t="s">
        <v>39</v>
      </c>
      <c r="BD1" t="s">
        <v>17</v>
      </c>
      <c r="BI1" t="s">
        <v>40</v>
      </c>
      <c r="BJ1" t="s">
        <v>41</v>
      </c>
      <c r="BK1" t="s">
        <v>42</v>
      </c>
      <c r="BM1" t="s">
        <v>43</v>
      </c>
      <c r="BN1" t="s">
        <v>44</v>
      </c>
      <c r="BO1" t="s">
        <v>36</v>
      </c>
      <c r="BP1" t="s">
        <v>37</v>
      </c>
      <c r="BQ1" t="s">
        <v>38</v>
      </c>
      <c r="BR1" t="s">
        <v>39</v>
      </c>
      <c r="BS1" t="s">
        <v>17</v>
      </c>
      <c r="BX1" t="s">
        <v>40</v>
      </c>
      <c r="BY1" t="s">
        <v>41</v>
      </c>
      <c r="BZ1" t="s">
        <v>42</v>
      </c>
      <c r="CB1" t="s">
        <v>43</v>
      </c>
      <c r="CC1" t="s">
        <v>45</v>
      </c>
      <c r="CD1" t="s">
        <v>36</v>
      </c>
      <c r="CE1" t="s">
        <v>37</v>
      </c>
      <c r="CF1" t="s">
        <v>38</v>
      </c>
      <c r="CG1" t="s">
        <v>39</v>
      </c>
      <c r="CH1" t="s">
        <v>17</v>
      </c>
      <c r="CM1" t="s">
        <v>40</v>
      </c>
      <c r="CN1" t="s">
        <v>41</v>
      </c>
      <c r="CO1" t="s">
        <v>42</v>
      </c>
      <c r="CQ1" t="s">
        <v>43</v>
      </c>
      <c r="CR1" s="3" t="s">
        <v>46</v>
      </c>
      <c r="CS1" t="s">
        <v>47</v>
      </c>
      <c r="CT1" t="s">
        <v>48</v>
      </c>
      <c r="CU1" t="s">
        <v>17</v>
      </c>
      <c r="DA1" t="s">
        <v>41</v>
      </c>
      <c r="DB1" s="3" t="s">
        <v>49</v>
      </c>
      <c r="DC1" t="s">
        <v>47</v>
      </c>
      <c r="DD1" t="s">
        <v>48</v>
      </c>
      <c r="DE1" t="s">
        <v>17</v>
      </c>
      <c r="DK1" t="s">
        <v>31</v>
      </c>
      <c r="DL1" s="3" t="s">
        <v>50</v>
      </c>
      <c r="DM1" t="s">
        <v>51</v>
      </c>
      <c r="DQ1" t="s">
        <v>52</v>
      </c>
      <c r="DR1" t="s">
        <v>17</v>
      </c>
      <c r="DY1" t="s">
        <v>53</v>
      </c>
      <c r="EG1" t="s">
        <v>54</v>
      </c>
      <c r="EO1" s="3" t="s">
        <v>55</v>
      </c>
      <c r="EP1" t="s">
        <v>56</v>
      </c>
      <c r="EQ1" t="s">
        <v>57</v>
      </c>
      <c r="ER1" t="s">
        <v>58</v>
      </c>
      <c r="ES1" t="s">
        <v>17</v>
      </c>
      <c r="EV1" t="s">
        <v>59</v>
      </c>
      <c r="EW1" t="s">
        <v>60</v>
      </c>
      <c r="EX1" t="s">
        <v>61</v>
      </c>
      <c r="EY1" t="s">
        <v>62</v>
      </c>
      <c r="EZ1" t="s">
        <v>58</v>
      </c>
      <c r="FA1" t="s">
        <v>17</v>
      </c>
      <c r="FD1" t="s">
        <v>59</v>
      </c>
      <c r="FE1" t="s">
        <v>60</v>
      </c>
      <c r="FF1" t="s">
        <v>61</v>
      </c>
      <c r="FG1" t="s">
        <v>63</v>
      </c>
      <c r="FH1" t="s">
        <v>58</v>
      </c>
      <c r="FI1" t="s">
        <v>17</v>
      </c>
      <c r="FL1" t="s">
        <v>59</v>
      </c>
      <c r="FM1" t="s">
        <v>60</v>
      </c>
      <c r="FN1" t="s">
        <v>64</v>
      </c>
      <c r="FO1" s="3" t="s">
        <v>65</v>
      </c>
      <c r="FP1" t="s">
        <v>66</v>
      </c>
      <c r="FQ1" t="s">
        <v>67</v>
      </c>
      <c r="FR1" t="s">
        <v>57</v>
      </c>
      <c r="FS1" t="s">
        <v>68</v>
      </c>
      <c r="FT1" t="s">
        <v>17</v>
      </c>
      <c r="GB1" t="s">
        <v>69</v>
      </c>
      <c r="GC1" t="s">
        <v>70</v>
      </c>
      <c r="GD1" t="s">
        <v>68</v>
      </c>
      <c r="GE1" t="s">
        <v>17</v>
      </c>
      <c r="GL1" t="s">
        <v>71</v>
      </c>
      <c r="GM1" t="s">
        <v>72</v>
      </c>
      <c r="GN1" t="s">
        <v>68</v>
      </c>
      <c r="GO1" t="s">
        <v>17</v>
      </c>
      <c r="GV1" t="s">
        <v>71</v>
      </c>
      <c r="GW1" t="s">
        <v>73</v>
      </c>
      <c r="GZ1" t="s">
        <v>74</v>
      </c>
      <c r="HA1" t="s">
        <v>75</v>
      </c>
      <c r="HB1" t="s">
        <v>76</v>
      </c>
      <c r="HD1" t="s">
        <v>77</v>
      </c>
      <c r="HE1" t="s">
        <v>78</v>
      </c>
      <c r="HF1" t="s">
        <v>79</v>
      </c>
    </row>
    <row r="2" spans="1:214" x14ac:dyDescent="0.45">
      <c r="A2" t="s">
        <v>0</v>
      </c>
      <c r="B2" t="s">
        <v>2264</v>
      </c>
      <c r="C2" t="s">
        <v>2267</v>
      </c>
      <c r="D2" t="s">
        <v>1</v>
      </c>
      <c r="E2" t="s">
        <v>2</v>
      </c>
      <c r="F2" t="s">
        <v>3</v>
      </c>
      <c r="G2" t="s">
        <v>4</v>
      </c>
      <c r="H2" t="s">
        <v>5</v>
      </c>
      <c r="I2" t="s">
        <v>6</v>
      </c>
      <c r="J2" t="s">
        <v>7</v>
      </c>
      <c r="K2" t="s">
        <v>8</v>
      </c>
      <c r="L2" t="s">
        <v>9</v>
      </c>
      <c r="M2" t="s">
        <v>10</v>
      </c>
      <c r="N2" t="s">
        <v>11</v>
      </c>
      <c r="O2" t="s">
        <v>12</v>
      </c>
      <c r="P2" s="1" t="s">
        <v>13</v>
      </c>
      <c r="Q2" t="s">
        <v>14</v>
      </c>
      <c r="R2" t="s">
        <v>15</v>
      </c>
      <c r="S2" t="s">
        <v>16</v>
      </c>
      <c r="T2" t="s">
        <v>80</v>
      </c>
      <c r="U2" t="s">
        <v>81</v>
      </c>
      <c r="V2" t="s">
        <v>82</v>
      </c>
      <c r="W2" t="s">
        <v>2065</v>
      </c>
      <c r="X2" t="s">
        <v>83</v>
      </c>
      <c r="Y2" t="s">
        <v>84</v>
      </c>
      <c r="Z2" t="s">
        <v>20</v>
      </c>
      <c r="AA2" t="s">
        <v>2265</v>
      </c>
      <c r="AB2" t="s">
        <v>2266</v>
      </c>
      <c r="AC2" t="s">
        <v>22</v>
      </c>
      <c r="AD2" t="s">
        <v>85</v>
      </c>
      <c r="AE2" t="s">
        <v>23</v>
      </c>
      <c r="AF2" s="1" t="s">
        <v>24</v>
      </c>
      <c r="AG2" t="s">
        <v>25</v>
      </c>
      <c r="AH2" t="s">
        <v>26</v>
      </c>
      <c r="AI2" t="s">
        <v>27</v>
      </c>
      <c r="AJ2" t="s">
        <v>28</v>
      </c>
      <c r="AK2" t="s">
        <v>86</v>
      </c>
      <c r="AL2" t="s">
        <v>2071</v>
      </c>
      <c r="AM2" t="s">
        <v>87</v>
      </c>
      <c r="AN2" t="s">
        <v>88</v>
      </c>
      <c r="AO2" t="s">
        <v>89</v>
      </c>
      <c r="AP2" t="s">
        <v>29</v>
      </c>
      <c r="AQ2" t="s">
        <v>2072</v>
      </c>
      <c r="AR2" t="s">
        <v>2073</v>
      </c>
      <c r="AS2" t="s">
        <v>31</v>
      </c>
      <c r="AT2" t="s">
        <v>32</v>
      </c>
      <c r="AU2" t="s">
        <v>2070</v>
      </c>
      <c r="AV2" t="s">
        <v>33</v>
      </c>
      <c r="AW2" t="s">
        <v>2074</v>
      </c>
      <c r="AX2" s="1" t="s">
        <v>34</v>
      </c>
      <c r="AY2" t="s">
        <v>35</v>
      </c>
      <c r="AZ2" t="s">
        <v>36</v>
      </c>
      <c r="BA2" t="s">
        <v>37</v>
      </c>
      <c r="BB2" t="s">
        <v>38</v>
      </c>
      <c r="BC2" t="s">
        <v>39</v>
      </c>
      <c r="BD2" t="s">
        <v>2075</v>
      </c>
      <c r="BE2" t="s">
        <v>2076</v>
      </c>
      <c r="BF2" t="s">
        <v>90</v>
      </c>
      <c r="BG2" t="s">
        <v>91</v>
      </c>
      <c r="BH2" t="s">
        <v>92</v>
      </c>
      <c r="BI2" t="s">
        <v>40</v>
      </c>
      <c r="BJ2" t="s">
        <v>41</v>
      </c>
      <c r="BK2" t="s">
        <v>42</v>
      </c>
      <c r="BL2" t="s">
        <v>2077</v>
      </c>
      <c r="BM2" t="s">
        <v>43</v>
      </c>
      <c r="BN2" t="s">
        <v>44</v>
      </c>
      <c r="BO2" t="s">
        <v>2078</v>
      </c>
      <c r="BP2" t="s">
        <v>2079</v>
      </c>
      <c r="BQ2" t="s">
        <v>2080</v>
      </c>
      <c r="BR2" t="s">
        <v>2081</v>
      </c>
      <c r="BS2" t="s">
        <v>2082</v>
      </c>
      <c r="BT2" t="s">
        <v>2083</v>
      </c>
      <c r="BU2" t="s">
        <v>2084</v>
      </c>
      <c r="BV2" t="s">
        <v>2085</v>
      </c>
      <c r="BW2" t="s">
        <v>2086</v>
      </c>
      <c r="BX2" t="s">
        <v>2087</v>
      </c>
      <c r="BY2" t="s">
        <v>2088</v>
      </c>
      <c r="BZ2" t="s">
        <v>2089</v>
      </c>
      <c r="CA2" t="s">
        <v>2090</v>
      </c>
      <c r="CB2" t="s">
        <v>2091</v>
      </c>
      <c r="CC2" t="s">
        <v>45</v>
      </c>
      <c r="CD2" t="s">
        <v>2092</v>
      </c>
      <c r="CE2" t="s">
        <v>2093</v>
      </c>
      <c r="CF2" t="s">
        <v>2094</v>
      </c>
      <c r="CG2" t="s">
        <v>2095</v>
      </c>
      <c r="CH2" t="s">
        <v>2096</v>
      </c>
      <c r="CI2" t="s">
        <v>2097</v>
      </c>
      <c r="CJ2" t="s">
        <v>2098</v>
      </c>
      <c r="CK2" t="s">
        <v>2099</v>
      </c>
      <c r="CL2" t="s">
        <v>2100</v>
      </c>
      <c r="CM2" t="s">
        <v>2101</v>
      </c>
      <c r="CN2" t="s">
        <v>2102</v>
      </c>
      <c r="CO2" t="s">
        <v>2103</v>
      </c>
      <c r="CP2" t="s">
        <v>2104</v>
      </c>
      <c r="CQ2" t="s">
        <v>2105</v>
      </c>
      <c r="CR2" s="1" t="s">
        <v>46</v>
      </c>
      <c r="CS2" t="s">
        <v>47</v>
      </c>
      <c r="CT2" t="s">
        <v>48</v>
      </c>
      <c r="CU2" t="s">
        <v>93</v>
      </c>
      <c r="CV2" t="s">
        <v>94</v>
      </c>
      <c r="CW2" t="s">
        <v>95</v>
      </c>
      <c r="CX2" t="s">
        <v>96</v>
      </c>
      <c r="CY2" t="s">
        <v>97</v>
      </c>
      <c r="CZ2" t="s">
        <v>98</v>
      </c>
      <c r="DA2" t="s">
        <v>2106</v>
      </c>
      <c r="DB2" s="1" t="s">
        <v>49</v>
      </c>
      <c r="DC2" t="s">
        <v>2107</v>
      </c>
      <c r="DD2" t="s">
        <v>2108</v>
      </c>
      <c r="DE2" t="s">
        <v>2109</v>
      </c>
      <c r="DF2" t="s">
        <v>2110</v>
      </c>
      <c r="DG2" t="s">
        <v>2111</v>
      </c>
      <c r="DH2" t="s">
        <v>2112</v>
      </c>
      <c r="DI2" t="s">
        <v>2113</v>
      </c>
      <c r="DJ2" t="s">
        <v>2114</v>
      </c>
      <c r="DK2" t="s">
        <v>2115</v>
      </c>
      <c r="DL2" s="1" t="s">
        <v>50</v>
      </c>
      <c r="DM2" t="s">
        <v>51</v>
      </c>
      <c r="DN2" t="s">
        <v>2067</v>
      </c>
      <c r="DO2" t="s">
        <v>2068</v>
      </c>
      <c r="DP2" t="s">
        <v>2069</v>
      </c>
      <c r="DQ2" t="s">
        <v>52</v>
      </c>
      <c r="DR2" t="s">
        <v>99</v>
      </c>
      <c r="DS2" t="s">
        <v>100</v>
      </c>
      <c r="DT2" t="s">
        <v>101</v>
      </c>
      <c r="DU2" t="s">
        <v>102</v>
      </c>
      <c r="DV2" t="s">
        <v>103</v>
      </c>
      <c r="DW2" t="s">
        <v>104</v>
      </c>
      <c r="DX2" t="s">
        <v>105</v>
      </c>
      <c r="DY2" t="s">
        <v>106</v>
      </c>
      <c r="DZ2" t="s">
        <v>107</v>
      </c>
      <c r="EA2" t="s">
        <v>108</v>
      </c>
      <c r="EB2" t="s">
        <v>109</v>
      </c>
      <c r="EC2" t="s">
        <v>110</v>
      </c>
      <c r="ED2" t="s">
        <v>111</v>
      </c>
      <c r="EE2" t="s">
        <v>112</v>
      </c>
      <c r="EF2" t="s">
        <v>2116</v>
      </c>
      <c r="EG2" t="s">
        <v>2117</v>
      </c>
      <c r="EH2" t="s">
        <v>2118</v>
      </c>
      <c r="EI2" t="s">
        <v>2119</v>
      </c>
      <c r="EJ2" t="s">
        <v>2120</v>
      </c>
      <c r="EK2" t="s">
        <v>2121</v>
      </c>
      <c r="EL2" t="s">
        <v>2122</v>
      </c>
      <c r="EM2" t="s">
        <v>2123</v>
      </c>
      <c r="EN2" t="s">
        <v>2124</v>
      </c>
      <c r="EO2" s="1" t="s">
        <v>55</v>
      </c>
      <c r="EP2" t="s">
        <v>56</v>
      </c>
      <c r="EQ2" t="s">
        <v>57</v>
      </c>
      <c r="ER2" t="s">
        <v>58</v>
      </c>
      <c r="ES2" t="s">
        <v>113</v>
      </c>
      <c r="ET2" t="s">
        <v>114</v>
      </c>
      <c r="EU2" t="s">
        <v>115</v>
      </c>
      <c r="EV2" t="s">
        <v>59</v>
      </c>
      <c r="EW2" t="s">
        <v>60</v>
      </c>
      <c r="EX2" t="s">
        <v>61</v>
      </c>
      <c r="EY2" t="s">
        <v>62</v>
      </c>
      <c r="EZ2" t="s">
        <v>2125</v>
      </c>
      <c r="FA2" t="s">
        <v>2126</v>
      </c>
      <c r="FB2" t="s">
        <v>2127</v>
      </c>
      <c r="FC2" t="s">
        <v>2128</v>
      </c>
      <c r="FD2" t="s">
        <v>2129</v>
      </c>
      <c r="FE2" t="s">
        <v>2130</v>
      </c>
      <c r="FF2" t="s">
        <v>2131</v>
      </c>
      <c r="FG2" t="s">
        <v>63</v>
      </c>
      <c r="FH2" t="s">
        <v>2132</v>
      </c>
      <c r="FI2" t="s">
        <v>2133</v>
      </c>
      <c r="FJ2" t="s">
        <v>2134</v>
      </c>
      <c r="FK2" t="s">
        <v>2135</v>
      </c>
      <c r="FL2" t="s">
        <v>2136</v>
      </c>
      <c r="FM2" t="s">
        <v>2137</v>
      </c>
      <c r="FN2" t="s">
        <v>64</v>
      </c>
      <c r="FO2" s="1" t="s">
        <v>65</v>
      </c>
      <c r="FP2" t="s">
        <v>66</v>
      </c>
      <c r="FQ2" t="s">
        <v>67</v>
      </c>
      <c r="FR2" t="s">
        <v>2138</v>
      </c>
      <c r="FS2" t="s">
        <v>68</v>
      </c>
      <c r="FT2" t="s">
        <v>116</v>
      </c>
      <c r="FU2" t="s">
        <v>2139</v>
      </c>
      <c r="FV2" t="s">
        <v>2140</v>
      </c>
      <c r="FW2" t="s">
        <v>2141</v>
      </c>
      <c r="FX2" t="s">
        <v>2142</v>
      </c>
      <c r="FY2" t="s">
        <v>2143</v>
      </c>
      <c r="FZ2" t="s">
        <v>2144</v>
      </c>
      <c r="GA2" t="s">
        <v>2145</v>
      </c>
      <c r="GB2" t="s">
        <v>69</v>
      </c>
      <c r="GC2" t="s">
        <v>70</v>
      </c>
      <c r="GD2" t="s">
        <v>2146</v>
      </c>
      <c r="GE2" t="s">
        <v>2147</v>
      </c>
      <c r="GF2" t="s">
        <v>2148</v>
      </c>
      <c r="GG2" t="s">
        <v>2149</v>
      </c>
      <c r="GH2" t="s">
        <v>2150</v>
      </c>
      <c r="GI2" t="s">
        <v>2151</v>
      </c>
      <c r="GJ2" t="s">
        <v>2152</v>
      </c>
      <c r="GK2" t="s">
        <v>2153</v>
      </c>
      <c r="GL2" t="s">
        <v>71</v>
      </c>
      <c r="GM2" t="s">
        <v>72</v>
      </c>
      <c r="GN2" t="s">
        <v>2154</v>
      </c>
      <c r="GO2" t="s">
        <v>2155</v>
      </c>
      <c r="GP2" t="s">
        <v>2156</v>
      </c>
      <c r="GQ2" t="s">
        <v>2157</v>
      </c>
      <c r="GR2" t="s">
        <v>2158</v>
      </c>
      <c r="GS2" t="s">
        <v>2159</v>
      </c>
      <c r="GT2" t="s">
        <v>2160</v>
      </c>
      <c r="GU2" t="s">
        <v>2161</v>
      </c>
      <c r="GV2" t="s">
        <v>2162</v>
      </c>
      <c r="GW2" t="s">
        <v>73</v>
      </c>
      <c r="GX2" t="s">
        <v>2163</v>
      </c>
      <c r="GY2" t="s">
        <v>2164</v>
      </c>
      <c r="GZ2" t="s">
        <v>74</v>
      </c>
      <c r="HA2" t="s">
        <v>75</v>
      </c>
      <c r="HB2" t="s">
        <v>76</v>
      </c>
      <c r="HC2" t="s">
        <v>2165</v>
      </c>
      <c r="HD2" t="s">
        <v>77</v>
      </c>
      <c r="HE2" t="s">
        <v>78</v>
      </c>
      <c r="HF2" t="s">
        <v>79</v>
      </c>
    </row>
    <row r="3" spans="1:214" x14ac:dyDescent="0.45">
      <c r="A3">
        <v>1</v>
      </c>
      <c r="B3">
        <f>_xlfn.IFNA(VLOOKUP(Analiza[[#This Row],[Zakończono wypełnianie]],Zakończone[],2,0),"BRAK")</f>
        <v>1</v>
      </c>
      <c r="C3">
        <f t="shared" ref="C3:C34" si="0">COUNTA(O3:HF3)</f>
        <v>34</v>
      </c>
      <c r="D3" t="s">
        <v>117</v>
      </c>
      <c r="E3" t="s">
        <v>118</v>
      </c>
      <c r="J3" t="s">
        <v>119</v>
      </c>
      <c r="K3" t="s">
        <v>120</v>
      </c>
      <c r="L3" t="s">
        <v>121</v>
      </c>
      <c r="M3">
        <v>65871</v>
      </c>
      <c r="N3">
        <v>0</v>
      </c>
      <c r="O3" t="s">
        <v>122</v>
      </c>
      <c r="P3" s="1" t="s">
        <v>123</v>
      </c>
      <c r="AF3" s="1" t="s">
        <v>124</v>
      </c>
      <c r="AG3" t="s">
        <v>125</v>
      </c>
      <c r="AI3" t="s">
        <v>126</v>
      </c>
      <c r="AJ3" t="s">
        <v>127</v>
      </c>
      <c r="AK3" t="s">
        <v>128</v>
      </c>
      <c r="AL3" t="s">
        <v>128</v>
      </c>
      <c r="AM3" t="s">
        <v>129</v>
      </c>
      <c r="AN3" t="s">
        <v>129</v>
      </c>
      <c r="AO3" t="s">
        <v>129</v>
      </c>
      <c r="AP3" t="s">
        <v>130</v>
      </c>
      <c r="AQ3" t="s">
        <v>131</v>
      </c>
      <c r="AR3" t="s">
        <v>132</v>
      </c>
      <c r="AS3" t="s">
        <v>133</v>
      </c>
      <c r="AT3" t="s">
        <v>134</v>
      </c>
      <c r="AU3" t="s">
        <v>135</v>
      </c>
      <c r="AW3" t="s">
        <v>136</v>
      </c>
      <c r="AX3" s="1" t="s">
        <v>123</v>
      </c>
      <c r="CR3" s="1" t="s">
        <v>123</v>
      </c>
      <c r="DB3" s="1" t="s">
        <v>123</v>
      </c>
      <c r="DL3" s="1" t="s">
        <v>123</v>
      </c>
      <c r="EO3" s="1" t="s">
        <v>123</v>
      </c>
      <c r="FO3" s="1" t="s">
        <v>123</v>
      </c>
      <c r="FP3" t="s">
        <v>132</v>
      </c>
      <c r="GW3" t="s">
        <v>137</v>
      </c>
      <c r="GX3" t="s">
        <v>138</v>
      </c>
      <c r="GY3" t="s">
        <v>139</v>
      </c>
      <c r="GZ3" t="s">
        <v>140</v>
      </c>
      <c r="HA3">
        <v>1987</v>
      </c>
      <c r="HB3" t="s">
        <v>141</v>
      </c>
      <c r="HD3" t="s">
        <v>142</v>
      </c>
      <c r="HE3" t="s">
        <v>142</v>
      </c>
      <c r="HF3" t="s">
        <v>143</v>
      </c>
    </row>
    <row r="4" spans="1:214" x14ac:dyDescent="0.45">
      <c r="A4">
        <v>2</v>
      </c>
      <c r="B4">
        <f>_xlfn.IFNA(VLOOKUP(Analiza[[#This Row],[Zakończono wypełnianie]],Zakończone[],2,0),"BRAK")</f>
        <v>2</v>
      </c>
      <c r="C4">
        <f t="shared" si="0"/>
        <v>95</v>
      </c>
      <c r="D4" t="s">
        <v>144</v>
      </c>
      <c r="E4" t="s">
        <v>118</v>
      </c>
      <c r="J4" t="s">
        <v>119</v>
      </c>
      <c r="K4" t="s">
        <v>145</v>
      </c>
      <c r="L4" t="s">
        <v>146</v>
      </c>
      <c r="M4">
        <v>1573</v>
      </c>
      <c r="N4">
        <v>0</v>
      </c>
      <c r="O4" t="s">
        <v>122</v>
      </c>
      <c r="P4" s="1" t="s">
        <v>123</v>
      </c>
      <c r="AF4" s="1" t="s">
        <v>124</v>
      </c>
      <c r="AG4" t="s">
        <v>234</v>
      </c>
      <c r="AH4">
        <v>1986</v>
      </c>
      <c r="AI4" t="s">
        <v>148</v>
      </c>
      <c r="AJ4" t="s">
        <v>149</v>
      </c>
      <c r="AK4" t="s">
        <v>150</v>
      </c>
      <c r="AL4" t="s">
        <v>150</v>
      </c>
      <c r="AM4" t="s">
        <v>150</v>
      </c>
      <c r="AN4" t="s">
        <v>151</v>
      </c>
      <c r="AO4" t="s">
        <v>150</v>
      </c>
      <c r="AP4">
        <v>3</v>
      </c>
      <c r="AQ4" t="s">
        <v>152</v>
      </c>
      <c r="AR4" t="s">
        <v>153</v>
      </c>
      <c r="AS4" t="s">
        <v>154</v>
      </c>
      <c r="AT4" t="s">
        <v>155</v>
      </c>
      <c r="AU4" t="s">
        <v>156</v>
      </c>
      <c r="AV4" t="s">
        <v>157</v>
      </c>
      <c r="AW4" t="s">
        <v>158</v>
      </c>
      <c r="AX4" s="1" t="s">
        <v>159</v>
      </c>
      <c r="AY4">
        <v>2</v>
      </c>
      <c r="AZ4" t="s">
        <v>160</v>
      </c>
      <c r="BA4">
        <v>2013</v>
      </c>
      <c r="BB4" t="s">
        <v>148</v>
      </c>
      <c r="BC4" t="s">
        <v>161</v>
      </c>
      <c r="BD4" t="s">
        <v>162</v>
      </c>
      <c r="BE4" t="s">
        <v>150</v>
      </c>
      <c r="BF4" t="s">
        <v>150</v>
      </c>
      <c r="BG4" t="s">
        <v>150</v>
      </c>
      <c r="BH4" t="s">
        <v>150</v>
      </c>
      <c r="BI4" t="s">
        <v>163</v>
      </c>
      <c r="BJ4" t="s">
        <v>164</v>
      </c>
      <c r="BK4" t="s">
        <v>157</v>
      </c>
      <c r="BM4" t="s">
        <v>165</v>
      </c>
      <c r="BN4" t="s">
        <v>166</v>
      </c>
      <c r="BO4" t="s">
        <v>167</v>
      </c>
      <c r="BP4">
        <v>2015</v>
      </c>
      <c r="BQ4" t="s">
        <v>148</v>
      </c>
      <c r="BR4" t="s">
        <v>168</v>
      </c>
      <c r="BS4" t="s">
        <v>150</v>
      </c>
      <c r="BT4" t="s">
        <v>169</v>
      </c>
      <c r="BU4" t="s">
        <v>150</v>
      </c>
      <c r="BV4" t="s">
        <v>150</v>
      </c>
      <c r="BW4" t="s">
        <v>150</v>
      </c>
      <c r="BX4" t="s">
        <v>170</v>
      </c>
      <c r="BY4" t="s">
        <v>171</v>
      </c>
      <c r="BZ4" t="s">
        <v>172</v>
      </c>
      <c r="CC4" t="s">
        <v>173</v>
      </c>
      <c r="CR4" s="1" t="s">
        <v>123</v>
      </c>
      <c r="DB4" s="1" t="s">
        <v>123</v>
      </c>
      <c r="DL4" s="1" t="s">
        <v>174</v>
      </c>
      <c r="DP4" t="s">
        <v>175</v>
      </c>
      <c r="DQ4" t="s">
        <v>176</v>
      </c>
      <c r="DR4" t="s">
        <v>162</v>
      </c>
      <c r="DS4" t="s">
        <v>150</v>
      </c>
      <c r="DT4" t="s">
        <v>151</v>
      </c>
      <c r="DU4" t="s">
        <v>151</v>
      </c>
      <c r="DV4" t="s">
        <v>162</v>
      </c>
      <c r="DW4" t="s">
        <v>162</v>
      </c>
      <c r="DX4" t="s">
        <v>150</v>
      </c>
      <c r="DY4">
        <v>25</v>
      </c>
      <c r="DZ4">
        <v>25</v>
      </c>
      <c r="EA4">
        <v>2</v>
      </c>
      <c r="EB4">
        <v>5</v>
      </c>
      <c r="EC4">
        <v>8</v>
      </c>
      <c r="ED4">
        <v>25</v>
      </c>
      <c r="EE4">
        <v>10</v>
      </c>
      <c r="EG4">
        <v>20</v>
      </c>
      <c r="EH4">
        <v>20</v>
      </c>
      <c r="EI4">
        <v>1</v>
      </c>
      <c r="EJ4">
        <v>4</v>
      </c>
      <c r="EK4">
        <v>25</v>
      </c>
      <c r="EL4">
        <v>25</v>
      </c>
      <c r="EM4">
        <v>5</v>
      </c>
      <c r="EO4" s="1" t="s">
        <v>177</v>
      </c>
      <c r="EP4" t="s">
        <v>178</v>
      </c>
      <c r="EQ4">
        <v>1</v>
      </c>
      <c r="ER4" t="s">
        <v>179</v>
      </c>
      <c r="ES4" t="s">
        <v>150</v>
      </c>
      <c r="ET4" t="s">
        <v>150</v>
      </c>
      <c r="EU4" t="s">
        <v>151</v>
      </c>
      <c r="EV4" t="s">
        <v>180</v>
      </c>
      <c r="EW4" t="s">
        <v>181</v>
      </c>
      <c r="EX4" t="s">
        <v>182</v>
      </c>
      <c r="EY4" t="s">
        <v>173</v>
      </c>
      <c r="FO4" s="1" t="s">
        <v>123</v>
      </c>
      <c r="FP4" t="s">
        <v>132</v>
      </c>
      <c r="GW4" t="s">
        <v>183</v>
      </c>
      <c r="GX4" t="s">
        <v>184</v>
      </c>
      <c r="GY4" t="s">
        <v>185</v>
      </c>
      <c r="GZ4" t="s">
        <v>186</v>
      </c>
      <c r="HA4">
        <v>1961</v>
      </c>
      <c r="HB4" t="s">
        <v>141</v>
      </c>
      <c r="HD4" t="s">
        <v>187</v>
      </c>
    </row>
    <row r="5" spans="1:214" x14ac:dyDescent="0.45">
      <c r="A5">
        <v>3</v>
      </c>
      <c r="B5">
        <f>_xlfn.IFNA(VLOOKUP(Analiza[[#This Row],[Zakończono wypełnianie]],Zakończone[],2,0),"BRAK")</f>
        <v>3</v>
      </c>
      <c r="C5">
        <f t="shared" si="0"/>
        <v>33</v>
      </c>
      <c r="D5" t="s">
        <v>188</v>
      </c>
      <c r="E5" t="s">
        <v>118</v>
      </c>
      <c r="J5" t="s">
        <v>119</v>
      </c>
      <c r="K5" t="s">
        <v>189</v>
      </c>
      <c r="L5" t="s">
        <v>190</v>
      </c>
      <c r="M5">
        <v>853</v>
      </c>
      <c r="N5">
        <v>0</v>
      </c>
      <c r="O5" t="s">
        <v>122</v>
      </c>
      <c r="P5" s="1" t="s">
        <v>123</v>
      </c>
      <c r="AF5" s="1" t="s">
        <v>124</v>
      </c>
      <c r="AG5" t="s">
        <v>191</v>
      </c>
      <c r="AH5">
        <v>2017</v>
      </c>
      <c r="AI5" t="s">
        <v>126</v>
      </c>
      <c r="AJ5" t="s">
        <v>192</v>
      </c>
      <c r="AK5" t="s">
        <v>150</v>
      </c>
      <c r="AL5" t="s">
        <v>150</v>
      </c>
      <c r="AM5" t="s">
        <v>162</v>
      </c>
      <c r="AN5" t="s">
        <v>169</v>
      </c>
      <c r="AO5" t="s">
        <v>169</v>
      </c>
      <c r="AP5" t="s">
        <v>193</v>
      </c>
      <c r="AQ5" t="s">
        <v>194</v>
      </c>
      <c r="AR5" t="s">
        <v>194</v>
      </c>
      <c r="AS5" t="s">
        <v>195</v>
      </c>
      <c r="AT5" t="s">
        <v>196</v>
      </c>
      <c r="AU5" t="s">
        <v>197</v>
      </c>
      <c r="AV5" t="s">
        <v>157</v>
      </c>
      <c r="AX5" s="1" t="s">
        <v>123</v>
      </c>
      <c r="CR5" s="1" t="s">
        <v>123</v>
      </c>
      <c r="DB5" s="1" t="s">
        <v>123</v>
      </c>
      <c r="DL5" s="1" t="s">
        <v>123</v>
      </c>
      <c r="EO5" s="1" t="s">
        <v>123</v>
      </c>
      <c r="FO5" s="1" t="s">
        <v>123</v>
      </c>
      <c r="FP5" t="s">
        <v>132</v>
      </c>
      <c r="GW5" t="s">
        <v>198</v>
      </c>
      <c r="GX5" t="s">
        <v>199</v>
      </c>
      <c r="GY5" t="s">
        <v>200</v>
      </c>
      <c r="GZ5" t="s">
        <v>186</v>
      </c>
      <c r="HA5">
        <v>1991</v>
      </c>
      <c r="HB5" t="s">
        <v>141</v>
      </c>
      <c r="HD5" t="s">
        <v>201</v>
      </c>
    </row>
    <row r="6" spans="1:214" x14ac:dyDescent="0.45">
      <c r="A6">
        <v>4</v>
      </c>
      <c r="B6">
        <f>_xlfn.IFNA(VLOOKUP(Analiza[[#This Row],[Zakończono wypełnianie]],Zakończone[],2,0),"BRAK")</f>
        <v>4</v>
      </c>
      <c r="C6">
        <f t="shared" si="0"/>
        <v>44</v>
      </c>
      <c r="D6" t="s">
        <v>202</v>
      </c>
      <c r="E6" t="s">
        <v>118</v>
      </c>
      <c r="J6" t="s">
        <v>119</v>
      </c>
      <c r="K6" t="s">
        <v>203</v>
      </c>
      <c r="L6" t="s">
        <v>204</v>
      </c>
      <c r="M6">
        <v>3161</v>
      </c>
      <c r="N6">
        <v>0</v>
      </c>
      <c r="O6" t="s">
        <v>122</v>
      </c>
      <c r="P6" s="1" t="s">
        <v>123</v>
      </c>
      <c r="AF6" s="1" t="s">
        <v>124</v>
      </c>
      <c r="AG6" t="s">
        <v>234</v>
      </c>
      <c r="AH6">
        <v>1986</v>
      </c>
      <c r="AI6" t="s">
        <v>148</v>
      </c>
      <c r="AJ6" t="s">
        <v>207</v>
      </c>
      <c r="AK6" t="s">
        <v>150</v>
      </c>
      <c r="AL6" t="s">
        <v>150</v>
      </c>
      <c r="AM6" t="s">
        <v>162</v>
      </c>
      <c r="AN6" t="s">
        <v>162</v>
      </c>
      <c r="AO6" t="s">
        <v>162</v>
      </c>
      <c r="AP6" t="s">
        <v>208</v>
      </c>
      <c r="AQ6" t="s">
        <v>209</v>
      </c>
      <c r="AR6" t="s">
        <v>209</v>
      </c>
      <c r="AS6" t="s">
        <v>210</v>
      </c>
      <c r="AT6" t="s">
        <v>211</v>
      </c>
      <c r="AU6" t="s">
        <v>212</v>
      </c>
      <c r="AV6" t="s">
        <v>157</v>
      </c>
      <c r="AW6" t="s">
        <v>213</v>
      </c>
      <c r="AX6" s="1" t="s">
        <v>123</v>
      </c>
      <c r="CR6" s="1" t="s">
        <v>123</v>
      </c>
      <c r="DB6" s="1" t="s">
        <v>214</v>
      </c>
      <c r="DC6" t="s">
        <v>205</v>
      </c>
      <c r="DD6" t="s">
        <v>215</v>
      </c>
      <c r="DE6" t="s">
        <v>150</v>
      </c>
      <c r="DF6" t="s">
        <v>169</v>
      </c>
      <c r="DG6" t="s">
        <v>169</v>
      </c>
      <c r="DH6" t="s">
        <v>150</v>
      </c>
      <c r="DI6" t="s">
        <v>151</v>
      </c>
      <c r="DJ6" t="s">
        <v>151</v>
      </c>
      <c r="DK6" t="s">
        <v>216</v>
      </c>
      <c r="DL6" s="1" t="s">
        <v>123</v>
      </c>
      <c r="EO6" s="1" t="s">
        <v>123</v>
      </c>
      <c r="EP6" t="s">
        <v>178</v>
      </c>
      <c r="EQ6" t="s">
        <v>132</v>
      </c>
      <c r="FO6" s="1" t="s">
        <v>123</v>
      </c>
      <c r="FP6" t="s">
        <v>132</v>
      </c>
      <c r="GW6" t="s">
        <v>217</v>
      </c>
      <c r="GX6" t="s">
        <v>218</v>
      </c>
      <c r="GY6" t="s">
        <v>219</v>
      </c>
      <c r="GZ6" t="s">
        <v>140</v>
      </c>
      <c r="HA6">
        <v>1961</v>
      </c>
      <c r="HB6" t="s">
        <v>220</v>
      </c>
    </row>
    <row r="7" spans="1:214" x14ac:dyDescent="0.45">
      <c r="A7">
        <v>5</v>
      </c>
      <c r="B7">
        <f>_xlfn.IFNA(VLOOKUP(Analiza[[#This Row],[Zakończono wypełnianie]],Zakończone[],2,0),"BRAK")</f>
        <v>5</v>
      </c>
      <c r="C7">
        <f t="shared" si="0"/>
        <v>83</v>
      </c>
      <c r="D7" t="s">
        <v>202</v>
      </c>
      <c r="E7" t="s">
        <v>118</v>
      </c>
      <c r="J7" t="s">
        <v>119</v>
      </c>
      <c r="K7" t="s">
        <v>221</v>
      </c>
      <c r="L7" t="s">
        <v>222</v>
      </c>
      <c r="M7">
        <v>1659</v>
      </c>
      <c r="N7">
        <v>0</v>
      </c>
      <c r="O7" t="s">
        <v>122</v>
      </c>
      <c r="P7" s="1" t="s">
        <v>123</v>
      </c>
      <c r="AF7" s="1" t="s">
        <v>124</v>
      </c>
      <c r="AG7" t="s">
        <v>223</v>
      </c>
      <c r="AH7">
        <v>1999</v>
      </c>
      <c r="AI7" t="s">
        <v>148</v>
      </c>
      <c r="AJ7" t="s">
        <v>224</v>
      </c>
      <c r="AK7" t="s">
        <v>162</v>
      </c>
      <c r="AL7" t="s">
        <v>162</v>
      </c>
      <c r="AM7" t="s">
        <v>150</v>
      </c>
      <c r="AN7" t="s">
        <v>150</v>
      </c>
      <c r="AO7" t="s">
        <v>169</v>
      </c>
      <c r="AP7" t="s">
        <v>225</v>
      </c>
      <c r="AQ7" t="s">
        <v>153</v>
      </c>
      <c r="AR7" t="s">
        <v>226</v>
      </c>
      <c r="AS7" t="s">
        <v>227</v>
      </c>
      <c r="AT7" t="s">
        <v>228</v>
      </c>
      <c r="AU7" t="s">
        <v>229</v>
      </c>
      <c r="AV7" t="s">
        <v>230</v>
      </c>
      <c r="AX7" s="1" t="s">
        <v>159</v>
      </c>
      <c r="AY7">
        <v>3</v>
      </c>
      <c r="AZ7" t="s">
        <v>191</v>
      </c>
      <c r="BA7">
        <v>2011</v>
      </c>
      <c r="BB7" t="s">
        <v>126</v>
      </c>
      <c r="BC7" t="s">
        <v>2273</v>
      </c>
      <c r="BD7" t="s">
        <v>169</v>
      </c>
      <c r="BE7" t="s">
        <v>169</v>
      </c>
      <c r="BF7" t="s">
        <v>150</v>
      </c>
      <c r="BG7" t="s">
        <v>162</v>
      </c>
      <c r="BH7" t="s">
        <v>150</v>
      </c>
      <c r="BI7">
        <v>1</v>
      </c>
      <c r="BJ7" t="s">
        <v>232</v>
      </c>
      <c r="BK7" t="s">
        <v>157</v>
      </c>
      <c r="BM7" t="s">
        <v>233</v>
      </c>
      <c r="BN7" t="s">
        <v>166</v>
      </c>
      <c r="BO7" t="s">
        <v>234</v>
      </c>
      <c r="BP7">
        <v>2011</v>
      </c>
      <c r="BQ7" t="s">
        <v>148</v>
      </c>
      <c r="BR7" t="s">
        <v>235</v>
      </c>
      <c r="BS7" t="s">
        <v>151</v>
      </c>
      <c r="BT7" t="s">
        <v>128</v>
      </c>
      <c r="BU7" t="s">
        <v>236</v>
      </c>
      <c r="BV7" t="s">
        <v>128</v>
      </c>
      <c r="BW7" t="s">
        <v>162</v>
      </c>
      <c r="BX7" t="s">
        <v>237</v>
      </c>
      <c r="BZ7" t="s">
        <v>172</v>
      </c>
      <c r="CB7" t="s">
        <v>233</v>
      </c>
      <c r="CC7" t="s">
        <v>238</v>
      </c>
      <c r="CD7" t="s">
        <v>223</v>
      </c>
      <c r="CE7">
        <v>2016</v>
      </c>
      <c r="CF7" t="s">
        <v>148</v>
      </c>
      <c r="CG7" t="s">
        <v>239</v>
      </c>
      <c r="CH7" t="s">
        <v>169</v>
      </c>
      <c r="CI7" t="s">
        <v>169</v>
      </c>
      <c r="CJ7" t="s">
        <v>169</v>
      </c>
      <c r="CK7" t="s">
        <v>150</v>
      </c>
      <c r="CL7" t="s">
        <v>150</v>
      </c>
      <c r="CM7">
        <v>1</v>
      </c>
      <c r="CN7" t="s">
        <v>240</v>
      </c>
      <c r="CO7" t="s">
        <v>157</v>
      </c>
      <c r="CQ7" t="s">
        <v>233</v>
      </c>
      <c r="CR7" s="1" t="s">
        <v>123</v>
      </c>
      <c r="DB7" s="1" t="s">
        <v>214</v>
      </c>
      <c r="DC7" t="s">
        <v>234</v>
      </c>
      <c r="DD7" t="s">
        <v>241</v>
      </c>
      <c r="DE7" t="s">
        <v>162</v>
      </c>
      <c r="DF7" t="s">
        <v>169</v>
      </c>
      <c r="DG7" t="s">
        <v>169</v>
      </c>
      <c r="DH7" t="s">
        <v>151</v>
      </c>
      <c r="DI7" t="s">
        <v>151</v>
      </c>
      <c r="DJ7" t="s">
        <v>151</v>
      </c>
      <c r="DK7" t="s">
        <v>242</v>
      </c>
      <c r="DL7" s="1" t="s">
        <v>123</v>
      </c>
      <c r="EO7" s="1" t="s">
        <v>123</v>
      </c>
      <c r="FO7" s="1" t="s">
        <v>123</v>
      </c>
      <c r="FP7" t="s">
        <v>132</v>
      </c>
      <c r="GW7" t="s">
        <v>243</v>
      </c>
      <c r="GX7" t="s">
        <v>244</v>
      </c>
      <c r="GY7" t="s">
        <v>245</v>
      </c>
      <c r="GZ7" t="s">
        <v>186</v>
      </c>
      <c r="HA7">
        <v>1961</v>
      </c>
      <c r="HB7" t="s">
        <v>246</v>
      </c>
      <c r="HD7" t="s">
        <v>247</v>
      </c>
    </row>
    <row r="8" spans="1:214" x14ac:dyDescent="0.45">
      <c r="A8">
        <v>6</v>
      </c>
      <c r="B8">
        <f>_xlfn.IFNA(VLOOKUP(Analiza[[#This Row],[Zakończono wypełnianie]],Zakończone[],2,0),"BRAK")</f>
        <v>6</v>
      </c>
      <c r="C8">
        <f t="shared" si="0"/>
        <v>32</v>
      </c>
      <c r="D8" t="s">
        <v>248</v>
      </c>
      <c r="E8" t="s">
        <v>118</v>
      </c>
      <c r="J8" t="s">
        <v>119</v>
      </c>
      <c r="K8" t="s">
        <v>249</v>
      </c>
      <c r="L8" t="s">
        <v>250</v>
      </c>
      <c r="M8">
        <v>902</v>
      </c>
      <c r="N8">
        <v>0</v>
      </c>
      <c r="O8" t="s">
        <v>122</v>
      </c>
      <c r="P8" s="1" t="s">
        <v>123</v>
      </c>
      <c r="AF8" s="1" t="s">
        <v>124</v>
      </c>
      <c r="AG8" t="s">
        <v>191</v>
      </c>
      <c r="AH8">
        <v>2013</v>
      </c>
      <c r="AI8" t="s">
        <v>126</v>
      </c>
      <c r="AJ8" t="s">
        <v>251</v>
      </c>
      <c r="AK8" t="s">
        <v>162</v>
      </c>
      <c r="AL8" t="s">
        <v>162</v>
      </c>
      <c r="AM8" t="s">
        <v>151</v>
      </c>
      <c r="AN8" t="s">
        <v>132</v>
      </c>
      <c r="AO8" t="s">
        <v>132</v>
      </c>
      <c r="AP8" t="s">
        <v>252</v>
      </c>
      <c r="AQ8" t="s">
        <v>132</v>
      </c>
      <c r="AR8" t="s">
        <v>132</v>
      </c>
      <c r="AS8" t="s">
        <v>253</v>
      </c>
      <c r="AT8" t="s">
        <v>254</v>
      </c>
      <c r="AU8" t="s">
        <v>255</v>
      </c>
      <c r="AV8" t="s">
        <v>157</v>
      </c>
      <c r="AX8" s="1" t="s">
        <v>123</v>
      </c>
      <c r="CR8" s="1" t="s">
        <v>123</v>
      </c>
      <c r="DB8" s="1" t="s">
        <v>123</v>
      </c>
      <c r="DL8" s="1" t="s">
        <v>123</v>
      </c>
      <c r="EO8" s="1" t="s">
        <v>123</v>
      </c>
      <c r="FO8" s="1" t="s">
        <v>123</v>
      </c>
      <c r="FP8" t="s">
        <v>132</v>
      </c>
      <c r="GW8" t="s">
        <v>256</v>
      </c>
      <c r="GX8" t="s">
        <v>257</v>
      </c>
      <c r="GY8" t="s">
        <v>258</v>
      </c>
      <c r="GZ8" t="s">
        <v>140</v>
      </c>
      <c r="HA8">
        <v>1988</v>
      </c>
      <c r="HB8" t="s">
        <v>141</v>
      </c>
    </row>
    <row r="9" spans="1:214" x14ac:dyDescent="0.45">
      <c r="A9">
        <v>7</v>
      </c>
      <c r="B9">
        <f>_xlfn.IFNA(VLOOKUP(Analiza[[#This Row],[Zakończono wypełnianie]],Zakończone[],2,0),"BRAK")</f>
        <v>7</v>
      </c>
      <c r="C9">
        <f t="shared" si="0"/>
        <v>37</v>
      </c>
      <c r="D9" t="s">
        <v>259</v>
      </c>
      <c r="E9" t="s">
        <v>118</v>
      </c>
      <c r="F9" t="s">
        <v>260</v>
      </c>
      <c r="J9" t="s">
        <v>119</v>
      </c>
      <c r="K9" t="s">
        <v>261</v>
      </c>
      <c r="L9" t="s">
        <v>262</v>
      </c>
      <c r="M9">
        <v>422</v>
      </c>
      <c r="N9">
        <v>0</v>
      </c>
      <c r="O9" t="s">
        <v>122</v>
      </c>
      <c r="P9" s="1" t="s">
        <v>123</v>
      </c>
      <c r="AF9" s="1" t="s">
        <v>124</v>
      </c>
      <c r="AG9" t="s">
        <v>191</v>
      </c>
      <c r="AH9">
        <v>2013</v>
      </c>
      <c r="AI9" t="s">
        <v>126</v>
      </c>
      <c r="AJ9" t="s">
        <v>263</v>
      </c>
      <c r="AK9" t="s">
        <v>169</v>
      </c>
      <c r="AL9" t="s">
        <v>150</v>
      </c>
      <c r="AM9" t="s">
        <v>169</v>
      </c>
      <c r="AN9" t="s">
        <v>169</v>
      </c>
      <c r="AO9" t="s">
        <v>169</v>
      </c>
      <c r="AP9">
        <v>4</v>
      </c>
      <c r="AQ9" t="s">
        <v>153</v>
      </c>
      <c r="AR9" t="s">
        <v>153</v>
      </c>
      <c r="AS9" t="s">
        <v>264</v>
      </c>
      <c r="AT9" t="s">
        <v>265</v>
      </c>
      <c r="AU9" t="s">
        <v>266</v>
      </c>
      <c r="AV9" t="s">
        <v>157</v>
      </c>
      <c r="AX9" s="1" t="s">
        <v>123</v>
      </c>
      <c r="CR9" s="1" t="s">
        <v>123</v>
      </c>
      <c r="DB9" s="1" t="s">
        <v>123</v>
      </c>
      <c r="DL9" s="1" t="s">
        <v>123</v>
      </c>
      <c r="EO9" s="1" t="s">
        <v>123</v>
      </c>
      <c r="EP9" t="s">
        <v>180</v>
      </c>
      <c r="EQ9" t="s">
        <v>132</v>
      </c>
      <c r="FO9" s="1" t="s">
        <v>123</v>
      </c>
      <c r="FP9" t="s">
        <v>132</v>
      </c>
      <c r="FR9" t="s">
        <v>132</v>
      </c>
      <c r="GW9" t="s">
        <v>267</v>
      </c>
      <c r="GX9" t="s">
        <v>267</v>
      </c>
      <c r="GY9" t="s">
        <v>267</v>
      </c>
      <c r="GZ9" t="s">
        <v>186</v>
      </c>
      <c r="HA9">
        <v>1988</v>
      </c>
      <c r="HB9" t="s">
        <v>220</v>
      </c>
      <c r="HD9" t="s">
        <v>268</v>
      </c>
      <c r="HE9" t="s">
        <v>268</v>
      </c>
    </row>
    <row r="10" spans="1:214" x14ac:dyDescent="0.45">
      <c r="A10">
        <v>8</v>
      </c>
      <c r="B10">
        <f>_xlfn.IFNA(VLOOKUP(Analiza[[#This Row],[Zakończono wypełnianie]],Zakończone[],2,0),"BRAK")</f>
        <v>8</v>
      </c>
      <c r="C10">
        <f t="shared" si="0"/>
        <v>58</v>
      </c>
      <c r="D10" t="s">
        <v>269</v>
      </c>
      <c r="E10" t="s">
        <v>118</v>
      </c>
      <c r="J10" t="s">
        <v>119</v>
      </c>
      <c r="K10" t="s">
        <v>270</v>
      </c>
      <c r="L10" t="s">
        <v>271</v>
      </c>
      <c r="M10">
        <v>768</v>
      </c>
      <c r="N10">
        <v>0</v>
      </c>
      <c r="O10" t="s">
        <v>122</v>
      </c>
      <c r="P10" s="1" t="s">
        <v>123</v>
      </c>
      <c r="AF10" s="1" t="s">
        <v>124</v>
      </c>
      <c r="AG10" t="s">
        <v>160</v>
      </c>
      <c r="AH10">
        <v>1973</v>
      </c>
      <c r="AI10" t="s">
        <v>148</v>
      </c>
      <c r="AJ10" t="s">
        <v>272</v>
      </c>
      <c r="AK10" t="s">
        <v>169</v>
      </c>
      <c r="AL10" t="s">
        <v>169</v>
      </c>
      <c r="AM10" t="s">
        <v>150</v>
      </c>
      <c r="AN10" t="s">
        <v>129</v>
      </c>
      <c r="AO10" t="s">
        <v>129</v>
      </c>
      <c r="AP10">
        <v>0</v>
      </c>
      <c r="AQ10" t="s">
        <v>152</v>
      </c>
      <c r="AR10" t="s">
        <v>152</v>
      </c>
      <c r="AS10" t="s">
        <v>273</v>
      </c>
      <c r="AT10" t="s">
        <v>274</v>
      </c>
      <c r="AU10" t="s">
        <v>275</v>
      </c>
      <c r="AV10" t="s">
        <v>172</v>
      </c>
      <c r="AX10" s="1" t="s">
        <v>159</v>
      </c>
      <c r="AY10">
        <v>3</v>
      </c>
      <c r="AZ10" t="s">
        <v>160</v>
      </c>
      <c r="BA10" t="s">
        <v>276</v>
      </c>
      <c r="BB10" t="s">
        <v>148</v>
      </c>
      <c r="BC10" t="s">
        <v>277</v>
      </c>
      <c r="BD10" t="s">
        <v>169</v>
      </c>
      <c r="BE10" t="s">
        <v>169</v>
      </c>
      <c r="BF10" t="s">
        <v>236</v>
      </c>
      <c r="BG10" t="s">
        <v>236</v>
      </c>
      <c r="BH10" t="s">
        <v>236</v>
      </c>
      <c r="BI10">
        <v>0</v>
      </c>
      <c r="BJ10" t="s">
        <v>278</v>
      </c>
      <c r="BK10" t="s">
        <v>172</v>
      </c>
      <c r="BN10" t="s">
        <v>173</v>
      </c>
      <c r="CR10" s="1" t="s">
        <v>123</v>
      </c>
      <c r="DB10" s="1" t="s">
        <v>214</v>
      </c>
      <c r="DC10" t="s">
        <v>862</v>
      </c>
      <c r="DD10" t="s">
        <v>280</v>
      </c>
      <c r="DE10" t="s">
        <v>150</v>
      </c>
      <c r="DF10" t="s">
        <v>150</v>
      </c>
      <c r="DG10" t="s">
        <v>150</v>
      </c>
      <c r="DH10" t="s">
        <v>150</v>
      </c>
      <c r="DI10" t="s">
        <v>150</v>
      </c>
      <c r="DJ10" t="s">
        <v>150</v>
      </c>
      <c r="DK10" t="s">
        <v>281</v>
      </c>
      <c r="DL10" s="1" t="s">
        <v>123</v>
      </c>
      <c r="EO10" s="1" t="s">
        <v>123</v>
      </c>
      <c r="EP10" t="s">
        <v>180</v>
      </c>
      <c r="EQ10" t="s">
        <v>132</v>
      </c>
      <c r="FO10" s="1" t="s">
        <v>123</v>
      </c>
      <c r="FP10" t="s">
        <v>132</v>
      </c>
      <c r="FR10" t="s">
        <v>132</v>
      </c>
      <c r="GW10" t="s">
        <v>282</v>
      </c>
      <c r="GX10" t="s">
        <v>283</v>
      </c>
      <c r="GY10" t="s">
        <v>284</v>
      </c>
      <c r="GZ10" t="s">
        <v>186</v>
      </c>
      <c r="HA10">
        <v>1950</v>
      </c>
      <c r="HB10" t="s">
        <v>141</v>
      </c>
    </row>
    <row r="11" spans="1:214" x14ac:dyDescent="0.45">
      <c r="A11">
        <v>10</v>
      </c>
      <c r="B11">
        <f>_xlfn.IFNA(VLOOKUP(Analiza[[#This Row],[Zakończono wypełnianie]],Zakończone[],2,0),"BRAK")</f>
        <v>9</v>
      </c>
      <c r="C11">
        <f t="shared" si="0"/>
        <v>33</v>
      </c>
      <c r="D11" t="s">
        <v>288</v>
      </c>
      <c r="E11" t="s">
        <v>118</v>
      </c>
      <c r="J11" t="s">
        <v>119</v>
      </c>
      <c r="K11" t="s">
        <v>289</v>
      </c>
      <c r="L11" t="s">
        <v>290</v>
      </c>
      <c r="M11">
        <v>4259</v>
      </c>
      <c r="N11">
        <v>0</v>
      </c>
      <c r="O11" t="s">
        <v>122</v>
      </c>
      <c r="P11" s="1" t="s">
        <v>123</v>
      </c>
      <c r="AF11" s="1" t="s">
        <v>124</v>
      </c>
      <c r="AG11" t="s">
        <v>191</v>
      </c>
      <c r="AH11">
        <v>2013</v>
      </c>
      <c r="AI11" t="s">
        <v>126</v>
      </c>
      <c r="AJ11" t="s">
        <v>291</v>
      </c>
      <c r="AK11" t="s">
        <v>150</v>
      </c>
      <c r="AL11" t="s">
        <v>150</v>
      </c>
      <c r="AM11" t="s">
        <v>169</v>
      </c>
      <c r="AN11" t="s">
        <v>151</v>
      </c>
      <c r="AO11" t="s">
        <v>162</v>
      </c>
      <c r="AP11">
        <v>1</v>
      </c>
      <c r="AQ11" t="s">
        <v>131</v>
      </c>
      <c r="AR11" t="s">
        <v>153</v>
      </c>
      <c r="AS11" t="s">
        <v>292</v>
      </c>
      <c r="AT11" t="s">
        <v>293</v>
      </c>
      <c r="AU11" t="s">
        <v>294</v>
      </c>
      <c r="AV11" t="s">
        <v>157</v>
      </c>
      <c r="AX11" s="1" t="s">
        <v>123</v>
      </c>
      <c r="CR11" s="1" t="s">
        <v>123</v>
      </c>
      <c r="DB11" s="1" t="s">
        <v>123</v>
      </c>
      <c r="DL11" s="1" t="s">
        <v>123</v>
      </c>
      <c r="EO11" s="1" t="s">
        <v>123</v>
      </c>
      <c r="FO11" s="1" t="s">
        <v>123</v>
      </c>
      <c r="FP11" t="s">
        <v>132</v>
      </c>
      <c r="FR11" t="s">
        <v>132</v>
      </c>
      <c r="GW11" t="s">
        <v>295</v>
      </c>
      <c r="GX11" t="s">
        <v>296</v>
      </c>
      <c r="GY11" t="s">
        <v>297</v>
      </c>
      <c r="GZ11" t="s">
        <v>186</v>
      </c>
      <c r="HA11">
        <v>1988</v>
      </c>
      <c r="HB11" t="s">
        <v>141</v>
      </c>
    </row>
    <row r="12" spans="1:214" x14ac:dyDescent="0.45">
      <c r="A12">
        <v>11</v>
      </c>
      <c r="B12">
        <f>_xlfn.IFNA(VLOOKUP(Analiza[[#This Row],[Zakończono wypełnianie]],Zakończone[],2,0),"BRAK")</f>
        <v>10</v>
      </c>
      <c r="C12">
        <f t="shared" si="0"/>
        <v>62</v>
      </c>
      <c r="D12" t="s">
        <v>298</v>
      </c>
      <c r="E12" t="s">
        <v>118</v>
      </c>
      <c r="J12" t="s">
        <v>119</v>
      </c>
      <c r="K12" t="s">
        <v>299</v>
      </c>
      <c r="L12" t="s">
        <v>300</v>
      </c>
      <c r="M12">
        <v>1404</v>
      </c>
      <c r="N12">
        <v>0</v>
      </c>
      <c r="O12" t="s">
        <v>122</v>
      </c>
      <c r="P12" s="1" t="s">
        <v>123</v>
      </c>
      <c r="AF12" s="1" t="s">
        <v>124</v>
      </c>
      <c r="AG12" t="s">
        <v>191</v>
      </c>
      <c r="AH12">
        <v>1986</v>
      </c>
      <c r="AI12" t="s">
        <v>126</v>
      </c>
      <c r="AJ12" t="s">
        <v>301</v>
      </c>
      <c r="AK12" t="s">
        <v>150</v>
      </c>
      <c r="AL12" t="s">
        <v>150</v>
      </c>
      <c r="AM12" t="s">
        <v>162</v>
      </c>
      <c r="AN12" t="s">
        <v>151</v>
      </c>
      <c r="AO12" t="s">
        <v>151</v>
      </c>
      <c r="AP12">
        <v>2</v>
      </c>
      <c r="AQ12" t="s">
        <v>302</v>
      </c>
      <c r="AR12" t="s">
        <v>153</v>
      </c>
      <c r="AS12" t="s">
        <v>303</v>
      </c>
      <c r="AT12" t="s">
        <v>304</v>
      </c>
      <c r="AU12" t="s">
        <v>305</v>
      </c>
      <c r="AV12" t="s">
        <v>157</v>
      </c>
      <c r="AX12" s="1" t="s">
        <v>159</v>
      </c>
      <c r="AY12">
        <v>1</v>
      </c>
      <c r="AZ12" t="s">
        <v>223</v>
      </c>
      <c r="BA12">
        <v>2011</v>
      </c>
      <c r="BB12" t="s">
        <v>148</v>
      </c>
      <c r="BC12" t="s">
        <v>127</v>
      </c>
      <c r="BD12" t="s">
        <v>150</v>
      </c>
      <c r="BE12" t="s">
        <v>150</v>
      </c>
      <c r="BF12" t="s">
        <v>169</v>
      </c>
      <c r="BG12" t="s">
        <v>169</v>
      </c>
      <c r="BH12" t="s">
        <v>169</v>
      </c>
      <c r="BI12">
        <v>1</v>
      </c>
      <c r="BJ12" t="s">
        <v>306</v>
      </c>
      <c r="BK12" t="s">
        <v>157</v>
      </c>
      <c r="BM12" t="s">
        <v>307</v>
      </c>
      <c r="BN12" t="s">
        <v>173</v>
      </c>
      <c r="CR12" s="1" t="s">
        <v>123</v>
      </c>
      <c r="DB12" s="1" t="s">
        <v>214</v>
      </c>
      <c r="DC12" t="s">
        <v>191</v>
      </c>
      <c r="DD12" t="s">
        <v>308</v>
      </c>
      <c r="DE12" t="s">
        <v>150</v>
      </c>
      <c r="DF12" t="s">
        <v>150</v>
      </c>
      <c r="DG12" t="s">
        <v>162</v>
      </c>
      <c r="DH12" t="s">
        <v>150</v>
      </c>
      <c r="DI12" t="s">
        <v>150</v>
      </c>
      <c r="DJ12" t="s">
        <v>150</v>
      </c>
      <c r="DK12" t="s">
        <v>309</v>
      </c>
      <c r="DL12" s="1" t="s">
        <v>123</v>
      </c>
      <c r="EO12" s="1" t="s">
        <v>123</v>
      </c>
      <c r="EP12" t="s">
        <v>180</v>
      </c>
      <c r="EQ12" t="s">
        <v>132</v>
      </c>
      <c r="FO12" s="1" t="s">
        <v>123</v>
      </c>
      <c r="FP12" t="s">
        <v>132</v>
      </c>
      <c r="FR12" t="s">
        <v>132</v>
      </c>
      <c r="GW12" t="s">
        <v>310</v>
      </c>
      <c r="GX12" t="s">
        <v>311</v>
      </c>
      <c r="GY12" t="s">
        <v>312</v>
      </c>
      <c r="GZ12" t="s">
        <v>186</v>
      </c>
      <c r="HA12">
        <v>1963</v>
      </c>
      <c r="HB12" t="s">
        <v>141</v>
      </c>
      <c r="HC12" t="s">
        <v>313</v>
      </c>
      <c r="HD12" t="s">
        <v>314</v>
      </c>
      <c r="HE12" t="s">
        <v>315</v>
      </c>
    </row>
    <row r="13" spans="1:214" x14ac:dyDescent="0.45">
      <c r="A13">
        <v>12</v>
      </c>
      <c r="B13">
        <f>_xlfn.IFNA(VLOOKUP(Analiza[[#This Row],[Zakończono wypełnianie]],Zakończone[],2,0),"BRAK")</f>
        <v>11</v>
      </c>
      <c r="C13">
        <f t="shared" si="0"/>
        <v>35</v>
      </c>
      <c r="D13" t="s">
        <v>316</v>
      </c>
      <c r="E13" t="s">
        <v>118</v>
      </c>
      <c r="J13" t="s">
        <v>119</v>
      </c>
      <c r="K13" t="s">
        <v>317</v>
      </c>
      <c r="L13" t="s">
        <v>318</v>
      </c>
      <c r="M13">
        <v>349</v>
      </c>
      <c r="N13">
        <v>0</v>
      </c>
      <c r="O13" t="s">
        <v>122</v>
      </c>
      <c r="P13" s="1" t="s">
        <v>123</v>
      </c>
      <c r="AF13" s="1" t="s">
        <v>124</v>
      </c>
      <c r="AG13" t="s">
        <v>191</v>
      </c>
      <c r="AH13">
        <v>2010</v>
      </c>
      <c r="AI13" t="s">
        <v>126</v>
      </c>
      <c r="AJ13" t="s">
        <v>319</v>
      </c>
      <c r="AK13" t="s">
        <v>236</v>
      </c>
      <c r="AL13" t="s">
        <v>128</v>
      </c>
      <c r="AM13" t="s">
        <v>162</v>
      </c>
      <c r="AN13" t="s">
        <v>162</v>
      </c>
      <c r="AO13" t="s">
        <v>162</v>
      </c>
      <c r="AP13">
        <v>6</v>
      </c>
      <c r="AQ13" t="s">
        <v>131</v>
      </c>
      <c r="AR13" t="s">
        <v>302</v>
      </c>
      <c r="AS13" t="s">
        <v>320</v>
      </c>
      <c r="AT13" t="s">
        <v>321</v>
      </c>
      <c r="AU13" t="s">
        <v>322</v>
      </c>
      <c r="AV13" t="s">
        <v>157</v>
      </c>
      <c r="AX13" s="1" t="s">
        <v>123</v>
      </c>
      <c r="CR13" s="1" t="s">
        <v>123</v>
      </c>
      <c r="DB13" s="1" t="s">
        <v>123</v>
      </c>
      <c r="DL13" s="1" t="s">
        <v>123</v>
      </c>
      <c r="EO13" s="1" t="s">
        <v>123</v>
      </c>
      <c r="EP13" t="s">
        <v>180</v>
      </c>
      <c r="EQ13" t="s">
        <v>132</v>
      </c>
      <c r="FO13" s="1" t="s">
        <v>123</v>
      </c>
      <c r="FP13" t="s">
        <v>132</v>
      </c>
      <c r="FR13" t="s">
        <v>132</v>
      </c>
      <c r="GW13" t="s">
        <v>323</v>
      </c>
      <c r="GX13" t="s">
        <v>324</v>
      </c>
      <c r="GY13" t="s">
        <v>325</v>
      </c>
      <c r="GZ13" t="s">
        <v>186</v>
      </c>
      <c r="HA13">
        <v>1985</v>
      </c>
      <c r="HB13" t="s">
        <v>141</v>
      </c>
    </row>
    <row r="14" spans="1:214" x14ac:dyDescent="0.45">
      <c r="A14">
        <v>13</v>
      </c>
      <c r="B14">
        <f>_xlfn.IFNA(VLOOKUP(Analiza[[#This Row],[Zakończono wypełnianie]],Zakończone[],2,0),"BRAK")</f>
        <v>12</v>
      </c>
      <c r="C14">
        <f t="shared" si="0"/>
        <v>35</v>
      </c>
      <c r="D14" t="s">
        <v>326</v>
      </c>
      <c r="E14" t="s">
        <v>118</v>
      </c>
      <c r="J14" t="s">
        <v>119</v>
      </c>
      <c r="K14" t="s">
        <v>327</v>
      </c>
      <c r="L14" t="s">
        <v>328</v>
      </c>
      <c r="M14">
        <v>1387173</v>
      </c>
      <c r="N14">
        <v>0</v>
      </c>
      <c r="O14" t="s">
        <v>122</v>
      </c>
      <c r="P14" s="1" t="s">
        <v>123</v>
      </c>
      <c r="AF14" s="1" t="s">
        <v>124</v>
      </c>
      <c r="AG14" t="s">
        <v>191</v>
      </c>
      <c r="AH14">
        <v>2011</v>
      </c>
      <c r="AI14" t="s">
        <v>126</v>
      </c>
      <c r="AJ14" t="s">
        <v>330</v>
      </c>
      <c r="AK14" t="s">
        <v>169</v>
      </c>
      <c r="AL14" t="s">
        <v>169</v>
      </c>
      <c r="AM14" t="s">
        <v>150</v>
      </c>
      <c r="AN14" t="s">
        <v>162</v>
      </c>
      <c r="AO14" t="s">
        <v>169</v>
      </c>
      <c r="AP14" t="s">
        <v>331</v>
      </c>
      <c r="AQ14" t="s">
        <v>302</v>
      </c>
      <c r="AR14" t="s">
        <v>226</v>
      </c>
      <c r="AS14" t="s">
        <v>332</v>
      </c>
      <c r="AT14" t="s">
        <v>333</v>
      </c>
      <c r="AU14" t="s">
        <v>334</v>
      </c>
      <c r="AV14" t="s">
        <v>157</v>
      </c>
      <c r="AW14" t="s">
        <v>335</v>
      </c>
      <c r="AX14" s="1" t="s">
        <v>123</v>
      </c>
      <c r="CR14" s="1" t="s">
        <v>123</v>
      </c>
      <c r="DB14" s="1" t="s">
        <v>123</v>
      </c>
      <c r="DL14" s="1" t="s">
        <v>123</v>
      </c>
      <c r="EO14" s="1" t="s">
        <v>123</v>
      </c>
      <c r="FO14" s="1" t="s">
        <v>123</v>
      </c>
      <c r="FP14" t="s">
        <v>132</v>
      </c>
      <c r="GW14" t="s">
        <v>336</v>
      </c>
      <c r="GX14" t="s">
        <v>337</v>
      </c>
      <c r="GY14" t="s">
        <v>338</v>
      </c>
      <c r="GZ14" t="s">
        <v>186</v>
      </c>
      <c r="HA14">
        <v>1987</v>
      </c>
      <c r="HB14" t="s">
        <v>246</v>
      </c>
      <c r="HD14" t="s">
        <v>339</v>
      </c>
      <c r="HE14" t="s">
        <v>340</v>
      </c>
    </row>
    <row r="15" spans="1:214" x14ac:dyDescent="0.45">
      <c r="A15">
        <v>16</v>
      </c>
      <c r="B15">
        <f>_xlfn.IFNA(VLOOKUP(Analiza[[#This Row],[Zakończono wypełnianie]],Zakończone[],2,0),"BRAK")</f>
        <v>15</v>
      </c>
      <c r="C15">
        <f t="shared" si="0"/>
        <v>34</v>
      </c>
      <c r="D15" t="s">
        <v>347</v>
      </c>
      <c r="E15" t="s">
        <v>118</v>
      </c>
      <c r="J15" t="s">
        <v>119</v>
      </c>
      <c r="K15" t="s">
        <v>348</v>
      </c>
      <c r="L15" t="s">
        <v>349</v>
      </c>
      <c r="M15">
        <v>781</v>
      </c>
      <c r="N15">
        <v>0</v>
      </c>
      <c r="O15" t="s">
        <v>122</v>
      </c>
      <c r="P15" s="1" t="s">
        <v>123</v>
      </c>
      <c r="AF15" s="1" t="s">
        <v>124</v>
      </c>
      <c r="AG15" t="s">
        <v>191</v>
      </c>
      <c r="AH15">
        <v>2010</v>
      </c>
      <c r="AI15" t="s">
        <v>126</v>
      </c>
      <c r="AJ15" t="s">
        <v>127</v>
      </c>
      <c r="AK15" t="s">
        <v>150</v>
      </c>
      <c r="AL15" t="s">
        <v>128</v>
      </c>
      <c r="AM15" t="s">
        <v>151</v>
      </c>
      <c r="AN15" t="s">
        <v>162</v>
      </c>
      <c r="AO15" t="s">
        <v>162</v>
      </c>
      <c r="AP15" t="s">
        <v>350</v>
      </c>
      <c r="AQ15" t="s">
        <v>302</v>
      </c>
      <c r="AR15" t="s">
        <v>302</v>
      </c>
      <c r="AS15" t="s">
        <v>351</v>
      </c>
      <c r="AT15" t="s">
        <v>352</v>
      </c>
      <c r="AU15" t="s">
        <v>353</v>
      </c>
      <c r="AV15" t="s">
        <v>157</v>
      </c>
      <c r="AX15" s="1" t="s">
        <v>123</v>
      </c>
      <c r="CR15" s="1" t="s">
        <v>123</v>
      </c>
      <c r="DB15" s="1" t="s">
        <v>123</v>
      </c>
      <c r="DL15" s="1" t="s">
        <v>123</v>
      </c>
      <c r="EO15" s="1" t="s">
        <v>123</v>
      </c>
      <c r="EQ15" t="s">
        <v>132</v>
      </c>
      <c r="FO15" s="1" t="s">
        <v>123</v>
      </c>
      <c r="FP15" t="s">
        <v>132</v>
      </c>
      <c r="GW15" t="s">
        <v>354</v>
      </c>
      <c r="GX15" t="s">
        <v>355</v>
      </c>
      <c r="GY15" t="s">
        <v>356</v>
      </c>
      <c r="GZ15" t="s">
        <v>140</v>
      </c>
      <c r="HA15">
        <v>1986</v>
      </c>
      <c r="HB15" t="s">
        <v>141</v>
      </c>
      <c r="HD15" t="s">
        <v>357</v>
      </c>
    </row>
    <row r="16" spans="1:214" x14ac:dyDescent="0.45">
      <c r="A16">
        <v>17</v>
      </c>
      <c r="B16">
        <f>_xlfn.IFNA(VLOOKUP(Analiza[[#This Row],[Zakończono wypełnianie]],Zakończone[],2,0),"BRAK")</f>
        <v>16</v>
      </c>
      <c r="C16">
        <f t="shared" si="0"/>
        <v>33</v>
      </c>
      <c r="D16" t="s">
        <v>358</v>
      </c>
      <c r="E16" t="s">
        <v>118</v>
      </c>
      <c r="F16" t="s">
        <v>359</v>
      </c>
      <c r="J16" t="s">
        <v>119</v>
      </c>
      <c r="K16" t="s">
        <v>360</v>
      </c>
      <c r="L16" t="s">
        <v>361</v>
      </c>
      <c r="M16">
        <v>1534</v>
      </c>
      <c r="N16">
        <v>0</v>
      </c>
      <c r="O16" t="s">
        <v>122</v>
      </c>
      <c r="P16" s="1" t="s">
        <v>123</v>
      </c>
      <c r="AF16" s="1" t="s">
        <v>124</v>
      </c>
      <c r="AG16" t="s">
        <v>223</v>
      </c>
      <c r="AH16">
        <v>2011</v>
      </c>
      <c r="AI16" t="s">
        <v>148</v>
      </c>
      <c r="AJ16" t="s">
        <v>362</v>
      </c>
      <c r="AK16" t="s">
        <v>151</v>
      </c>
      <c r="AL16" t="s">
        <v>236</v>
      </c>
      <c r="AM16" t="s">
        <v>129</v>
      </c>
      <c r="AN16" t="s">
        <v>129</v>
      </c>
      <c r="AO16" t="s">
        <v>129</v>
      </c>
      <c r="AP16">
        <v>4</v>
      </c>
      <c r="AQ16" t="s">
        <v>131</v>
      </c>
      <c r="AR16" t="s">
        <v>131</v>
      </c>
      <c r="AS16" t="s">
        <v>363</v>
      </c>
      <c r="AT16" t="s">
        <v>364</v>
      </c>
      <c r="AU16" t="s">
        <v>365</v>
      </c>
      <c r="AV16" t="s">
        <v>157</v>
      </c>
      <c r="AX16" s="1" t="s">
        <v>123</v>
      </c>
      <c r="CR16" s="1" t="s">
        <v>123</v>
      </c>
      <c r="DB16" s="1" t="s">
        <v>123</v>
      </c>
      <c r="DL16" s="1" t="s">
        <v>123</v>
      </c>
      <c r="EO16" s="1" t="s">
        <v>123</v>
      </c>
      <c r="FO16" s="1" t="s">
        <v>123</v>
      </c>
      <c r="FP16" t="s">
        <v>132</v>
      </c>
      <c r="GW16" t="s">
        <v>366</v>
      </c>
      <c r="GX16" t="s">
        <v>367</v>
      </c>
      <c r="GY16" t="s">
        <v>368</v>
      </c>
      <c r="GZ16" t="s">
        <v>140</v>
      </c>
      <c r="HA16">
        <v>1987</v>
      </c>
      <c r="HB16" t="s">
        <v>141</v>
      </c>
      <c r="HD16" t="s">
        <v>369</v>
      </c>
    </row>
    <row r="17" spans="1:213" x14ac:dyDescent="0.45">
      <c r="A17">
        <v>21</v>
      </c>
      <c r="B17">
        <f>_xlfn.IFNA(VLOOKUP(Analiza[[#This Row],[Zakończono wypełnianie]],Zakończone[],2,0),"BRAK")</f>
        <v>18</v>
      </c>
      <c r="C17">
        <f t="shared" si="0"/>
        <v>76</v>
      </c>
      <c r="D17" t="s">
        <v>378</v>
      </c>
      <c r="E17" t="s">
        <v>118</v>
      </c>
      <c r="J17" t="s">
        <v>119</v>
      </c>
      <c r="K17" t="s">
        <v>379</v>
      </c>
      <c r="L17" t="s">
        <v>380</v>
      </c>
      <c r="M17">
        <v>5438</v>
      </c>
      <c r="N17">
        <v>0</v>
      </c>
      <c r="O17" t="s">
        <v>122</v>
      </c>
      <c r="P17" s="1" t="s">
        <v>123</v>
      </c>
      <c r="AF17" s="1" t="s">
        <v>124</v>
      </c>
      <c r="AG17" t="s">
        <v>2268</v>
      </c>
      <c r="AH17">
        <v>1985</v>
      </c>
      <c r="AI17" t="s">
        <v>148</v>
      </c>
      <c r="AJ17" t="s">
        <v>382</v>
      </c>
      <c r="AK17" t="s">
        <v>169</v>
      </c>
      <c r="AL17" t="s">
        <v>169</v>
      </c>
      <c r="AM17" t="s">
        <v>128</v>
      </c>
      <c r="AN17" t="s">
        <v>236</v>
      </c>
      <c r="AO17" t="s">
        <v>236</v>
      </c>
      <c r="AP17" t="s">
        <v>383</v>
      </c>
      <c r="AQ17" t="s">
        <v>152</v>
      </c>
      <c r="AR17" t="s">
        <v>152</v>
      </c>
      <c r="AS17" t="s">
        <v>384</v>
      </c>
      <c r="AT17" t="s">
        <v>385</v>
      </c>
      <c r="AU17" t="s">
        <v>386</v>
      </c>
      <c r="AV17" t="s">
        <v>172</v>
      </c>
      <c r="AX17" s="1" t="s">
        <v>123</v>
      </c>
      <c r="CR17" s="1" t="s">
        <v>387</v>
      </c>
      <c r="CS17" t="s">
        <v>388</v>
      </c>
      <c r="CT17" t="s">
        <v>389</v>
      </c>
      <c r="CU17" t="s">
        <v>169</v>
      </c>
      <c r="CV17" t="s">
        <v>169</v>
      </c>
      <c r="CW17" t="s">
        <v>169</v>
      </c>
      <c r="CX17" t="s">
        <v>169</v>
      </c>
      <c r="CY17" t="s">
        <v>169</v>
      </c>
      <c r="CZ17" t="s">
        <v>169</v>
      </c>
      <c r="DA17" t="s">
        <v>390</v>
      </c>
      <c r="DB17" s="1" t="s">
        <v>214</v>
      </c>
      <c r="DC17" t="s">
        <v>388</v>
      </c>
      <c r="DD17" t="s">
        <v>2274</v>
      </c>
      <c r="DE17" t="s">
        <v>169</v>
      </c>
      <c r="DF17" t="s">
        <v>169</v>
      </c>
      <c r="DG17" t="s">
        <v>169</v>
      </c>
      <c r="DH17" t="s">
        <v>169</v>
      </c>
      <c r="DI17" t="s">
        <v>169</v>
      </c>
      <c r="DJ17" t="s">
        <v>169</v>
      </c>
      <c r="DK17" t="s">
        <v>393</v>
      </c>
      <c r="DL17" s="1" t="s">
        <v>174</v>
      </c>
      <c r="DM17" t="s">
        <v>394</v>
      </c>
      <c r="DQ17" t="s">
        <v>391</v>
      </c>
      <c r="DR17" t="s">
        <v>169</v>
      </c>
      <c r="DS17" t="s">
        <v>169</v>
      </c>
      <c r="DT17" t="s">
        <v>169</v>
      </c>
      <c r="DU17" t="s">
        <v>169</v>
      </c>
      <c r="DV17" t="s">
        <v>169</v>
      </c>
      <c r="DW17" t="s">
        <v>169</v>
      </c>
      <c r="DX17" t="s">
        <v>169</v>
      </c>
      <c r="DY17">
        <v>20</v>
      </c>
      <c r="DZ17">
        <v>20</v>
      </c>
      <c r="EA17">
        <v>0</v>
      </c>
      <c r="EB17">
        <v>15</v>
      </c>
      <c r="EC17">
        <v>30</v>
      </c>
      <c r="ED17">
        <v>0</v>
      </c>
      <c r="EE17">
        <v>15</v>
      </c>
      <c r="EG17">
        <v>30</v>
      </c>
      <c r="EH17">
        <v>20</v>
      </c>
      <c r="EI17">
        <v>0</v>
      </c>
      <c r="EJ17">
        <v>10</v>
      </c>
      <c r="EK17">
        <v>25</v>
      </c>
      <c r="EL17">
        <v>0</v>
      </c>
      <c r="EM17">
        <v>15</v>
      </c>
      <c r="EO17" s="1" t="s">
        <v>123</v>
      </c>
      <c r="EP17" t="s">
        <v>178</v>
      </c>
      <c r="EQ17" t="s">
        <v>132</v>
      </c>
      <c r="FO17" s="1" t="s">
        <v>123</v>
      </c>
      <c r="FP17" t="s">
        <v>132</v>
      </c>
      <c r="FR17" t="s">
        <v>132</v>
      </c>
      <c r="GW17" t="s">
        <v>395</v>
      </c>
      <c r="GX17" t="s">
        <v>396</v>
      </c>
      <c r="GY17" t="s">
        <v>397</v>
      </c>
      <c r="GZ17" t="s">
        <v>186</v>
      </c>
      <c r="HA17">
        <v>1960</v>
      </c>
      <c r="HB17" t="s">
        <v>398</v>
      </c>
    </row>
    <row r="18" spans="1:213" x14ac:dyDescent="0.45">
      <c r="A18">
        <v>22</v>
      </c>
      <c r="B18">
        <f>_xlfn.IFNA(VLOOKUP(Analiza[[#This Row],[Zakończono wypełnianie]],Zakończone[],2,0),"BRAK")</f>
        <v>19</v>
      </c>
      <c r="C18">
        <f t="shared" si="0"/>
        <v>36</v>
      </c>
      <c r="D18" t="s">
        <v>399</v>
      </c>
      <c r="E18" t="s">
        <v>118</v>
      </c>
      <c r="F18" t="s">
        <v>400</v>
      </c>
      <c r="J18" t="s">
        <v>119</v>
      </c>
      <c r="K18" t="s">
        <v>401</v>
      </c>
      <c r="L18" t="s">
        <v>402</v>
      </c>
      <c r="M18">
        <v>1075</v>
      </c>
      <c r="N18">
        <v>0</v>
      </c>
      <c r="O18" t="s">
        <v>122</v>
      </c>
      <c r="P18" s="1" t="s">
        <v>123</v>
      </c>
      <c r="AF18" s="1" t="s">
        <v>124</v>
      </c>
      <c r="AG18" t="s">
        <v>2272</v>
      </c>
      <c r="AH18">
        <v>2010</v>
      </c>
      <c r="AI18" t="s">
        <v>148</v>
      </c>
      <c r="AJ18" t="s">
        <v>404</v>
      </c>
      <c r="AK18" t="s">
        <v>151</v>
      </c>
      <c r="AL18" t="s">
        <v>150</v>
      </c>
      <c r="AM18" t="s">
        <v>162</v>
      </c>
      <c r="AN18" t="s">
        <v>150</v>
      </c>
      <c r="AO18" t="s">
        <v>150</v>
      </c>
      <c r="AP18" t="s">
        <v>405</v>
      </c>
      <c r="AQ18" t="s">
        <v>131</v>
      </c>
      <c r="AR18" t="s">
        <v>302</v>
      </c>
      <c r="AS18" t="s">
        <v>406</v>
      </c>
      <c r="AT18" t="s">
        <v>407</v>
      </c>
      <c r="AU18" t="s">
        <v>408</v>
      </c>
      <c r="AV18" t="s">
        <v>230</v>
      </c>
      <c r="AX18" s="1" t="s">
        <v>123</v>
      </c>
      <c r="CR18" s="1" t="s">
        <v>123</v>
      </c>
      <c r="DB18" s="1" t="s">
        <v>123</v>
      </c>
      <c r="DL18" s="1" t="s">
        <v>123</v>
      </c>
      <c r="EO18" s="1" t="s">
        <v>123</v>
      </c>
      <c r="EP18" t="s">
        <v>180</v>
      </c>
      <c r="EQ18" t="s">
        <v>132</v>
      </c>
      <c r="FO18" s="1" t="s">
        <v>123</v>
      </c>
      <c r="FP18" t="s">
        <v>132</v>
      </c>
      <c r="FR18" t="s">
        <v>132</v>
      </c>
      <c r="GW18" t="s">
        <v>409</v>
      </c>
      <c r="GX18" t="s">
        <v>410</v>
      </c>
      <c r="GY18" t="s">
        <v>411</v>
      </c>
      <c r="GZ18" t="s">
        <v>140</v>
      </c>
      <c r="HA18">
        <v>1985</v>
      </c>
      <c r="HB18" t="s">
        <v>398</v>
      </c>
      <c r="HD18" t="s">
        <v>412</v>
      </c>
    </row>
    <row r="19" spans="1:213" x14ac:dyDescent="0.45">
      <c r="A19">
        <v>25</v>
      </c>
      <c r="B19" t="str">
        <f>_xlfn.IFNA(VLOOKUP(Analiza[[#This Row],[Zakończono wypełnianie]],Zakończone[],2,0),"BRAK")</f>
        <v>BRAK</v>
      </c>
      <c r="C19">
        <f t="shared" si="0"/>
        <v>24</v>
      </c>
      <c r="D19" t="s">
        <v>417</v>
      </c>
      <c r="E19" t="s">
        <v>118</v>
      </c>
      <c r="F19" t="s">
        <v>400</v>
      </c>
      <c r="J19" t="s">
        <v>286</v>
      </c>
      <c r="K19" t="s">
        <v>418</v>
      </c>
      <c r="L19" t="s">
        <v>418</v>
      </c>
      <c r="M19">
        <v>0</v>
      </c>
      <c r="N19">
        <v>0</v>
      </c>
      <c r="O19" t="s">
        <v>122</v>
      </c>
      <c r="P19" s="1" t="s">
        <v>416</v>
      </c>
      <c r="Q19" t="s">
        <v>147</v>
      </c>
      <c r="R19" t="s">
        <v>148</v>
      </c>
      <c r="S19" t="s">
        <v>419</v>
      </c>
      <c r="T19" t="s">
        <v>150</v>
      </c>
      <c r="U19" t="s">
        <v>169</v>
      </c>
      <c r="V19" t="s">
        <v>169</v>
      </c>
      <c r="W19" t="s">
        <v>420</v>
      </c>
      <c r="X19" t="s">
        <v>153</v>
      </c>
      <c r="Y19" t="s">
        <v>302</v>
      </c>
      <c r="Z19" t="s">
        <v>421</v>
      </c>
      <c r="AA19" t="s">
        <v>422</v>
      </c>
      <c r="AB19" t="s">
        <v>423</v>
      </c>
      <c r="AC19" t="s">
        <v>172</v>
      </c>
      <c r="AE19">
        <v>4</v>
      </c>
      <c r="AF19" s="1" t="s">
        <v>123</v>
      </c>
      <c r="AX19" s="1" t="s">
        <v>123</v>
      </c>
      <c r="CR19" s="1" t="s">
        <v>123</v>
      </c>
      <c r="DB19" s="1" t="s">
        <v>123</v>
      </c>
      <c r="DL19" s="1" t="s">
        <v>123</v>
      </c>
      <c r="EO19" s="1" t="s">
        <v>177</v>
      </c>
      <c r="EP19" t="s">
        <v>180</v>
      </c>
      <c r="EQ19">
        <v>1</v>
      </c>
      <c r="FO19" s="1"/>
    </row>
    <row r="20" spans="1:213" x14ac:dyDescent="0.45">
      <c r="A20">
        <v>26</v>
      </c>
      <c r="B20">
        <f>_xlfn.IFNA(VLOOKUP(Analiza[[#This Row],[Zakończono wypełnianie]],Zakończone[],2,0),"BRAK")</f>
        <v>20</v>
      </c>
      <c r="C20">
        <f t="shared" si="0"/>
        <v>35</v>
      </c>
      <c r="D20" t="s">
        <v>425</v>
      </c>
      <c r="E20" t="s">
        <v>118</v>
      </c>
      <c r="J20" t="s">
        <v>119</v>
      </c>
      <c r="K20" t="s">
        <v>426</v>
      </c>
      <c r="L20" t="s">
        <v>427</v>
      </c>
      <c r="M20">
        <v>1039</v>
      </c>
      <c r="N20">
        <v>0</v>
      </c>
      <c r="O20" t="s">
        <v>122</v>
      </c>
      <c r="P20" s="1" t="s">
        <v>123</v>
      </c>
      <c r="AF20" s="1" t="s">
        <v>124</v>
      </c>
      <c r="AG20" t="s">
        <v>428</v>
      </c>
      <c r="AH20">
        <v>2011</v>
      </c>
      <c r="AI20" t="s">
        <v>148</v>
      </c>
      <c r="AJ20" t="s">
        <v>429</v>
      </c>
      <c r="AK20" t="s">
        <v>162</v>
      </c>
      <c r="AL20" t="s">
        <v>162</v>
      </c>
      <c r="AM20" t="s">
        <v>128</v>
      </c>
      <c r="AN20" t="s">
        <v>128</v>
      </c>
      <c r="AO20" t="s">
        <v>128</v>
      </c>
      <c r="AP20">
        <v>2</v>
      </c>
      <c r="AQ20" t="s">
        <v>131</v>
      </c>
      <c r="AR20" t="s">
        <v>302</v>
      </c>
      <c r="AS20" t="s">
        <v>430</v>
      </c>
      <c r="AT20" t="s">
        <v>431</v>
      </c>
      <c r="AU20" t="s">
        <v>432</v>
      </c>
      <c r="AV20" t="s">
        <v>157</v>
      </c>
      <c r="AX20" s="1" t="s">
        <v>123</v>
      </c>
      <c r="CR20" s="1" t="s">
        <v>123</v>
      </c>
      <c r="DB20" s="1" t="s">
        <v>123</v>
      </c>
      <c r="DL20" s="1" t="s">
        <v>123</v>
      </c>
      <c r="EO20" s="1" t="s">
        <v>123</v>
      </c>
      <c r="EP20" t="s">
        <v>180</v>
      </c>
      <c r="EQ20" t="s">
        <v>132</v>
      </c>
      <c r="FO20" s="1" t="s">
        <v>123</v>
      </c>
      <c r="FP20" t="s">
        <v>132</v>
      </c>
      <c r="FR20" t="s">
        <v>132</v>
      </c>
      <c r="GW20" t="s">
        <v>433</v>
      </c>
      <c r="GX20" t="s">
        <v>434</v>
      </c>
      <c r="GY20" t="s">
        <v>435</v>
      </c>
      <c r="GZ20" t="s">
        <v>140</v>
      </c>
      <c r="HA20">
        <v>1987</v>
      </c>
      <c r="HB20" t="s">
        <v>141</v>
      </c>
    </row>
    <row r="21" spans="1:213" x14ac:dyDescent="0.45">
      <c r="A21">
        <v>30</v>
      </c>
      <c r="B21">
        <f>_xlfn.IFNA(VLOOKUP(Analiza[[#This Row],[Zakończono wypełnianie]],Zakończone[],2,0),"BRAK")</f>
        <v>21</v>
      </c>
      <c r="C21">
        <f t="shared" si="0"/>
        <v>46</v>
      </c>
      <c r="D21" t="s">
        <v>442</v>
      </c>
      <c r="E21" t="s">
        <v>118</v>
      </c>
      <c r="J21" t="s">
        <v>119</v>
      </c>
      <c r="K21" t="s">
        <v>443</v>
      </c>
      <c r="L21" t="s">
        <v>444</v>
      </c>
      <c r="M21">
        <v>6812</v>
      </c>
      <c r="N21">
        <v>0</v>
      </c>
      <c r="O21" t="s">
        <v>122</v>
      </c>
      <c r="P21" s="1" t="s">
        <v>123</v>
      </c>
      <c r="AF21" s="1" t="s">
        <v>124</v>
      </c>
      <c r="AG21" t="s">
        <v>445</v>
      </c>
      <c r="AH21">
        <v>2019</v>
      </c>
      <c r="AI21" t="s">
        <v>148</v>
      </c>
      <c r="AJ21" t="s">
        <v>446</v>
      </c>
      <c r="AK21" t="s">
        <v>150</v>
      </c>
      <c r="AL21" t="s">
        <v>150</v>
      </c>
      <c r="AM21" t="s">
        <v>169</v>
      </c>
      <c r="AN21" t="s">
        <v>169</v>
      </c>
      <c r="AO21" t="s">
        <v>132</v>
      </c>
      <c r="AP21" t="s">
        <v>237</v>
      </c>
      <c r="AQ21" t="s">
        <v>226</v>
      </c>
      <c r="AR21" t="s">
        <v>132</v>
      </c>
      <c r="AS21" t="s">
        <v>447</v>
      </c>
      <c r="AT21" t="s">
        <v>448</v>
      </c>
      <c r="AU21" t="s">
        <v>449</v>
      </c>
      <c r="AV21" t="s">
        <v>157</v>
      </c>
      <c r="AX21" s="1" t="s">
        <v>123</v>
      </c>
      <c r="CR21" s="1" t="s">
        <v>387</v>
      </c>
      <c r="CS21" t="s">
        <v>445</v>
      </c>
      <c r="CT21" t="s">
        <v>450</v>
      </c>
      <c r="CU21" t="s">
        <v>169</v>
      </c>
      <c r="CV21" t="s">
        <v>169</v>
      </c>
      <c r="CW21" t="s">
        <v>169</v>
      </c>
      <c r="CX21" t="s">
        <v>150</v>
      </c>
      <c r="CY21" t="s">
        <v>150</v>
      </c>
      <c r="CZ21" t="s">
        <v>150</v>
      </c>
      <c r="DA21" t="s">
        <v>451</v>
      </c>
      <c r="DB21" s="1" t="s">
        <v>123</v>
      </c>
      <c r="DL21" s="1" t="s">
        <v>123</v>
      </c>
      <c r="EO21" s="1" t="s">
        <v>123</v>
      </c>
      <c r="EP21" t="s">
        <v>180</v>
      </c>
      <c r="EQ21" t="s">
        <v>132</v>
      </c>
      <c r="FO21" s="1" t="s">
        <v>123</v>
      </c>
      <c r="FP21" t="s">
        <v>132</v>
      </c>
      <c r="FR21" t="s">
        <v>132</v>
      </c>
      <c r="GW21" t="s">
        <v>452</v>
      </c>
      <c r="GX21" t="s">
        <v>453</v>
      </c>
      <c r="GY21" t="s">
        <v>454</v>
      </c>
      <c r="GZ21" t="s">
        <v>140</v>
      </c>
      <c r="HA21">
        <v>1994</v>
      </c>
      <c r="HB21" t="s">
        <v>220</v>
      </c>
      <c r="HD21" t="s">
        <v>455</v>
      </c>
      <c r="HE21" t="s">
        <v>456</v>
      </c>
    </row>
    <row r="22" spans="1:213" x14ac:dyDescent="0.45">
      <c r="A22">
        <v>32</v>
      </c>
      <c r="B22">
        <f>_xlfn.IFNA(VLOOKUP(Analiza[[#This Row],[Zakończono wypełnianie]],Zakończone[],2,0),"BRAK")</f>
        <v>22</v>
      </c>
      <c r="C22">
        <f t="shared" si="0"/>
        <v>36</v>
      </c>
      <c r="D22" t="s">
        <v>458</v>
      </c>
      <c r="E22" t="s">
        <v>118</v>
      </c>
      <c r="F22" t="s">
        <v>359</v>
      </c>
      <c r="J22" t="s">
        <v>119</v>
      </c>
      <c r="K22" t="s">
        <v>459</v>
      </c>
      <c r="L22" t="s">
        <v>460</v>
      </c>
      <c r="M22">
        <v>490</v>
      </c>
      <c r="N22">
        <v>0</v>
      </c>
      <c r="O22" t="s">
        <v>122</v>
      </c>
      <c r="P22" s="1" t="s">
        <v>416</v>
      </c>
      <c r="Q22" t="s">
        <v>445</v>
      </c>
      <c r="R22" t="s">
        <v>148</v>
      </c>
      <c r="S22" t="s">
        <v>461</v>
      </c>
      <c r="T22" t="s">
        <v>169</v>
      </c>
      <c r="U22" t="s">
        <v>169</v>
      </c>
      <c r="V22" t="s">
        <v>169</v>
      </c>
      <c r="W22" t="s">
        <v>462</v>
      </c>
      <c r="X22" t="s">
        <v>302</v>
      </c>
      <c r="Y22" t="s">
        <v>302</v>
      </c>
      <c r="Z22" t="s">
        <v>463</v>
      </c>
      <c r="AA22" t="s">
        <v>464</v>
      </c>
      <c r="AB22" t="s">
        <v>465</v>
      </c>
      <c r="AC22" t="s">
        <v>157</v>
      </c>
      <c r="AD22" t="s">
        <v>466</v>
      </c>
      <c r="AE22">
        <v>10</v>
      </c>
      <c r="AF22" s="1" t="s">
        <v>123</v>
      </c>
      <c r="AX22" s="1" t="s">
        <v>123</v>
      </c>
      <c r="CR22" s="1" t="s">
        <v>123</v>
      </c>
      <c r="DB22" s="1" t="s">
        <v>123</v>
      </c>
      <c r="DL22" s="1" t="s">
        <v>123</v>
      </c>
      <c r="EO22" s="1" t="s">
        <v>123</v>
      </c>
      <c r="EP22" t="s">
        <v>180</v>
      </c>
      <c r="EQ22" t="s">
        <v>132</v>
      </c>
      <c r="FO22" s="1" t="s">
        <v>123</v>
      </c>
      <c r="FP22" t="s">
        <v>132</v>
      </c>
      <c r="FR22" t="s">
        <v>132</v>
      </c>
      <c r="GW22" t="s">
        <v>468</v>
      </c>
      <c r="GX22" t="s">
        <v>469</v>
      </c>
      <c r="GY22" t="s">
        <v>142</v>
      </c>
      <c r="GZ22" t="s">
        <v>140</v>
      </c>
      <c r="HA22">
        <v>1996</v>
      </c>
      <c r="HB22" t="s">
        <v>141</v>
      </c>
      <c r="HD22" t="s">
        <v>470</v>
      </c>
      <c r="HE22" t="s">
        <v>471</v>
      </c>
    </row>
    <row r="23" spans="1:213" x14ac:dyDescent="0.45">
      <c r="A23">
        <v>33</v>
      </c>
      <c r="B23">
        <f>_xlfn.IFNA(VLOOKUP(Analiza[[#This Row],[Zakończono wypełnianie]],Zakończone[],2,0),"BRAK")</f>
        <v>23</v>
      </c>
      <c r="C23">
        <f t="shared" si="0"/>
        <v>29</v>
      </c>
      <c r="D23" t="s">
        <v>472</v>
      </c>
      <c r="E23" t="s">
        <v>118</v>
      </c>
      <c r="F23" t="s">
        <v>375</v>
      </c>
      <c r="J23" t="s">
        <v>119</v>
      </c>
      <c r="K23" t="s">
        <v>473</v>
      </c>
      <c r="L23" t="s">
        <v>474</v>
      </c>
      <c r="M23">
        <v>2507</v>
      </c>
      <c r="N23">
        <v>0</v>
      </c>
      <c r="O23" t="s">
        <v>122</v>
      </c>
      <c r="P23" s="1" t="s">
        <v>416</v>
      </c>
      <c r="Q23" t="s">
        <v>445</v>
      </c>
      <c r="R23" t="s">
        <v>148</v>
      </c>
      <c r="S23" t="s">
        <v>475</v>
      </c>
      <c r="T23" t="s">
        <v>169</v>
      </c>
      <c r="U23" t="s">
        <v>169</v>
      </c>
      <c r="V23" t="s">
        <v>151</v>
      </c>
      <c r="W23" t="s">
        <v>476</v>
      </c>
      <c r="X23" t="s">
        <v>302</v>
      </c>
      <c r="Y23" t="s">
        <v>302</v>
      </c>
      <c r="AA23" t="s">
        <v>477</v>
      </c>
      <c r="AB23" t="s">
        <v>478</v>
      </c>
      <c r="AC23" t="s">
        <v>157</v>
      </c>
      <c r="AE23">
        <v>10</v>
      </c>
      <c r="AF23" s="1" t="s">
        <v>123</v>
      </c>
      <c r="AX23" s="1" t="s">
        <v>123</v>
      </c>
      <c r="CR23" s="1" t="s">
        <v>123</v>
      </c>
      <c r="DB23" s="1" t="s">
        <v>123</v>
      </c>
      <c r="DL23" s="1" t="s">
        <v>123</v>
      </c>
      <c r="EO23" s="1" t="s">
        <v>123</v>
      </c>
      <c r="FO23" s="1" t="s">
        <v>123</v>
      </c>
      <c r="FP23" t="s">
        <v>132</v>
      </c>
      <c r="GW23" t="s">
        <v>480</v>
      </c>
      <c r="GX23" t="s">
        <v>481</v>
      </c>
      <c r="GY23" t="s">
        <v>482</v>
      </c>
      <c r="GZ23" t="s">
        <v>140</v>
      </c>
      <c r="HA23">
        <v>1996</v>
      </c>
      <c r="HB23" t="s">
        <v>483</v>
      </c>
    </row>
    <row r="24" spans="1:213" x14ac:dyDescent="0.45">
      <c r="A24">
        <v>34</v>
      </c>
      <c r="B24">
        <f>_xlfn.IFNA(VLOOKUP(Analiza[[#This Row],[Zakończono wypełnianie]],Zakończone[],2,0),"BRAK")</f>
        <v>24</v>
      </c>
      <c r="C24">
        <f t="shared" si="0"/>
        <v>36</v>
      </c>
      <c r="D24" t="s">
        <v>484</v>
      </c>
      <c r="E24" t="s">
        <v>118</v>
      </c>
      <c r="F24" t="s">
        <v>359</v>
      </c>
      <c r="J24" t="s">
        <v>119</v>
      </c>
      <c r="K24" t="s">
        <v>485</v>
      </c>
      <c r="L24" t="s">
        <v>486</v>
      </c>
      <c r="M24">
        <v>709</v>
      </c>
      <c r="N24">
        <v>0</v>
      </c>
      <c r="O24" t="s">
        <v>122</v>
      </c>
      <c r="P24" s="1" t="s">
        <v>123</v>
      </c>
      <c r="AF24" s="1" t="s">
        <v>124</v>
      </c>
      <c r="AG24" t="s">
        <v>445</v>
      </c>
      <c r="AH24">
        <v>2018</v>
      </c>
      <c r="AI24" t="s">
        <v>148</v>
      </c>
      <c r="AJ24" t="s">
        <v>487</v>
      </c>
      <c r="AK24" t="s">
        <v>162</v>
      </c>
      <c r="AL24" t="s">
        <v>162</v>
      </c>
      <c r="AM24" t="s">
        <v>151</v>
      </c>
      <c r="AN24" t="s">
        <v>129</v>
      </c>
      <c r="AO24" t="s">
        <v>151</v>
      </c>
      <c r="AP24">
        <v>2</v>
      </c>
      <c r="AQ24" t="s">
        <v>131</v>
      </c>
      <c r="AR24" t="s">
        <v>153</v>
      </c>
      <c r="AS24" t="s">
        <v>488</v>
      </c>
      <c r="AT24" t="s">
        <v>489</v>
      </c>
      <c r="AU24" t="s">
        <v>490</v>
      </c>
      <c r="AV24" t="s">
        <v>157</v>
      </c>
      <c r="AX24" s="1" t="s">
        <v>123</v>
      </c>
      <c r="CR24" s="1" t="s">
        <v>123</v>
      </c>
      <c r="DB24" s="1" t="s">
        <v>123</v>
      </c>
      <c r="DL24" s="1" t="s">
        <v>123</v>
      </c>
      <c r="EO24" s="1" t="s">
        <v>123</v>
      </c>
      <c r="EP24" t="s">
        <v>180</v>
      </c>
      <c r="FO24" s="1" t="s">
        <v>123</v>
      </c>
      <c r="FP24" t="s">
        <v>132</v>
      </c>
      <c r="FR24" t="s">
        <v>132</v>
      </c>
      <c r="GW24" t="s">
        <v>491</v>
      </c>
      <c r="GX24" t="s">
        <v>492</v>
      </c>
      <c r="GY24" t="s">
        <v>493</v>
      </c>
      <c r="GZ24" t="s">
        <v>186</v>
      </c>
      <c r="HA24">
        <v>1994</v>
      </c>
      <c r="HB24" t="s">
        <v>483</v>
      </c>
      <c r="HD24" t="s">
        <v>494</v>
      </c>
      <c r="HE24" t="s">
        <v>495</v>
      </c>
    </row>
    <row r="25" spans="1:213" x14ac:dyDescent="0.45">
      <c r="A25">
        <v>37</v>
      </c>
      <c r="B25">
        <f>_xlfn.IFNA(VLOOKUP(Analiza[[#This Row],[Zakończono wypełnianie]],Zakończone[],2,0),"BRAK")</f>
        <v>25</v>
      </c>
      <c r="C25">
        <f t="shared" si="0"/>
        <v>37</v>
      </c>
      <c r="D25" t="s">
        <v>500</v>
      </c>
      <c r="E25" t="s">
        <v>118</v>
      </c>
      <c r="F25" t="s">
        <v>375</v>
      </c>
      <c r="J25" t="s">
        <v>119</v>
      </c>
      <c r="K25" t="s">
        <v>499</v>
      </c>
      <c r="L25" t="s">
        <v>501</v>
      </c>
      <c r="M25">
        <v>394</v>
      </c>
      <c r="N25">
        <v>0</v>
      </c>
      <c r="O25" t="s">
        <v>122</v>
      </c>
      <c r="P25" s="1" t="s">
        <v>123</v>
      </c>
      <c r="AF25" s="1" t="s">
        <v>124</v>
      </c>
      <c r="AG25" t="s">
        <v>445</v>
      </c>
      <c r="AH25">
        <v>2019</v>
      </c>
      <c r="AI25" t="s">
        <v>148</v>
      </c>
      <c r="AJ25" t="s">
        <v>502</v>
      </c>
      <c r="AK25" t="s">
        <v>162</v>
      </c>
      <c r="AL25" t="s">
        <v>162</v>
      </c>
      <c r="AM25" t="s">
        <v>162</v>
      </c>
      <c r="AN25" t="s">
        <v>150</v>
      </c>
      <c r="AO25" t="s">
        <v>132</v>
      </c>
      <c r="AP25">
        <v>0</v>
      </c>
      <c r="AQ25" t="s">
        <v>153</v>
      </c>
      <c r="AR25" t="s">
        <v>132</v>
      </c>
      <c r="AS25" t="s">
        <v>503</v>
      </c>
      <c r="AT25" t="s">
        <v>504</v>
      </c>
      <c r="AU25" t="s">
        <v>505</v>
      </c>
      <c r="AV25" t="s">
        <v>157</v>
      </c>
      <c r="AX25" s="1" t="s">
        <v>123</v>
      </c>
      <c r="CR25" s="1" t="s">
        <v>123</v>
      </c>
      <c r="DB25" s="1" t="s">
        <v>123</v>
      </c>
      <c r="DL25" s="1" t="s">
        <v>123</v>
      </c>
      <c r="EO25" s="1" t="s">
        <v>123</v>
      </c>
      <c r="EP25" t="s">
        <v>180</v>
      </c>
      <c r="EQ25" t="s">
        <v>132</v>
      </c>
      <c r="FO25" s="1" t="s">
        <v>123</v>
      </c>
      <c r="FP25" t="s">
        <v>132</v>
      </c>
      <c r="FR25" t="s">
        <v>132</v>
      </c>
      <c r="GW25" t="s">
        <v>506</v>
      </c>
      <c r="GX25" t="s">
        <v>507</v>
      </c>
      <c r="GY25" t="s">
        <v>508</v>
      </c>
      <c r="GZ25" t="s">
        <v>140</v>
      </c>
      <c r="HA25">
        <v>1994</v>
      </c>
      <c r="HB25" t="s">
        <v>220</v>
      </c>
      <c r="HD25" t="s">
        <v>509</v>
      </c>
      <c r="HE25" t="s">
        <v>510</v>
      </c>
    </row>
    <row r="26" spans="1:213" x14ac:dyDescent="0.45">
      <c r="A26">
        <v>38</v>
      </c>
      <c r="B26">
        <f>_xlfn.IFNA(VLOOKUP(Analiza[[#This Row],[Zakończono wypełnianie]],Zakończone[],2,0),"BRAK")</f>
        <v>26</v>
      </c>
      <c r="C26">
        <f t="shared" si="0"/>
        <v>44</v>
      </c>
      <c r="D26" t="s">
        <v>511</v>
      </c>
      <c r="E26" t="s">
        <v>118</v>
      </c>
      <c r="F26" t="s">
        <v>375</v>
      </c>
      <c r="J26" t="s">
        <v>119</v>
      </c>
      <c r="K26" t="s">
        <v>512</v>
      </c>
      <c r="L26" t="s">
        <v>513</v>
      </c>
      <c r="M26">
        <v>424</v>
      </c>
      <c r="N26">
        <v>0</v>
      </c>
      <c r="O26" t="s">
        <v>122</v>
      </c>
      <c r="P26" s="1" t="s">
        <v>123</v>
      </c>
      <c r="AF26" s="1" t="s">
        <v>124</v>
      </c>
      <c r="AG26" t="s">
        <v>445</v>
      </c>
      <c r="AH26">
        <v>2018</v>
      </c>
      <c r="AI26" t="s">
        <v>148</v>
      </c>
      <c r="AJ26" t="s">
        <v>514</v>
      </c>
      <c r="AK26" t="s">
        <v>150</v>
      </c>
      <c r="AL26" t="s">
        <v>169</v>
      </c>
      <c r="AM26" t="s">
        <v>169</v>
      </c>
      <c r="AN26" t="s">
        <v>150</v>
      </c>
      <c r="AO26" t="s">
        <v>132</v>
      </c>
      <c r="AP26" t="s">
        <v>515</v>
      </c>
      <c r="AQ26" t="s">
        <v>302</v>
      </c>
      <c r="AR26" t="s">
        <v>132</v>
      </c>
      <c r="AS26" t="s">
        <v>516</v>
      </c>
      <c r="AT26" t="s">
        <v>517</v>
      </c>
      <c r="AU26" t="s">
        <v>142</v>
      </c>
      <c r="AV26" t="s">
        <v>157</v>
      </c>
      <c r="AX26" s="1" t="s">
        <v>123</v>
      </c>
      <c r="CR26" s="1" t="s">
        <v>123</v>
      </c>
      <c r="DB26" s="1" t="s">
        <v>214</v>
      </c>
      <c r="DC26" t="s">
        <v>445</v>
      </c>
      <c r="DD26" t="s">
        <v>518</v>
      </c>
      <c r="DE26" t="s">
        <v>169</v>
      </c>
      <c r="DF26" t="s">
        <v>150</v>
      </c>
      <c r="DG26" t="s">
        <v>162</v>
      </c>
      <c r="DH26" t="s">
        <v>150</v>
      </c>
      <c r="DI26" t="s">
        <v>150</v>
      </c>
      <c r="DJ26" t="s">
        <v>151</v>
      </c>
      <c r="DL26" s="1" t="s">
        <v>123</v>
      </c>
      <c r="EO26" s="1" t="s">
        <v>123</v>
      </c>
      <c r="EP26" t="s">
        <v>180</v>
      </c>
      <c r="EQ26" t="s">
        <v>132</v>
      </c>
      <c r="FO26" s="1" t="s">
        <v>123</v>
      </c>
      <c r="FP26" t="s">
        <v>132</v>
      </c>
      <c r="FR26" t="s">
        <v>132</v>
      </c>
      <c r="GW26" t="s">
        <v>519</v>
      </c>
      <c r="GX26" t="s">
        <v>520</v>
      </c>
      <c r="GY26" t="s">
        <v>142</v>
      </c>
      <c r="GZ26" t="s">
        <v>186</v>
      </c>
      <c r="HA26">
        <v>1994</v>
      </c>
      <c r="HB26" t="s">
        <v>141</v>
      </c>
      <c r="HE26" t="s">
        <v>521</v>
      </c>
    </row>
    <row r="27" spans="1:213" x14ac:dyDescent="0.45">
      <c r="A27">
        <v>41</v>
      </c>
      <c r="B27">
        <f>_xlfn.IFNA(VLOOKUP(Analiza[[#This Row],[Zakończono wypełnianie]],Zakończone[],2,0),"BRAK")</f>
        <v>27</v>
      </c>
      <c r="C27">
        <f t="shared" si="0"/>
        <v>31</v>
      </c>
      <c r="D27" t="s">
        <v>527</v>
      </c>
      <c r="E27" t="s">
        <v>118</v>
      </c>
      <c r="J27" t="s">
        <v>119</v>
      </c>
      <c r="K27" t="s">
        <v>528</v>
      </c>
      <c r="L27" t="s">
        <v>529</v>
      </c>
      <c r="M27">
        <v>283</v>
      </c>
      <c r="N27">
        <v>0</v>
      </c>
      <c r="O27" t="s">
        <v>122</v>
      </c>
      <c r="P27" s="1" t="s">
        <v>416</v>
      </c>
      <c r="Q27" t="s">
        <v>445</v>
      </c>
      <c r="R27" t="s">
        <v>148</v>
      </c>
      <c r="S27" t="s">
        <v>461</v>
      </c>
      <c r="T27" t="s">
        <v>169</v>
      </c>
      <c r="U27" t="s">
        <v>162</v>
      </c>
      <c r="V27" t="s">
        <v>162</v>
      </c>
      <c r="W27" t="s">
        <v>530</v>
      </c>
      <c r="X27" t="s">
        <v>131</v>
      </c>
      <c r="Y27" t="s">
        <v>153</v>
      </c>
      <c r="AA27" t="s">
        <v>531</v>
      </c>
      <c r="AB27" t="s">
        <v>532</v>
      </c>
      <c r="AC27" t="s">
        <v>172</v>
      </c>
      <c r="AE27">
        <v>6</v>
      </c>
      <c r="AF27" s="1" t="s">
        <v>123</v>
      </c>
      <c r="AX27" s="1" t="s">
        <v>123</v>
      </c>
      <c r="CR27" s="1" t="s">
        <v>123</v>
      </c>
      <c r="DB27" s="1" t="s">
        <v>123</v>
      </c>
      <c r="DL27" s="1" t="s">
        <v>123</v>
      </c>
      <c r="EO27" s="1" t="s">
        <v>123</v>
      </c>
      <c r="FO27" s="1" t="s">
        <v>123</v>
      </c>
      <c r="FP27" t="s">
        <v>132</v>
      </c>
      <c r="GW27" t="s">
        <v>534</v>
      </c>
      <c r="GX27" t="s">
        <v>535</v>
      </c>
      <c r="GY27" t="s">
        <v>532</v>
      </c>
      <c r="GZ27" t="s">
        <v>140</v>
      </c>
      <c r="HA27">
        <v>1996</v>
      </c>
      <c r="HB27" t="s">
        <v>483</v>
      </c>
      <c r="HD27" t="s">
        <v>536</v>
      </c>
      <c r="HE27" t="s">
        <v>537</v>
      </c>
    </row>
    <row r="28" spans="1:213" x14ac:dyDescent="0.45">
      <c r="A28">
        <v>43</v>
      </c>
      <c r="B28" t="str">
        <f>_xlfn.IFNA(VLOOKUP(Analiza[[#This Row],[Zakończono wypełnianie]],Zakończone[],2,0),"BRAK")</f>
        <v>BRAK</v>
      </c>
      <c r="C28">
        <f t="shared" si="0"/>
        <v>27</v>
      </c>
      <c r="D28" t="s">
        <v>540</v>
      </c>
      <c r="E28" t="s">
        <v>118</v>
      </c>
      <c r="F28" t="s">
        <v>375</v>
      </c>
      <c r="J28" t="s">
        <v>286</v>
      </c>
      <c r="K28" t="s">
        <v>541</v>
      </c>
      <c r="L28" t="s">
        <v>541</v>
      </c>
      <c r="M28">
        <v>0</v>
      </c>
      <c r="N28">
        <v>0</v>
      </c>
      <c r="O28" t="s">
        <v>122</v>
      </c>
      <c r="P28" s="1" t="s">
        <v>416</v>
      </c>
      <c r="Q28" t="s">
        <v>445</v>
      </c>
      <c r="R28" t="s">
        <v>148</v>
      </c>
      <c r="S28" t="s">
        <v>446</v>
      </c>
      <c r="T28" t="s">
        <v>162</v>
      </c>
      <c r="U28" t="s">
        <v>151</v>
      </c>
      <c r="V28" t="s">
        <v>162</v>
      </c>
      <c r="W28" t="s">
        <v>542</v>
      </c>
      <c r="X28" t="s">
        <v>131</v>
      </c>
      <c r="Y28" t="s">
        <v>131</v>
      </c>
      <c r="Z28" t="s">
        <v>543</v>
      </c>
      <c r="AA28" t="s">
        <v>544</v>
      </c>
      <c r="AB28" t="s">
        <v>545</v>
      </c>
      <c r="AC28" t="s">
        <v>172</v>
      </c>
      <c r="AE28">
        <v>6</v>
      </c>
      <c r="AF28" s="1" t="s">
        <v>123</v>
      </c>
      <c r="AX28" s="1" t="s">
        <v>123</v>
      </c>
      <c r="CR28" s="1" t="s">
        <v>123</v>
      </c>
      <c r="DB28" s="1" t="s">
        <v>123</v>
      </c>
      <c r="DL28" s="1" t="s">
        <v>123</v>
      </c>
      <c r="EO28" s="1" t="s">
        <v>123</v>
      </c>
      <c r="EP28" t="s">
        <v>180</v>
      </c>
      <c r="EQ28" t="s">
        <v>132</v>
      </c>
      <c r="FO28" s="1" t="s">
        <v>123</v>
      </c>
      <c r="FP28" t="s">
        <v>132</v>
      </c>
      <c r="FR28" t="s">
        <v>132</v>
      </c>
    </row>
    <row r="29" spans="1:213" x14ac:dyDescent="0.45">
      <c r="A29">
        <v>45</v>
      </c>
      <c r="B29">
        <f>_xlfn.IFNA(VLOOKUP(Analiza[[#This Row],[Zakończono wypełnianie]],Zakończone[],2,0),"BRAK")</f>
        <v>28</v>
      </c>
      <c r="C29">
        <f t="shared" si="0"/>
        <v>34</v>
      </c>
      <c r="D29" t="s">
        <v>550</v>
      </c>
      <c r="E29" t="s">
        <v>118</v>
      </c>
      <c r="F29" t="s">
        <v>375</v>
      </c>
      <c r="J29" t="s">
        <v>119</v>
      </c>
      <c r="K29" t="s">
        <v>551</v>
      </c>
      <c r="L29" t="s">
        <v>552</v>
      </c>
      <c r="M29">
        <v>836</v>
      </c>
      <c r="N29">
        <v>0</v>
      </c>
      <c r="O29" t="s">
        <v>122</v>
      </c>
      <c r="P29" s="1" t="s">
        <v>123</v>
      </c>
      <c r="AF29" s="1" t="s">
        <v>124</v>
      </c>
      <c r="AG29" t="s">
        <v>553</v>
      </c>
      <c r="AH29">
        <v>2019</v>
      </c>
      <c r="AI29" t="s">
        <v>148</v>
      </c>
      <c r="AJ29" t="s">
        <v>554</v>
      </c>
      <c r="AK29" t="s">
        <v>162</v>
      </c>
      <c r="AL29" t="s">
        <v>162</v>
      </c>
      <c r="AM29" t="s">
        <v>236</v>
      </c>
      <c r="AN29" t="s">
        <v>151</v>
      </c>
      <c r="AO29" t="s">
        <v>162</v>
      </c>
      <c r="AP29" t="s">
        <v>237</v>
      </c>
      <c r="AQ29" t="s">
        <v>132</v>
      </c>
      <c r="AR29" t="s">
        <v>132</v>
      </c>
      <c r="AS29" t="s">
        <v>555</v>
      </c>
      <c r="AT29" t="s">
        <v>556</v>
      </c>
      <c r="AU29" t="s">
        <v>557</v>
      </c>
      <c r="AV29" t="s">
        <v>230</v>
      </c>
      <c r="AX29" s="1" t="s">
        <v>123</v>
      </c>
      <c r="CR29" s="1" t="s">
        <v>123</v>
      </c>
      <c r="DB29" s="1" t="s">
        <v>123</v>
      </c>
      <c r="DL29" s="1" t="s">
        <v>123</v>
      </c>
      <c r="EO29" s="1" t="s">
        <v>123</v>
      </c>
      <c r="FO29" s="1" t="s">
        <v>123</v>
      </c>
      <c r="FP29" t="s">
        <v>132</v>
      </c>
      <c r="GW29" t="s">
        <v>558</v>
      </c>
      <c r="GX29" t="s">
        <v>559</v>
      </c>
      <c r="GY29" t="s">
        <v>560</v>
      </c>
      <c r="GZ29" t="s">
        <v>140</v>
      </c>
      <c r="HA29">
        <v>1994</v>
      </c>
      <c r="HB29" t="s">
        <v>483</v>
      </c>
      <c r="HD29" t="s">
        <v>561</v>
      </c>
      <c r="HE29" t="s">
        <v>386</v>
      </c>
    </row>
    <row r="30" spans="1:213" x14ac:dyDescent="0.45">
      <c r="A30">
        <v>46</v>
      </c>
      <c r="B30" t="str">
        <f>_xlfn.IFNA(VLOOKUP(Analiza[[#This Row],[Zakończono wypełnianie]],Zakończone[],2,0),"BRAK")</f>
        <v>BRAK</v>
      </c>
      <c r="C30">
        <f t="shared" si="0"/>
        <v>16</v>
      </c>
      <c r="D30" t="s">
        <v>562</v>
      </c>
      <c r="E30" t="s">
        <v>118</v>
      </c>
      <c r="F30" t="s">
        <v>359</v>
      </c>
      <c r="J30" t="s">
        <v>286</v>
      </c>
      <c r="K30" t="s">
        <v>563</v>
      </c>
      <c r="L30" t="s">
        <v>563</v>
      </c>
      <c r="M30">
        <v>0</v>
      </c>
      <c r="N30">
        <v>0</v>
      </c>
      <c r="O30" t="s">
        <v>122</v>
      </c>
      <c r="P30" s="1" t="s">
        <v>123</v>
      </c>
      <c r="AF30" s="1" t="s">
        <v>124</v>
      </c>
      <c r="AG30" t="s">
        <v>564</v>
      </c>
      <c r="AH30">
        <v>2010</v>
      </c>
      <c r="AI30" t="s">
        <v>148</v>
      </c>
      <c r="AJ30" t="s">
        <v>565</v>
      </c>
      <c r="AK30" t="s">
        <v>129</v>
      </c>
      <c r="AL30" t="s">
        <v>236</v>
      </c>
      <c r="AM30" t="s">
        <v>129</v>
      </c>
      <c r="AN30" t="s">
        <v>129</v>
      </c>
      <c r="AO30" t="s">
        <v>129</v>
      </c>
      <c r="AP30" t="s">
        <v>566</v>
      </c>
      <c r="AS30" t="s">
        <v>567</v>
      </c>
      <c r="AT30" t="s">
        <v>568</v>
      </c>
      <c r="AW30" t="s">
        <v>569</v>
      </c>
      <c r="AX30" s="1"/>
      <c r="CR30" s="1"/>
      <c r="DB30" s="1"/>
      <c r="DL30" s="1"/>
      <c r="EO30" s="1"/>
      <c r="FO30" s="1"/>
    </row>
    <row r="31" spans="1:213" x14ac:dyDescent="0.45">
      <c r="A31">
        <v>47</v>
      </c>
      <c r="B31">
        <f>_xlfn.IFNA(VLOOKUP(Analiza[[#This Row],[Zakończono wypełnianie]],Zakończone[],2,0),"BRAK")</f>
        <v>29</v>
      </c>
      <c r="C31">
        <f t="shared" si="0"/>
        <v>32</v>
      </c>
      <c r="D31" t="s">
        <v>570</v>
      </c>
      <c r="E31" t="s">
        <v>118</v>
      </c>
      <c r="F31" t="s">
        <v>548</v>
      </c>
      <c r="J31" t="s">
        <v>119</v>
      </c>
      <c r="K31" t="s">
        <v>571</v>
      </c>
      <c r="L31" t="s">
        <v>572</v>
      </c>
      <c r="M31">
        <v>751</v>
      </c>
      <c r="N31">
        <v>0</v>
      </c>
      <c r="O31" t="s">
        <v>122</v>
      </c>
      <c r="P31" s="1" t="s">
        <v>416</v>
      </c>
      <c r="Q31" t="s">
        <v>445</v>
      </c>
      <c r="R31" t="s">
        <v>148</v>
      </c>
      <c r="S31" t="s">
        <v>573</v>
      </c>
      <c r="T31" t="s">
        <v>162</v>
      </c>
      <c r="U31" t="s">
        <v>128</v>
      </c>
      <c r="V31" t="s">
        <v>151</v>
      </c>
      <c r="W31" t="s">
        <v>237</v>
      </c>
      <c r="X31" t="s">
        <v>302</v>
      </c>
      <c r="Y31" t="s">
        <v>153</v>
      </c>
      <c r="Z31" t="s">
        <v>574</v>
      </c>
      <c r="AA31" t="s">
        <v>575</v>
      </c>
      <c r="AB31" t="s">
        <v>576</v>
      </c>
      <c r="AC31" t="s">
        <v>172</v>
      </c>
      <c r="AE31">
        <v>6</v>
      </c>
      <c r="AF31" s="1" t="s">
        <v>123</v>
      </c>
      <c r="AX31" s="1" t="s">
        <v>123</v>
      </c>
      <c r="CR31" s="1" t="s">
        <v>123</v>
      </c>
      <c r="DB31" s="1" t="s">
        <v>123</v>
      </c>
      <c r="DL31" s="1" t="s">
        <v>123</v>
      </c>
      <c r="EO31" s="1" t="s">
        <v>123</v>
      </c>
      <c r="FO31" s="1" t="s">
        <v>123</v>
      </c>
      <c r="FP31" t="s">
        <v>132</v>
      </c>
      <c r="FR31" t="s">
        <v>132</v>
      </c>
      <c r="GW31" t="s">
        <v>578</v>
      </c>
      <c r="GX31" t="s">
        <v>579</v>
      </c>
      <c r="GY31" t="s">
        <v>580</v>
      </c>
      <c r="GZ31" t="s">
        <v>186</v>
      </c>
      <c r="HA31">
        <v>1997</v>
      </c>
      <c r="HB31" t="s">
        <v>483</v>
      </c>
      <c r="HD31" t="s">
        <v>532</v>
      </c>
    </row>
    <row r="32" spans="1:213" x14ac:dyDescent="0.45">
      <c r="A32">
        <v>50</v>
      </c>
      <c r="B32">
        <f>_xlfn.IFNA(VLOOKUP(Analiza[[#This Row],[Zakończono wypełnianie]],Zakończone[],2,0),"BRAK")</f>
        <v>30</v>
      </c>
      <c r="C32">
        <f t="shared" si="0"/>
        <v>30</v>
      </c>
      <c r="D32" t="s">
        <v>585</v>
      </c>
      <c r="E32" t="s">
        <v>118</v>
      </c>
      <c r="F32" t="s">
        <v>375</v>
      </c>
      <c r="J32" t="s">
        <v>119</v>
      </c>
      <c r="K32" t="s">
        <v>586</v>
      </c>
      <c r="L32" t="s">
        <v>587</v>
      </c>
      <c r="M32">
        <v>387</v>
      </c>
      <c r="N32">
        <v>0</v>
      </c>
      <c r="O32" t="s">
        <v>122</v>
      </c>
      <c r="P32" s="1" t="s">
        <v>416</v>
      </c>
      <c r="Q32" t="s">
        <v>445</v>
      </c>
      <c r="R32" t="s">
        <v>148</v>
      </c>
      <c r="S32" t="s">
        <v>588</v>
      </c>
      <c r="T32" t="s">
        <v>162</v>
      </c>
      <c r="U32" t="s">
        <v>150</v>
      </c>
      <c r="V32" t="s">
        <v>162</v>
      </c>
      <c r="W32" t="s">
        <v>589</v>
      </c>
      <c r="X32" t="s">
        <v>302</v>
      </c>
      <c r="Y32" t="s">
        <v>153</v>
      </c>
      <c r="AA32" t="s">
        <v>590</v>
      </c>
      <c r="AB32" t="s">
        <v>591</v>
      </c>
      <c r="AC32" t="s">
        <v>172</v>
      </c>
      <c r="AE32">
        <v>6</v>
      </c>
      <c r="AF32" s="1" t="s">
        <v>123</v>
      </c>
      <c r="AX32" s="1" t="s">
        <v>123</v>
      </c>
      <c r="CR32" s="1" t="s">
        <v>123</v>
      </c>
      <c r="DB32" s="1" t="s">
        <v>123</v>
      </c>
      <c r="DL32" s="1" t="s">
        <v>123</v>
      </c>
      <c r="EO32" s="1" t="s">
        <v>123</v>
      </c>
      <c r="FO32" s="1" t="s">
        <v>123</v>
      </c>
      <c r="FP32" t="s">
        <v>132</v>
      </c>
      <c r="GW32" t="s">
        <v>592</v>
      </c>
      <c r="GX32" t="s">
        <v>593</v>
      </c>
      <c r="GY32" t="s">
        <v>594</v>
      </c>
      <c r="GZ32" t="s">
        <v>140</v>
      </c>
      <c r="HA32">
        <v>1997</v>
      </c>
      <c r="HB32" t="s">
        <v>141</v>
      </c>
      <c r="HD32" t="s">
        <v>595</v>
      </c>
    </row>
    <row r="33" spans="1:214" x14ac:dyDescent="0.45">
      <c r="A33">
        <v>52</v>
      </c>
      <c r="B33">
        <f>_xlfn.IFNA(VLOOKUP(Analiza[[#This Row],[Zakończono wypełnianie]],Zakończone[],2,0),"BRAK")</f>
        <v>31</v>
      </c>
      <c r="C33">
        <f t="shared" si="0"/>
        <v>36</v>
      </c>
      <c r="D33" t="s">
        <v>598</v>
      </c>
      <c r="E33" t="s">
        <v>118</v>
      </c>
      <c r="F33" t="s">
        <v>359</v>
      </c>
      <c r="J33" t="s">
        <v>119</v>
      </c>
      <c r="K33" t="s">
        <v>599</v>
      </c>
      <c r="L33" t="s">
        <v>600</v>
      </c>
      <c r="M33">
        <v>61362</v>
      </c>
      <c r="N33">
        <v>0</v>
      </c>
      <c r="O33" t="s">
        <v>122</v>
      </c>
      <c r="P33" s="1" t="s">
        <v>123</v>
      </c>
      <c r="AF33" s="1" t="s">
        <v>124</v>
      </c>
      <c r="AG33" t="s">
        <v>445</v>
      </c>
      <c r="AH33">
        <v>2018</v>
      </c>
      <c r="AI33" t="s">
        <v>148</v>
      </c>
      <c r="AJ33" t="s">
        <v>601</v>
      </c>
      <c r="AK33" t="s">
        <v>150</v>
      </c>
      <c r="AL33" t="s">
        <v>162</v>
      </c>
      <c r="AM33" t="s">
        <v>128</v>
      </c>
      <c r="AN33" t="s">
        <v>129</v>
      </c>
      <c r="AO33" t="s">
        <v>132</v>
      </c>
      <c r="AP33" t="s">
        <v>602</v>
      </c>
      <c r="AQ33" t="s">
        <v>131</v>
      </c>
      <c r="AR33" t="s">
        <v>132</v>
      </c>
      <c r="AT33" t="s">
        <v>603</v>
      </c>
      <c r="AU33" t="s">
        <v>604</v>
      </c>
      <c r="AV33" t="s">
        <v>157</v>
      </c>
      <c r="AX33" s="1" t="s">
        <v>123</v>
      </c>
      <c r="CR33" s="1" t="s">
        <v>123</v>
      </c>
      <c r="DB33" s="1" t="s">
        <v>123</v>
      </c>
      <c r="DL33" s="1" t="s">
        <v>123</v>
      </c>
      <c r="EO33" s="1" t="s">
        <v>123</v>
      </c>
      <c r="EP33" t="s">
        <v>180</v>
      </c>
      <c r="EQ33" t="s">
        <v>132</v>
      </c>
      <c r="FO33" s="1" t="s">
        <v>123</v>
      </c>
      <c r="FP33" t="s">
        <v>132</v>
      </c>
      <c r="FR33" t="s">
        <v>132</v>
      </c>
      <c r="GW33" t="s">
        <v>605</v>
      </c>
      <c r="GX33" t="s">
        <v>606</v>
      </c>
      <c r="GY33" t="s">
        <v>607</v>
      </c>
      <c r="GZ33" t="s">
        <v>140</v>
      </c>
      <c r="HA33">
        <v>1994</v>
      </c>
      <c r="HB33" t="s">
        <v>483</v>
      </c>
      <c r="HD33" t="s">
        <v>608</v>
      </c>
      <c r="HE33" t="s">
        <v>609</v>
      </c>
    </row>
    <row r="34" spans="1:214" x14ac:dyDescent="0.45">
      <c r="A34">
        <v>53</v>
      </c>
      <c r="B34">
        <f>_xlfn.IFNA(VLOOKUP(Analiza[[#This Row],[Zakończono wypełnianie]],Zakończone[],2,0),"BRAK")</f>
        <v>32</v>
      </c>
      <c r="C34">
        <f t="shared" si="0"/>
        <v>31</v>
      </c>
      <c r="D34" t="s">
        <v>610</v>
      </c>
      <c r="E34" t="s">
        <v>118</v>
      </c>
      <c r="F34" t="s">
        <v>548</v>
      </c>
      <c r="J34" t="s">
        <v>119</v>
      </c>
      <c r="K34" t="s">
        <v>611</v>
      </c>
      <c r="L34" t="s">
        <v>612</v>
      </c>
      <c r="M34">
        <v>551</v>
      </c>
      <c r="N34">
        <v>0</v>
      </c>
      <c r="O34" t="s">
        <v>122</v>
      </c>
      <c r="P34" s="1" t="s">
        <v>416</v>
      </c>
      <c r="Q34" t="s">
        <v>445</v>
      </c>
      <c r="R34" t="s">
        <v>148</v>
      </c>
      <c r="S34" t="s">
        <v>613</v>
      </c>
      <c r="T34" t="s">
        <v>150</v>
      </c>
      <c r="U34" t="s">
        <v>150</v>
      </c>
      <c r="V34" t="s">
        <v>151</v>
      </c>
      <c r="W34" t="s">
        <v>530</v>
      </c>
      <c r="X34" t="s">
        <v>131</v>
      </c>
      <c r="Y34" t="s">
        <v>302</v>
      </c>
      <c r="Z34" t="s">
        <v>614</v>
      </c>
      <c r="AA34" t="s">
        <v>615</v>
      </c>
      <c r="AB34" t="s">
        <v>616</v>
      </c>
      <c r="AC34" t="s">
        <v>172</v>
      </c>
      <c r="AE34">
        <v>6</v>
      </c>
      <c r="AF34" s="1" t="s">
        <v>123</v>
      </c>
      <c r="AX34" s="1" t="s">
        <v>123</v>
      </c>
      <c r="CR34" s="1" t="s">
        <v>123</v>
      </c>
      <c r="DB34" s="1" t="s">
        <v>123</v>
      </c>
      <c r="DL34" s="1" t="s">
        <v>123</v>
      </c>
      <c r="EO34" s="1" t="s">
        <v>123</v>
      </c>
      <c r="FO34" s="1" t="s">
        <v>123</v>
      </c>
      <c r="FP34" t="s">
        <v>132</v>
      </c>
      <c r="GW34" t="s">
        <v>617</v>
      </c>
      <c r="GX34" t="s">
        <v>618</v>
      </c>
      <c r="GY34" t="s">
        <v>619</v>
      </c>
      <c r="GZ34" t="s">
        <v>140</v>
      </c>
      <c r="HA34">
        <v>1998</v>
      </c>
      <c r="HB34" t="s">
        <v>398</v>
      </c>
      <c r="HD34" t="s">
        <v>620</v>
      </c>
    </row>
    <row r="35" spans="1:214" x14ac:dyDescent="0.45">
      <c r="A35">
        <v>54</v>
      </c>
      <c r="B35">
        <f>_xlfn.IFNA(VLOOKUP(Analiza[[#This Row],[Zakończono wypełnianie]],Zakończone[],2,0),"BRAK")</f>
        <v>33</v>
      </c>
      <c r="C35">
        <f t="shared" ref="C35:C66" si="1">COUNTA(O35:HF35)</f>
        <v>31</v>
      </c>
      <c r="D35" t="s">
        <v>621</v>
      </c>
      <c r="E35" t="s">
        <v>118</v>
      </c>
      <c r="F35" t="s">
        <v>359</v>
      </c>
      <c r="J35" t="s">
        <v>119</v>
      </c>
      <c r="K35" t="s">
        <v>622</v>
      </c>
      <c r="L35" t="s">
        <v>623</v>
      </c>
      <c r="M35">
        <v>595</v>
      </c>
      <c r="N35">
        <v>0</v>
      </c>
      <c r="O35" t="s">
        <v>122</v>
      </c>
      <c r="P35" s="1" t="s">
        <v>416</v>
      </c>
      <c r="Q35" t="s">
        <v>445</v>
      </c>
      <c r="R35" t="s">
        <v>148</v>
      </c>
      <c r="S35" t="s">
        <v>624</v>
      </c>
      <c r="T35" t="s">
        <v>150</v>
      </c>
      <c r="U35" t="s">
        <v>150</v>
      </c>
      <c r="V35" t="s">
        <v>169</v>
      </c>
      <c r="W35">
        <v>12</v>
      </c>
      <c r="X35" t="s">
        <v>302</v>
      </c>
      <c r="Y35" t="s">
        <v>226</v>
      </c>
      <c r="AA35" t="s">
        <v>625</v>
      </c>
      <c r="AB35" t="s">
        <v>626</v>
      </c>
      <c r="AC35" t="s">
        <v>172</v>
      </c>
      <c r="AE35">
        <v>4</v>
      </c>
      <c r="AF35" s="1" t="s">
        <v>123</v>
      </c>
      <c r="AX35" s="1" t="s">
        <v>123</v>
      </c>
      <c r="CR35" s="1" t="s">
        <v>123</v>
      </c>
      <c r="DB35" s="1" t="s">
        <v>123</v>
      </c>
      <c r="DL35" s="1" t="s">
        <v>123</v>
      </c>
      <c r="EO35" s="1" t="s">
        <v>123</v>
      </c>
      <c r="FO35" s="1" t="s">
        <v>123</v>
      </c>
      <c r="FP35" t="s">
        <v>132</v>
      </c>
      <c r="GW35" t="s">
        <v>627</v>
      </c>
      <c r="GX35" t="s">
        <v>628</v>
      </c>
      <c r="GY35" t="s">
        <v>629</v>
      </c>
      <c r="GZ35" t="s">
        <v>186</v>
      </c>
      <c r="HA35" t="s">
        <v>630</v>
      </c>
      <c r="HB35" t="s">
        <v>398</v>
      </c>
      <c r="HD35" t="s">
        <v>631</v>
      </c>
      <c r="HE35" t="s">
        <v>632</v>
      </c>
    </row>
    <row r="36" spans="1:214" x14ac:dyDescent="0.45">
      <c r="A36">
        <v>57</v>
      </c>
      <c r="B36" t="str">
        <f>_xlfn.IFNA(VLOOKUP(Analiza[[#This Row],[Zakończono wypełnianie]],Zakończone[],2,0),"BRAK")</f>
        <v>BRAK</v>
      </c>
      <c r="C36">
        <f t="shared" si="1"/>
        <v>24</v>
      </c>
      <c r="D36" t="s">
        <v>637</v>
      </c>
      <c r="E36" t="s">
        <v>118</v>
      </c>
      <c r="F36" t="s">
        <v>548</v>
      </c>
      <c r="J36" t="s">
        <v>286</v>
      </c>
      <c r="K36" t="s">
        <v>638</v>
      </c>
      <c r="L36" t="s">
        <v>638</v>
      </c>
      <c r="M36">
        <v>0</v>
      </c>
      <c r="N36">
        <v>0</v>
      </c>
      <c r="O36" t="s">
        <v>122</v>
      </c>
      <c r="P36" s="1" t="s">
        <v>416</v>
      </c>
      <c r="Q36" t="s">
        <v>445</v>
      </c>
      <c r="R36" t="s">
        <v>148</v>
      </c>
      <c r="S36" t="s">
        <v>640</v>
      </c>
      <c r="T36" t="s">
        <v>169</v>
      </c>
      <c r="U36" t="s">
        <v>169</v>
      </c>
      <c r="V36" t="s">
        <v>151</v>
      </c>
      <c r="W36" t="s">
        <v>641</v>
      </c>
      <c r="X36" t="s">
        <v>302</v>
      </c>
      <c r="Y36" t="s">
        <v>302</v>
      </c>
      <c r="Z36" t="s">
        <v>642</v>
      </c>
      <c r="AA36" t="s">
        <v>643</v>
      </c>
      <c r="AB36" t="s">
        <v>644</v>
      </c>
      <c r="AC36" t="s">
        <v>172</v>
      </c>
      <c r="AE36">
        <v>6</v>
      </c>
      <c r="AF36" s="1" t="s">
        <v>123</v>
      </c>
      <c r="AX36" s="1" t="s">
        <v>123</v>
      </c>
      <c r="CR36" s="1" t="s">
        <v>123</v>
      </c>
      <c r="DB36" s="1" t="s">
        <v>123</v>
      </c>
      <c r="DL36" s="1" t="s">
        <v>123</v>
      </c>
      <c r="EO36" s="1" t="s">
        <v>123</v>
      </c>
      <c r="FO36" s="1" t="s">
        <v>123</v>
      </c>
      <c r="FP36" t="s">
        <v>132</v>
      </c>
    </row>
    <row r="37" spans="1:214" x14ac:dyDescent="0.45">
      <c r="A37">
        <v>58</v>
      </c>
      <c r="B37">
        <f>_xlfn.IFNA(VLOOKUP(Analiza[[#This Row],[Zakończono wypełnianie]],Zakończone[],2,0),"BRAK")</f>
        <v>34</v>
      </c>
      <c r="C37">
        <f t="shared" si="1"/>
        <v>29</v>
      </c>
      <c r="D37" t="s">
        <v>645</v>
      </c>
      <c r="E37" t="s">
        <v>118</v>
      </c>
      <c r="F37" t="s">
        <v>375</v>
      </c>
      <c r="J37" t="s">
        <v>119</v>
      </c>
      <c r="K37" t="s">
        <v>646</v>
      </c>
      <c r="L37" t="s">
        <v>647</v>
      </c>
      <c r="M37">
        <v>551</v>
      </c>
      <c r="N37">
        <v>0</v>
      </c>
      <c r="O37" t="s">
        <v>122</v>
      </c>
      <c r="P37" s="1" t="s">
        <v>416</v>
      </c>
      <c r="Q37" t="s">
        <v>160</v>
      </c>
      <c r="R37" t="s">
        <v>148</v>
      </c>
      <c r="S37" t="s">
        <v>648</v>
      </c>
      <c r="T37" t="s">
        <v>128</v>
      </c>
      <c r="U37" t="s">
        <v>162</v>
      </c>
      <c r="V37" t="s">
        <v>162</v>
      </c>
      <c r="W37" t="s">
        <v>237</v>
      </c>
      <c r="X37" t="s">
        <v>302</v>
      </c>
      <c r="Y37" t="s">
        <v>153</v>
      </c>
      <c r="AA37" t="s">
        <v>649</v>
      </c>
      <c r="AB37" t="s">
        <v>650</v>
      </c>
      <c r="AC37" t="s">
        <v>157</v>
      </c>
      <c r="AE37">
        <v>8</v>
      </c>
      <c r="AF37" s="1" t="s">
        <v>123</v>
      </c>
      <c r="AX37" s="1" t="s">
        <v>123</v>
      </c>
      <c r="CR37" s="1" t="s">
        <v>123</v>
      </c>
      <c r="DB37" s="1" t="s">
        <v>123</v>
      </c>
      <c r="DL37" s="1" t="s">
        <v>123</v>
      </c>
      <c r="EO37" s="1" t="s">
        <v>123</v>
      </c>
      <c r="FO37" s="1" t="s">
        <v>123</v>
      </c>
      <c r="FP37" t="s">
        <v>132</v>
      </c>
      <c r="GW37" t="s">
        <v>651</v>
      </c>
      <c r="GX37" t="s">
        <v>652</v>
      </c>
      <c r="GY37" t="s">
        <v>653</v>
      </c>
      <c r="GZ37" t="s">
        <v>140</v>
      </c>
      <c r="HA37">
        <v>1998</v>
      </c>
      <c r="HB37" t="s">
        <v>141</v>
      </c>
    </row>
    <row r="38" spans="1:214" x14ac:dyDescent="0.45">
      <c r="A38">
        <v>60</v>
      </c>
      <c r="B38">
        <f>_xlfn.IFNA(VLOOKUP(Analiza[[#This Row],[Zakończono wypełnianie]],Zakończone[],2,0),"BRAK")</f>
        <v>35</v>
      </c>
      <c r="C38">
        <f t="shared" si="1"/>
        <v>40</v>
      </c>
      <c r="D38" t="s">
        <v>656</v>
      </c>
      <c r="E38" t="s">
        <v>118</v>
      </c>
      <c r="F38" t="s">
        <v>359</v>
      </c>
      <c r="J38" t="s">
        <v>119</v>
      </c>
      <c r="K38" t="s">
        <v>657</v>
      </c>
      <c r="L38" t="s">
        <v>658</v>
      </c>
      <c r="M38">
        <v>770</v>
      </c>
      <c r="N38">
        <v>0</v>
      </c>
      <c r="O38" t="s">
        <v>122</v>
      </c>
      <c r="P38" s="1" t="s">
        <v>123</v>
      </c>
      <c r="AF38" s="1" t="s">
        <v>124</v>
      </c>
      <c r="AG38" t="s">
        <v>445</v>
      </c>
      <c r="AH38" t="s">
        <v>659</v>
      </c>
      <c r="AI38" t="s">
        <v>148</v>
      </c>
      <c r="AJ38" t="s">
        <v>660</v>
      </c>
      <c r="AK38" t="s">
        <v>169</v>
      </c>
      <c r="AL38" t="s">
        <v>169</v>
      </c>
      <c r="AM38" t="s">
        <v>169</v>
      </c>
      <c r="AN38" t="s">
        <v>150</v>
      </c>
      <c r="AO38" t="s">
        <v>132</v>
      </c>
      <c r="AP38" t="s">
        <v>661</v>
      </c>
      <c r="AQ38" t="s">
        <v>302</v>
      </c>
      <c r="AR38" t="s">
        <v>132</v>
      </c>
      <c r="AT38" t="s">
        <v>662</v>
      </c>
      <c r="AU38" t="s">
        <v>663</v>
      </c>
      <c r="AV38" t="s">
        <v>157</v>
      </c>
      <c r="AW38" t="s">
        <v>664</v>
      </c>
      <c r="AX38" s="1" t="s">
        <v>123</v>
      </c>
      <c r="CR38" s="1" t="s">
        <v>123</v>
      </c>
      <c r="DB38" s="1" t="s">
        <v>214</v>
      </c>
      <c r="DC38" t="s">
        <v>445</v>
      </c>
      <c r="DD38" t="s">
        <v>518</v>
      </c>
      <c r="DE38" t="s">
        <v>169</v>
      </c>
      <c r="DF38" t="s">
        <v>169</v>
      </c>
      <c r="DG38" t="s">
        <v>169</v>
      </c>
      <c r="DH38" t="s">
        <v>169</v>
      </c>
      <c r="DI38" t="s">
        <v>169</v>
      </c>
      <c r="DJ38" t="s">
        <v>150</v>
      </c>
      <c r="DL38" s="1" t="s">
        <v>123</v>
      </c>
      <c r="EO38" s="1" t="s">
        <v>123</v>
      </c>
      <c r="FO38" s="1" t="s">
        <v>123</v>
      </c>
      <c r="FP38" t="s">
        <v>132</v>
      </c>
      <c r="GW38" t="s">
        <v>665</v>
      </c>
      <c r="GX38" t="s">
        <v>666</v>
      </c>
      <c r="GY38" t="s">
        <v>667</v>
      </c>
      <c r="GZ38" t="s">
        <v>140</v>
      </c>
      <c r="HA38">
        <v>1989</v>
      </c>
      <c r="HB38" t="s">
        <v>141</v>
      </c>
    </row>
    <row r="39" spans="1:214" x14ac:dyDescent="0.45">
      <c r="A39">
        <v>61</v>
      </c>
      <c r="B39">
        <f>_xlfn.IFNA(VLOOKUP(Analiza[[#This Row],[Zakończono wypełnianie]],Zakończone[],2,0),"BRAK")</f>
        <v>36</v>
      </c>
      <c r="C39">
        <f t="shared" si="1"/>
        <v>35</v>
      </c>
      <c r="D39" t="s">
        <v>668</v>
      </c>
      <c r="E39" t="s">
        <v>118</v>
      </c>
      <c r="F39" t="s">
        <v>359</v>
      </c>
      <c r="J39" t="s">
        <v>119</v>
      </c>
      <c r="K39" t="s">
        <v>669</v>
      </c>
      <c r="L39" t="s">
        <v>670</v>
      </c>
      <c r="M39">
        <v>463</v>
      </c>
      <c r="N39">
        <v>0</v>
      </c>
      <c r="O39" t="s">
        <v>122</v>
      </c>
      <c r="P39" s="1" t="s">
        <v>123</v>
      </c>
      <c r="AF39" s="1" t="s">
        <v>124</v>
      </c>
      <c r="AG39" t="s">
        <v>445</v>
      </c>
      <c r="AH39">
        <v>2019</v>
      </c>
      <c r="AI39" t="s">
        <v>148</v>
      </c>
      <c r="AJ39" t="s">
        <v>601</v>
      </c>
      <c r="AK39" t="s">
        <v>162</v>
      </c>
      <c r="AL39" t="s">
        <v>162</v>
      </c>
      <c r="AM39" t="s">
        <v>129</v>
      </c>
      <c r="AN39" t="s">
        <v>129</v>
      </c>
      <c r="AO39" t="s">
        <v>129</v>
      </c>
      <c r="AP39">
        <v>4</v>
      </c>
      <c r="AQ39" t="s">
        <v>152</v>
      </c>
      <c r="AR39" t="s">
        <v>131</v>
      </c>
      <c r="AS39" t="s">
        <v>671</v>
      </c>
      <c r="AT39" t="s">
        <v>672</v>
      </c>
      <c r="AU39" t="s">
        <v>673</v>
      </c>
      <c r="AV39" t="s">
        <v>157</v>
      </c>
      <c r="AX39" s="1" t="s">
        <v>123</v>
      </c>
      <c r="CR39" s="1" t="s">
        <v>123</v>
      </c>
      <c r="DB39" s="1" t="s">
        <v>123</v>
      </c>
      <c r="DL39" s="1" t="s">
        <v>123</v>
      </c>
      <c r="EO39" s="1" t="s">
        <v>123</v>
      </c>
      <c r="EP39" t="s">
        <v>180</v>
      </c>
      <c r="EQ39" t="s">
        <v>132</v>
      </c>
      <c r="FO39" s="1" t="s">
        <v>123</v>
      </c>
      <c r="FP39" t="s">
        <v>132</v>
      </c>
      <c r="FR39" t="s">
        <v>132</v>
      </c>
      <c r="GW39" t="s">
        <v>674</v>
      </c>
      <c r="GX39" t="s">
        <v>675</v>
      </c>
      <c r="GY39" t="s">
        <v>676</v>
      </c>
      <c r="GZ39" t="s">
        <v>140</v>
      </c>
      <c r="HA39">
        <v>1994</v>
      </c>
      <c r="HB39" t="s">
        <v>483</v>
      </c>
    </row>
    <row r="40" spans="1:214" x14ac:dyDescent="0.45">
      <c r="A40">
        <v>63</v>
      </c>
      <c r="B40">
        <f>_xlfn.IFNA(VLOOKUP(Analiza[[#This Row],[Zakończono wypełnianie]],Zakończone[],2,0),"BRAK")</f>
        <v>37</v>
      </c>
      <c r="C40">
        <f t="shared" si="1"/>
        <v>37</v>
      </c>
      <c r="D40" t="s">
        <v>679</v>
      </c>
      <c r="E40" t="s">
        <v>118</v>
      </c>
      <c r="F40" t="s">
        <v>359</v>
      </c>
      <c r="J40" t="s">
        <v>119</v>
      </c>
      <c r="K40" t="s">
        <v>680</v>
      </c>
      <c r="L40" t="s">
        <v>681</v>
      </c>
      <c r="M40">
        <v>770</v>
      </c>
      <c r="N40">
        <v>0</v>
      </c>
      <c r="O40" t="s">
        <v>122</v>
      </c>
      <c r="P40" s="1" t="s">
        <v>123</v>
      </c>
      <c r="AF40" s="1" t="s">
        <v>124</v>
      </c>
      <c r="AG40" t="s">
        <v>682</v>
      </c>
      <c r="AH40">
        <v>2017</v>
      </c>
      <c r="AI40" t="s">
        <v>148</v>
      </c>
      <c r="AJ40" t="s">
        <v>601</v>
      </c>
      <c r="AK40" t="s">
        <v>169</v>
      </c>
      <c r="AL40" t="s">
        <v>169</v>
      </c>
      <c r="AM40" t="s">
        <v>150</v>
      </c>
      <c r="AN40" t="s">
        <v>236</v>
      </c>
      <c r="AO40" t="s">
        <v>169</v>
      </c>
      <c r="AP40" t="s">
        <v>683</v>
      </c>
      <c r="AQ40" t="s">
        <v>131</v>
      </c>
      <c r="AR40" t="s">
        <v>153</v>
      </c>
      <c r="AS40" t="s">
        <v>684</v>
      </c>
      <c r="AT40" t="s">
        <v>685</v>
      </c>
      <c r="AU40" t="s">
        <v>686</v>
      </c>
      <c r="AV40" t="s">
        <v>157</v>
      </c>
      <c r="AX40" s="1" t="s">
        <v>123</v>
      </c>
      <c r="CR40" s="1" t="s">
        <v>123</v>
      </c>
      <c r="DB40" s="1" t="s">
        <v>123</v>
      </c>
      <c r="DL40" s="1" t="s">
        <v>123</v>
      </c>
      <c r="EO40" s="1" t="s">
        <v>123</v>
      </c>
      <c r="EP40" t="s">
        <v>180</v>
      </c>
      <c r="EQ40" t="s">
        <v>132</v>
      </c>
      <c r="FO40" s="1" t="s">
        <v>123</v>
      </c>
      <c r="FP40" t="s">
        <v>132</v>
      </c>
      <c r="FR40" t="s">
        <v>132</v>
      </c>
      <c r="GW40" t="s">
        <v>687</v>
      </c>
      <c r="GX40" t="s">
        <v>688</v>
      </c>
      <c r="GY40" t="s">
        <v>689</v>
      </c>
      <c r="GZ40" t="s">
        <v>140</v>
      </c>
      <c r="HA40">
        <v>1994</v>
      </c>
      <c r="HB40" t="s">
        <v>246</v>
      </c>
      <c r="HD40" t="s">
        <v>142</v>
      </c>
      <c r="HE40" t="s">
        <v>142</v>
      </c>
    </row>
    <row r="41" spans="1:214" x14ac:dyDescent="0.45">
      <c r="A41">
        <v>66</v>
      </c>
      <c r="B41" t="str">
        <f>_xlfn.IFNA(VLOOKUP(Analiza[[#This Row],[Zakończono wypełnianie]],Zakończone[],2,0),"BRAK")</f>
        <v>BRAK</v>
      </c>
      <c r="C41">
        <f t="shared" si="1"/>
        <v>25</v>
      </c>
      <c r="D41" t="s">
        <v>694</v>
      </c>
      <c r="E41" t="s">
        <v>118</v>
      </c>
      <c r="F41" t="s">
        <v>359</v>
      </c>
      <c r="J41" t="s">
        <v>286</v>
      </c>
      <c r="K41" t="s">
        <v>695</v>
      </c>
      <c r="L41" t="s">
        <v>695</v>
      </c>
      <c r="M41">
        <v>0</v>
      </c>
      <c r="N41">
        <v>0</v>
      </c>
      <c r="O41" t="s">
        <v>122</v>
      </c>
      <c r="P41" s="1" t="s">
        <v>123</v>
      </c>
      <c r="AF41" s="1" t="s">
        <v>124</v>
      </c>
      <c r="AG41" t="s">
        <v>445</v>
      </c>
      <c r="AH41">
        <v>2018</v>
      </c>
      <c r="AI41" t="s">
        <v>148</v>
      </c>
      <c r="AJ41" t="s">
        <v>461</v>
      </c>
      <c r="AK41" t="s">
        <v>169</v>
      </c>
      <c r="AL41" t="s">
        <v>169</v>
      </c>
      <c r="AM41" t="s">
        <v>151</v>
      </c>
      <c r="AN41" t="s">
        <v>129</v>
      </c>
      <c r="AO41" t="s">
        <v>129</v>
      </c>
      <c r="AP41">
        <v>3</v>
      </c>
      <c r="AQ41" t="s">
        <v>131</v>
      </c>
      <c r="AR41" t="s">
        <v>302</v>
      </c>
      <c r="AT41" t="s">
        <v>696</v>
      </c>
      <c r="AU41" t="s">
        <v>697</v>
      </c>
      <c r="AV41" t="s">
        <v>157</v>
      </c>
      <c r="AX41" s="1" t="s">
        <v>123</v>
      </c>
      <c r="CR41" s="1" t="s">
        <v>123</v>
      </c>
      <c r="DB41" s="1" t="s">
        <v>123</v>
      </c>
      <c r="DL41" s="1" t="s">
        <v>123</v>
      </c>
      <c r="EO41" s="1" t="s">
        <v>177</v>
      </c>
      <c r="EP41" t="s">
        <v>180</v>
      </c>
      <c r="EQ41" t="s">
        <v>132</v>
      </c>
      <c r="FO41" s="1"/>
    </row>
    <row r="42" spans="1:214" x14ac:dyDescent="0.45">
      <c r="A42">
        <v>67</v>
      </c>
      <c r="B42">
        <f>_xlfn.IFNA(VLOOKUP(Analiza[[#This Row],[Zakończono wypełnianie]],Zakończone[],2,0),"BRAK")</f>
        <v>38</v>
      </c>
      <c r="C42">
        <f t="shared" si="1"/>
        <v>35</v>
      </c>
      <c r="D42" t="s">
        <v>698</v>
      </c>
      <c r="E42" t="s">
        <v>118</v>
      </c>
      <c r="F42" t="s">
        <v>359</v>
      </c>
      <c r="J42" t="s">
        <v>119</v>
      </c>
      <c r="K42" t="s">
        <v>699</v>
      </c>
      <c r="L42" t="s">
        <v>700</v>
      </c>
      <c r="M42">
        <v>1910</v>
      </c>
      <c r="N42">
        <v>0</v>
      </c>
      <c r="O42" t="s">
        <v>122</v>
      </c>
      <c r="P42" s="1" t="s">
        <v>123</v>
      </c>
      <c r="AF42" s="1" t="s">
        <v>124</v>
      </c>
      <c r="AG42" t="s">
        <v>701</v>
      </c>
      <c r="AH42">
        <v>2020</v>
      </c>
      <c r="AI42" t="s">
        <v>148</v>
      </c>
      <c r="AJ42" t="s">
        <v>702</v>
      </c>
      <c r="AK42" t="s">
        <v>162</v>
      </c>
      <c r="AL42" t="s">
        <v>162</v>
      </c>
      <c r="AM42" t="s">
        <v>236</v>
      </c>
      <c r="AN42" t="s">
        <v>236</v>
      </c>
      <c r="AO42" t="s">
        <v>132</v>
      </c>
      <c r="AP42" t="s">
        <v>703</v>
      </c>
      <c r="AQ42" t="s">
        <v>131</v>
      </c>
      <c r="AR42" t="s">
        <v>132</v>
      </c>
      <c r="AS42" t="s">
        <v>704</v>
      </c>
      <c r="AT42" t="s">
        <v>705</v>
      </c>
      <c r="AU42" t="s">
        <v>706</v>
      </c>
      <c r="AV42" t="s">
        <v>157</v>
      </c>
      <c r="AX42" s="1" t="s">
        <v>123</v>
      </c>
      <c r="CR42" s="1" t="s">
        <v>123</v>
      </c>
      <c r="DB42" s="1" t="s">
        <v>123</v>
      </c>
      <c r="DL42" s="1" t="s">
        <v>123</v>
      </c>
      <c r="EO42" s="1" t="s">
        <v>123</v>
      </c>
      <c r="EP42" t="s">
        <v>180</v>
      </c>
      <c r="EQ42" t="s">
        <v>132</v>
      </c>
      <c r="FO42" s="1" t="s">
        <v>123</v>
      </c>
      <c r="FP42" t="s">
        <v>132</v>
      </c>
      <c r="FR42" t="s">
        <v>132</v>
      </c>
      <c r="GW42" t="s">
        <v>707</v>
      </c>
      <c r="GX42" t="s">
        <v>708</v>
      </c>
      <c r="GY42" t="s">
        <v>709</v>
      </c>
      <c r="GZ42" t="s">
        <v>140</v>
      </c>
      <c r="HA42">
        <v>1994</v>
      </c>
      <c r="HB42" t="s">
        <v>220</v>
      </c>
    </row>
    <row r="43" spans="1:214" x14ac:dyDescent="0.45">
      <c r="A43">
        <v>70</v>
      </c>
      <c r="B43">
        <f>_xlfn.IFNA(VLOOKUP(Analiza[[#This Row],[Zakończono wypełnianie]],Zakończone[],2,0),"BRAK")</f>
        <v>39</v>
      </c>
      <c r="C43">
        <f t="shared" si="1"/>
        <v>54</v>
      </c>
      <c r="D43" t="s">
        <v>714</v>
      </c>
      <c r="E43" t="s">
        <v>118</v>
      </c>
      <c r="J43" t="s">
        <v>119</v>
      </c>
      <c r="K43" t="s">
        <v>715</v>
      </c>
      <c r="L43" t="s">
        <v>716</v>
      </c>
      <c r="M43">
        <v>1868</v>
      </c>
      <c r="N43">
        <v>0</v>
      </c>
      <c r="O43" t="s">
        <v>122</v>
      </c>
      <c r="P43" s="1" t="s">
        <v>123</v>
      </c>
      <c r="AF43" s="1" t="s">
        <v>124</v>
      </c>
      <c r="AG43" t="s">
        <v>191</v>
      </c>
      <c r="AH43">
        <v>2008</v>
      </c>
      <c r="AI43" t="s">
        <v>126</v>
      </c>
      <c r="AJ43" t="s">
        <v>717</v>
      </c>
      <c r="AK43" t="s">
        <v>162</v>
      </c>
      <c r="AL43" t="s">
        <v>151</v>
      </c>
      <c r="AM43" t="s">
        <v>162</v>
      </c>
      <c r="AN43" t="s">
        <v>236</v>
      </c>
      <c r="AO43" t="s">
        <v>236</v>
      </c>
      <c r="AP43" t="s">
        <v>718</v>
      </c>
      <c r="AQ43" t="s">
        <v>131</v>
      </c>
      <c r="AR43" t="s">
        <v>302</v>
      </c>
      <c r="AS43" t="s">
        <v>719</v>
      </c>
      <c r="AT43" t="s">
        <v>720</v>
      </c>
      <c r="AU43" t="s">
        <v>721</v>
      </c>
      <c r="AV43" t="s">
        <v>172</v>
      </c>
      <c r="AX43" s="1" t="s">
        <v>123</v>
      </c>
      <c r="CR43" s="1" t="s">
        <v>123</v>
      </c>
      <c r="DB43" s="1" t="s">
        <v>214</v>
      </c>
      <c r="DC43" t="s">
        <v>2275</v>
      </c>
      <c r="DD43" t="s">
        <v>2276</v>
      </c>
      <c r="DE43" t="s">
        <v>150</v>
      </c>
      <c r="DF43" t="s">
        <v>162</v>
      </c>
      <c r="DG43" t="s">
        <v>151</v>
      </c>
      <c r="DH43" t="s">
        <v>162</v>
      </c>
      <c r="DI43" t="s">
        <v>128</v>
      </c>
      <c r="DJ43" t="s">
        <v>128</v>
      </c>
      <c r="DK43" t="s">
        <v>724</v>
      </c>
      <c r="DL43" s="1" t="s">
        <v>123</v>
      </c>
      <c r="EO43" s="1" t="s">
        <v>177</v>
      </c>
      <c r="EP43" t="s">
        <v>180</v>
      </c>
      <c r="EQ43">
        <v>1</v>
      </c>
      <c r="ER43" t="s">
        <v>722</v>
      </c>
      <c r="ES43" t="s">
        <v>162</v>
      </c>
      <c r="ET43" t="s">
        <v>150</v>
      </c>
      <c r="EU43" t="s">
        <v>236</v>
      </c>
      <c r="EV43" t="s">
        <v>178</v>
      </c>
      <c r="EW43" t="s">
        <v>725</v>
      </c>
      <c r="EX43" t="s">
        <v>726</v>
      </c>
      <c r="EY43" t="s">
        <v>173</v>
      </c>
      <c r="FO43" s="1" t="s">
        <v>123</v>
      </c>
      <c r="FP43" t="s">
        <v>132</v>
      </c>
      <c r="FR43" t="s">
        <v>132</v>
      </c>
      <c r="GW43" t="s">
        <v>727</v>
      </c>
      <c r="GX43" t="s">
        <v>728</v>
      </c>
      <c r="GY43" t="s">
        <v>729</v>
      </c>
      <c r="GZ43" t="s">
        <v>186</v>
      </c>
      <c r="HA43">
        <v>1983</v>
      </c>
      <c r="HB43" t="s">
        <v>141</v>
      </c>
      <c r="HD43" t="s">
        <v>730</v>
      </c>
      <c r="HF43" t="s">
        <v>731</v>
      </c>
    </row>
    <row r="44" spans="1:214" x14ac:dyDescent="0.45">
      <c r="A44">
        <v>74</v>
      </c>
      <c r="B44">
        <f>_xlfn.IFNA(VLOOKUP(Analiza[[#This Row],[Zakończono wypełnianie]],Zakończone[],2,0),"BRAK")</f>
        <v>40</v>
      </c>
      <c r="C44">
        <f t="shared" si="1"/>
        <v>46</v>
      </c>
      <c r="D44" t="s">
        <v>739</v>
      </c>
      <c r="E44" t="s">
        <v>118</v>
      </c>
      <c r="J44" t="s">
        <v>119</v>
      </c>
      <c r="K44" t="s">
        <v>740</v>
      </c>
      <c r="L44" t="s">
        <v>741</v>
      </c>
      <c r="M44">
        <v>341</v>
      </c>
      <c r="N44">
        <v>0</v>
      </c>
      <c r="O44" t="s">
        <v>122</v>
      </c>
      <c r="P44" s="1" t="s">
        <v>123</v>
      </c>
      <c r="AF44" s="1" t="s">
        <v>124</v>
      </c>
      <c r="AG44" t="s">
        <v>223</v>
      </c>
      <c r="AH44">
        <v>2007</v>
      </c>
      <c r="AI44" t="s">
        <v>148</v>
      </c>
      <c r="AJ44" t="s">
        <v>743</v>
      </c>
      <c r="AK44" t="s">
        <v>236</v>
      </c>
      <c r="AL44" t="s">
        <v>129</v>
      </c>
      <c r="AM44" t="s">
        <v>128</v>
      </c>
      <c r="AN44" t="s">
        <v>162</v>
      </c>
      <c r="AO44" t="s">
        <v>150</v>
      </c>
      <c r="AP44" t="s">
        <v>237</v>
      </c>
      <c r="AQ44" t="s">
        <v>302</v>
      </c>
      <c r="AR44" t="s">
        <v>153</v>
      </c>
      <c r="AS44" t="s">
        <v>744</v>
      </c>
      <c r="AT44" t="s">
        <v>745</v>
      </c>
      <c r="AU44" t="s">
        <v>746</v>
      </c>
      <c r="AV44" t="s">
        <v>172</v>
      </c>
      <c r="AX44" s="1" t="s">
        <v>123</v>
      </c>
      <c r="CR44" s="1" t="s">
        <v>387</v>
      </c>
      <c r="CS44" t="s">
        <v>191</v>
      </c>
      <c r="CT44" t="s">
        <v>748</v>
      </c>
      <c r="CU44" t="s">
        <v>150</v>
      </c>
      <c r="CV44" t="s">
        <v>150</v>
      </c>
      <c r="CW44" t="s">
        <v>169</v>
      </c>
      <c r="CX44" t="s">
        <v>169</v>
      </c>
      <c r="CY44" t="s">
        <v>150</v>
      </c>
      <c r="CZ44" t="s">
        <v>150</v>
      </c>
      <c r="DA44" t="s">
        <v>749</v>
      </c>
      <c r="DB44" s="1" t="s">
        <v>123</v>
      </c>
      <c r="DL44" s="1" t="s">
        <v>123</v>
      </c>
      <c r="EO44" s="1" t="s">
        <v>123</v>
      </c>
      <c r="EP44" t="s">
        <v>178</v>
      </c>
      <c r="EQ44" t="s">
        <v>132</v>
      </c>
      <c r="FO44" s="1" t="s">
        <v>123</v>
      </c>
      <c r="FP44" t="s">
        <v>132</v>
      </c>
      <c r="FR44" t="s">
        <v>132</v>
      </c>
      <c r="GW44" t="s">
        <v>750</v>
      </c>
      <c r="GX44" t="s">
        <v>751</v>
      </c>
      <c r="GY44" t="s">
        <v>752</v>
      </c>
      <c r="GZ44" t="s">
        <v>186</v>
      </c>
      <c r="HA44">
        <v>1983</v>
      </c>
      <c r="HB44" t="s">
        <v>398</v>
      </c>
      <c r="HD44" t="s">
        <v>753</v>
      </c>
      <c r="HE44" t="s">
        <v>532</v>
      </c>
    </row>
    <row r="45" spans="1:214" x14ac:dyDescent="0.45">
      <c r="A45">
        <v>75</v>
      </c>
      <c r="B45">
        <f>_xlfn.IFNA(VLOOKUP(Analiza[[#This Row],[Zakończono wypełnianie]],Zakończone[],2,0),"BRAK")</f>
        <v>41</v>
      </c>
      <c r="C45">
        <f t="shared" si="1"/>
        <v>51</v>
      </c>
      <c r="D45" t="s">
        <v>754</v>
      </c>
      <c r="E45" t="s">
        <v>118</v>
      </c>
      <c r="F45" t="s">
        <v>755</v>
      </c>
      <c r="J45" t="s">
        <v>119</v>
      </c>
      <c r="K45" t="s">
        <v>756</v>
      </c>
      <c r="L45" t="s">
        <v>757</v>
      </c>
      <c r="M45">
        <v>487</v>
      </c>
      <c r="N45">
        <v>0</v>
      </c>
      <c r="O45" t="s">
        <v>122</v>
      </c>
      <c r="P45" s="1" t="s">
        <v>416</v>
      </c>
      <c r="Q45" t="s">
        <v>147</v>
      </c>
      <c r="R45" t="s">
        <v>148</v>
      </c>
      <c r="S45" t="s">
        <v>758</v>
      </c>
      <c r="T45" t="s">
        <v>236</v>
      </c>
      <c r="U45" t="s">
        <v>129</v>
      </c>
      <c r="V45" t="s">
        <v>236</v>
      </c>
      <c r="W45" t="s">
        <v>718</v>
      </c>
      <c r="X45" t="s">
        <v>759</v>
      </c>
      <c r="Y45" t="s">
        <v>194</v>
      </c>
      <c r="Z45" t="s">
        <v>760</v>
      </c>
      <c r="AA45" t="s">
        <v>761</v>
      </c>
      <c r="AB45" t="s">
        <v>762</v>
      </c>
      <c r="AC45" t="s">
        <v>157</v>
      </c>
      <c r="AE45">
        <v>2</v>
      </c>
      <c r="AF45" s="1" t="s">
        <v>124</v>
      </c>
      <c r="AG45" t="s">
        <v>223</v>
      </c>
      <c r="AH45">
        <v>2012</v>
      </c>
      <c r="AI45" t="s">
        <v>148</v>
      </c>
      <c r="AJ45" t="s">
        <v>764</v>
      </c>
      <c r="AK45" t="s">
        <v>236</v>
      </c>
      <c r="AL45" t="s">
        <v>236</v>
      </c>
      <c r="AM45" t="s">
        <v>236</v>
      </c>
      <c r="AN45" t="s">
        <v>129</v>
      </c>
      <c r="AO45" t="s">
        <v>236</v>
      </c>
      <c r="AP45" t="s">
        <v>237</v>
      </c>
      <c r="AQ45" t="s">
        <v>302</v>
      </c>
      <c r="AR45" t="s">
        <v>153</v>
      </c>
      <c r="AS45" t="s">
        <v>765</v>
      </c>
      <c r="AT45" t="s">
        <v>766</v>
      </c>
      <c r="AU45" t="s">
        <v>767</v>
      </c>
      <c r="AV45" t="s">
        <v>230</v>
      </c>
      <c r="AX45" s="1" t="s">
        <v>123</v>
      </c>
      <c r="CR45" s="1" t="s">
        <v>123</v>
      </c>
      <c r="DB45" s="1" t="s">
        <v>123</v>
      </c>
      <c r="DL45" s="1" t="s">
        <v>123</v>
      </c>
      <c r="EO45" s="1" t="s">
        <v>123</v>
      </c>
      <c r="EP45" t="s">
        <v>180</v>
      </c>
      <c r="EQ45" t="s">
        <v>132</v>
      </c>
      <c r="FO45" s="1" t="s">
        <v>123</v>
      </c>
      <c r="FP45" t="s">
        <v>132</v>
      </c>
      <c r="FR45" t="s">
        <v>132</v>
      </c>
      <c r="GW45" t="s">
        <v>768</v>
      </c>
      <c r="GX45" t="s">
        <v>769</v>
      </c>
      <c r="GY45" t="s">
        <v>770</v>
      </c>
      <c r="GZ45" t="s">
        <v>186</v>
      </c>
      <c r="HA45">
        <v>1990</v>
      </c>
      <c r="HB45" t="s">
        <v>141</v>
      </c>
      <c r="HD45" t="s">
        <v>771</v>
      </c>
      <c r="HE45" t="s">
        <v>772</v>
      </c>
    </row>
    <row r="46" spans="1:214" x14ac:dyDescent="0.45">
      <c r="A46">
        <v>76</v>
      </c>
      <c r="B46">
        <f>_xlfn.IFNA(VLOOKUP(Analiza[[#This Row],[Zakończono wypełnianie]],Zakończone[],2,0),"BRAK")</f>
        <v>42</v>
      </c>
      <c r="C46">
        <f t="shared" si="1"/>
        <v>53</v>
      </c>
      <c r="D46" t="s">
        <v>773</v>
      </c>
      <c r="E46" t="s">
        <v>118</v>
      </c>
      <c r="F46" t="s">
        <v>774</v>
      </c>
      <c r="J46" t="s">
        <v>119</v>
      </c>
      <c r="K46" t="s">
        <v>775</v>
      </c>
      <c r="L46" t="s">
        <v>776</v>
      </c>
      <c r="M46">
        <v>1636</v>
      </c>
      <c r="N46">
        <v>0</v>
      </c>
      <c r="O46" t="s">
        <v>122</v>
      </c>
      <c r="P46" s="1" t="s">
        <v>123</v>
      </c>
      <c r="AF46" s="1" t="s">
        <v>124</v>
      </c>
      <c r="AG46" t="s">
        <v>1461</v>
      </c>
      <c r="AH46">
        <v>2013</v>
      </c>
      <c r="AI46" t="s">
        <v>148</v>
      </c>
      <c r="AJ46" t="s">
        <v>429</v>
      </c>
      <c r="AK46" t="s">
        <v>128</v>
      </c>
      <c r="AL46" t="s">
        <v>151</v>
      </c>
      <c r="AM46" t="s">
        <v>162</v>
      </c>
      <c r="AN46" t="s">
        <v>129</v>
      </c>
      <c r="AO46" t="s">
        <v>236</v>
      </c>
      <c r="AP46">
        <v>0</v>
      </c>
      <c r="AQ46" t="s">
        <v>131</v>
      </c>
      <c r="AR46" t="s">
        <v>131</v>
      </c>
      <c r="AS46" t="s">
        <v>778</v>
      </c>
      <c r="AT46" t="s">
        <v>779</v>
      </c>
      <c r="AU46" t="s">
        <v>780</v>
      </c>
      <c r="AV46" t="s">
        <v>157</v>
      </c>
      <c r="AX46" s="1" t="s">
        <v>123</v>
      </c>
      <c r="CR46" s="1" t="s">
        <v>123</v>
      </c>
      <c r="DB46" s="1" t="s">
        <v>214</v>
      </c>
      <c r="DC46" t="s">
        <v>1461</v>
      </c>
      <c r="DD46" t="s">
        <v>781</v>
      </c>
      <c r="DE46" t="s">
        <v>129</v>
      </c>
      <c r="DF46" t="s">
        <v>150</v>
      </c>
      <c r="DG46" t="s">
        <v>129</v>
      </c>
      <c r="DH46" t="s">
        <v>236</v>
      </c>
      <c r="DI46" t="s">
        <v>151</v>
      </c>
      <c r="DJ46" t="s">
        <v>151</v>
      </c>
      <c r="DK46" t="s">
        <v>782</v>
      </c>
      <c r="DL46" s="1" t="s">
        <v>123</v>
      </c>
      <c r="EO46" s="1" t="s">
        <v>177</v>
      </c>
      <c r="EP46" t="s">
        <v>180</v>
      </c>
      <c r="EQ46">
        <v>1</v>
      </c>
      <c r="ER46" t="s">
        <v>783</v>
      </c>
      <c r="ES46" t="s">
        <v>150</v>
      </c>
      <c r="ET46" t="s">
        <v>150</v>
      </c>
      <c r="EU46" t="s">
        <v>236</v>
      </c>
      <c r="EV46" t="s">
        <v>178</v>
      </c>
      <c r="EW46" t="s">
        <v>784</v>
      </c>
      <c r="EX46" t="s">
        <v>785</v>
      </c>
      <c r="EY46" t="s">
        <v>173</v>
      </c>
      <c r="FO46" s="1" t="s">
        <v>123</v>
      </c>
      <c r="FP46" t="s">
        <v>132</v>
      </c>
      <c r="GW46" t="s">
        <v>786</v>
      </c>
      <c r="GX46" t="s">
        <v>787</v>
      </c>
      <c r="GY46" t="s">
        <v>788</v>
      </c>
      <c r="GZ46" t="s">
        <v>140</v>
      </c>
      <c r="HA46">
        <v>1988</v>
      </c>
      <c r="HB46" t="s">
        <v>246</v>
      </c>
      <c r="HD46" t="s">
        <v>789</v>
      </c>
      <c r="HF46" t="s">
        <v>790</v>
      </c>
    </row>
    <row r="47" spans="1:214" x14ac:dyDescent="0.45">
      <c r="A47">
        <v>77</v>
      </c>
      <c r="B47">
        <f>_xlfn.IFNA(VLOOKUP(Analiza[[#This Row],[Zakończono wypełnianie]],Zakończone[],2,0),"BRAK")</f>
        <v>43</v>
      </c>
      <c r="C47">
        <f t="shared" si="1"/>
        <v>33</v>
      </c>
      <c r="D47" t="s">
        <v>773</v>
      </c>
      <c r="E47" t="s">
        <v>118</v>
      </c>
      <c r="F47" t="s">
        <v>774</v>
      </c>
      <c r="J47" t="s">
        <v>119</v>
      </c>
      <c r="K47" t="s">
        <v>791</v>
      </c>
      <c r="L47" t="s">
        <v>792</v>
      </c>
      <c r="M47">
        <v>333</v>
      </c>
      <c r="N47">
        <v>0</v>
      </c>
      <c r="O47" t="s">
        <v>122</v>
      </c>
      <c r="P47" s="1" t="s">
        <v>123</v>
      </c>
      <c r="AF47" s="1" t="s">
        <v>124</v>
      </c>
      <c r="AG47" t="s">
        <v>223</v>
      </c>
      <c r="AH47">
        <v>2012</v>
      </c>
      <c r="AI47" t="s">
        <v>148</v>
      </c>
      <c r="AJ47" t="s">
        <v>793</v>
      </c>
      <c r="AK47" t="s">
        <v>151</v>
      </c>
      <c r="AL47" t="s">
        <v>151</v>
      </c>
      <c r="AM47" t="s">
        <v>129</v>
      </c>
      <c r="AN47" t="s">
        <v>129</v>
      </c>
      <c r="AO47" t="s">
        <v>128</v>
      </c>
      <c r="AP47">
        <v>3</v>
      </c>
      <c r="AQ47" t="s">
        <v>131</v>
      </c>
      <c r="AR47" t="s">
        <v>302</v>
      </c>
      <c r="AS47" t="s">
        <v>386</v>
      </c>
      <c r="AT47" t="s">
        <v>794</v>
      </c>
      <c r="AU47" t="s">
        <v>780</v>
      </c>
      <c r="AV47" t="s">
        <v>157</v>
      </c>
      <c r="AX47" s="1" t="s">
        <v>123</v>
      </c>
      <c r="CR47" s="1" t="s">
        <v>123</v>
      </c>
      <c r="DB47" s="1" t="s">
        <v>123</v>
      </c>
      <c r="DL47" s="1" t="s">
        <v>123</v>
      </c>
      <c r="EO47" s="1" t="s">
        <v>123</v>
      </c>
      <c r="FO47" s="1" t="s">
        <v>123</v>
      </c>
      <c r="FP47" t="s">
        <v>132</v>
      </c>
      <c r="GW47" t="s">
        <v>786</v>
      </c>
      <c r="GX47" t="s">
        <v>787</v>
      </c>
      <c r="GY47" t="s">
        <v>788</v>
      </c>
      <c r="GZ47" t="s">
        <v>186</v>
      </c>
      <c r="HA47">
        <v>1987</v>
      </c>
      <c r="HB47" t="s">
        <v>141</v>
      </c>
      <c r="HD47" t="s">
        <v>795</v>
      </c>
    </row>
    <row r="48" spans="1:214" x14ac:dyDescent="0.45">
      <c r="A48">
        <v>78</v>
      </c>
      <c r="B48">
        <f>_xlfn.IFNA(VLOOKUP(Analiza[[#This Row],[Zakończono wypełnianie]],Zakończone[],2,0),"BRAK")</f>
        <v>44</v>
      </c>
      <c r="C48">
        <f t="shared" si="1"/>
        <v>34</v>
      </c>
      <c r="D48" t="s">
        <v>796</v>
      </c>
      <c r="E48" t="s">
        <v>118</v>
      </c>
      <c r="F48" t="s">
        <v>797</v>
      </c>
      <c r="J48" t="s">
        <v>119</v>
      </c>
      <c r="K48" t="s">
        <v>798</v>
      </c>
      <c r="L48" t="s">
        <v>799</v>
      </c>
      <c r="M48">
        <v>2364</v>
      </c>
      <c r="N48">
        <v>0</v>
      </c>
      <c r="O48" t="s">
        <v>122</v>
      </c>
      <c r="P48" s="1" t="s">
        <v>123</v>
      </c>
      <c r="AF48" s="1" t="s">
        <v>124</v>
      </c>
      <c r="AG48" t="s">
        <v>800</v>
      </c>
      <c r="AH48">
        <v>2002</v>
      </c>
      <c r="AI48" t="s">
        <v>126</v>
      </c>
      <c r="AJ48" t="s">
        <v>801</v>
      </c>
      <c r="AK48" t="s">
        <v>150</v>
      </c>
      <c r="AL48" t="s">
        <v>162</v>
      </c>
      <c r="AM48" t="s">
        <v>151</v>
      </c>
      <c r="AN48" t="s">
        <v>129</v>
      </c>
      <c r="AO48" t="s">
        <v>236</v>
      </c>
      <c r="AP48">
        <v>3</v>
      </c>
      <c r="AQ48" t="s">
        <v>152</v>
      </c>
      <c r="AR48" t="s">
        <v>152</v>
      </c>
      <c r="AS48" t="s">
        <v>802</v>
      </c>
      <c r="AT48" t="s">
        <v>803</v>
      </c>
      <c r="AU48" t="s">
        <v>804</v>
      </c>
      <c r="AV48" t="s">
        <v>157</v>
      </c>
      <c r="AX48" s="1" t="s">
        <v>123</v>
      </c>
      <c r="CR48" s="1" t="s">
        <v>123</v>
      </c>
      <c r="DB48" s="1" t="s">
        <v>123</v>
      </c>
      <c r="DL48" s="1" t="s">
        <v>123</v>
      </c>
      <c r="EO48" s="1" t="s">
        <v>123</v>
      </c>
      <c r="FO48" s="1" t="s">
        <v>123</v>
      </c>
      <c r="FP48" t="s">
        <v>132</v>
      </c>
      <c r="GW48" t="s">
        <v>805</v>
      </c>
      <c r="GX48" t="s">
        <v>806</v>
      </c>
      <c r="GY48" t="s">
        <v>807</v>
      </c>
      <c r="GZ48" t="s">
        <v>140</v>
      </c>
      <c r="HA48">
        <v>1978</v>
      </c>
      <c r="HB48" t="s">
        <v>141</v>
      </c>
      <c r="HD48" t="s">
        <v>386</v>
      </c>
      <c r="HE48" t="s">
        <v>386</v>
      </c>
    </row>
    <row r="49" spans="1:213" x14ac:dyDescent="0.45">
      <c r="A49">
        <v>80</v>
      </c>
      <c r="B49">
        <f>_xlfn.IFNA(VLOOKUP(Analiza[[#This Row],[Zakończono wypełnianie]],Zakończone[],2,0),"BRAK")</f>
        <v>45</v>
      </c>
      <c r="C49">
        <f t="shared" si="1"/>
        <v>35</v>
      </c>
      <c r="D49" t="s">
        <v>370</v>
      </c>
      <c r="E49" t="s">
        <v>118</v>
      </c>
      <c r="F49" t="s">
        <v>774</v>
      </c>
      <c r="J49" t="s">
        <v>119</v>
      </c>
      <c r="K49" t="s">
        <v>811</v>
      </c>
      <c r="L49" t="s">
        <v>812</v>
      </c>
      <c r="M49">
        <v>1671</v>
      </c>
      <c r="N49">
        <v>0</v>
      </c>
      <c r="O49" t="s">
        <v>122</v>
      </c>
      <c r="P49" s="1" t="s">
        <v>123</v>
      </c>
      <c r="AF49" s="1" t="s">
        <v>124</v>
      </c>
      <c r="AG49" t="s">
        <v>813</v>
      </c>
      <c r="AH49">
        <v>1956</v>
      </c>
      <c r="AI49" t="s">
        <v>148</v>
      </c>
      <c r="AJ49" t="s">
        <v>601</v>
      </c>
      <c r="AK49" t="s">
        <v>162</v>
      </c>
      <c r="AL49" t="s">
        <v>162</v>
      </c>
      <c r="AM49" t="s">
        <v>150</v>
      </c>
      <c r="AN49" t="s">
        <v>236</v>
      </c>
      <c r="AO49" t="s">
        <v>236</v>
      </c>
      <c r="AP49" t="s">
        <v>814</v>
      </c>
      <c r="AQ49" t="s">
        <v>131</v>
      </c>
      <c r="AR49" t="s">
        <v>131</v>
      </c>
      <c r="AT49" t="s">
        <v>815</v>
      </c>
      <c r="AU49" t="s">
        <v>816</v>
      </c>
      <c r="AV49" t="s">
        <v>172</v>
      </c>
      <c r="AW49" t="s">
        <v>817</v>
      </c>
      <c r="AX49" s="1" t="s">
        <v>123</v>
      </c>
      <c r="CR49" s="1" t="s">
        <v>123</v>
      </c>
      <c r="DB49" s="1" t="s">
        <v>123</v>
      </c>
      <c r="DL49" s="1" t="s">
        <v>123</v>
      </c>
      <c r="EO49" s="1" t="s">
        <v>123</v>
      </c>
      <c r="EP49" t="s">
        <v>180</v>
      </c>
      <c r="EQ49" t="s">
        <v>132</v>
      </c>
      <c r="FO49" s="1" t="s">
        <v>123</v>
      </c>
      <c r="FP49" t="s">
        <v>132</v>
      </c>
      <c r="FR49" t="s">
        <v>132</v>
      </c>
      <c r="GW49" t="s">
        <v>818</v>
      </c>
      <c r="GX49" t="s">
        <v>819</v>
      </c>
      <c r="GY49" t="s">
        <v>820</v>
      </c>
      <c r="GZ49" t="s">
        <v>140</v>
      </c>
      <c r="HA49">
        <v>1933</v>
      </c>
      <c r="HB49" t="s">
        <v>220</v>
      </c>
    </row>
    <row r="50" spans="1:213" x14ac:dyDescent="0.45">
      <c r="A50">
        <v>81</v>
      </c>
      <c r="B50">
        <f>_xlfn.IFNA(VLOOKUP(Analiza[[#This Row],[Zakończono wypełnianie]],Zakończone[],2,0),"BRAK")</f>
        <v>46</v>
      </c>
      <c r="C50">
        <f t="shared" si="1"/>
        <v>31</v>
      </c>
      <c r="D50" t="s">
        <v>370</v>
      </c>
      <c r="E50" t="s">
        <v>118</v>
      </c>
      <c r="F50" t="s">
        <v>774</v>
      </c>
      <c r="J50" t="s">
        <v>119</v>
      </c>
      <c r="K50" t="s">
        <v>821</v>
      </c>
      <c r="L50" t="s">
        <v>822</v>
      </c>
      <c r="M50">
        <v>3447</v>
      </c>
      <c r="N50">
        <v>0</v>
      </c>
      <c r="O50" t="s">
        <v>122</v>
      </c>
      <c r="P50" s="1" t="s">
        <v>123</v>
      </c>
      <c r="AF50" s="1" t="s">
        <v>124</v>
      </c>
      <c r="AG50" t="s">
        <v>813</v>
      </c>
      <c r="AH50">
        <v>1960</v>
      </c>
      <c r="AI50" t="s">
        <v>148</v>
      </c>
      <c r="AJ50" t="s">
        <v>823</v>
      </c>
      <c r="AK50" t="s">
        <v>150</v>
      </c>
      <c r="AL50" t="s">
        <v>150</v>
      </c>
      <c r="AM50" t="s">
        <v>151</v>
      </c>
      <c r="AN50" t="s">
        <v>236</v>
      </c>
      <c r="AO50" t="s">
        <v>236</v>
      </c>
      <c r="AP50" t="s">
        <v>814</v>
      </c>
      <c r="AQ50" t="s">
        <v>131</v>
      </c>
      <c r="AR50" t="s">
        <v>131</v>
      </c>
      <c r="AT50" t="s">
        <v>824</v>
      </c>
      <c r="AU50" t="s">
        <v>825</v>
      </c>
      <c r="AV50" t="s">
        <v>157</v>
      </c>
      <c r="AX50" s="1" t="s">
        <v>123</v>
      </c>
      <c r="CR50" s="1" t="s">
        <v>123</v>
      </c>
      <c r="DB50" s="1" t="s">
        <v>123</v>
      </c>
      <c r="DL50" s="1" t="s">
        <v>123</v>
      </c>
      <c r="EO50" s="1" t="s">
        <v>123</v>
      </c>
      <c r="FO50" s="1" t="s">
        <v>123</v>
      </c>
      <c r="FP50" t="s">
        <v>132</v>
      </c>
      <c r="GW50" t="s">
        <v>826</v>
      </c>
      <c r="GX50" t="s">
        <v>824</v>
      </c>
      <c r="GY50" t="s">
        <v>827</v>
      </c>
      <c r="GZ50" t="s">
        <v>186</v>
      </c>
      <c r="HA50">
        <v>1934</v>
      </c>
      <c r="HB50" t="s">
        <v>220</v>
      </c>
    </row>
    <row r="51" spans="1:213" x14ac:dyDescent="0.45">
      <c r="A51">
        <v>82</v>
      </c>
      <c r="B51">
        <f>_xlfn.IFNA(VLOOKUP(Analiza[[#This Row],[Zakończono wypełnianie]],Zakończone[],2,0),"BRAK")</f>
        <v>47</v>
      </c>
      <c r="C51">
        <f t="shared" si="1"/>
        <v>28</v>
      </c>
      <c r="D51" t="s">
        <v>828</v>
      </c>
      <c r="E51" t="s">
        <v>118</v>
      </c>
      <c r="J51" t="s">
        <v>119</v>
      </c>
      <c r="K51" t="s">
        <v>829</v>
      </c>
      <c r="L51" t="s">
        <v>830</v>
      </c>
      <c r="M51">
        <v>3349</v>
      </c>
      <c r="N51">
        <v>0</v>
      </c>
      <c r="O51" t="s">
        <v>122</v>
      </c>
      <c r="P51" s="1" t="s">
        <v>123</v>
      </c>
      <c r="AF51" s="1" t="s">
        <v>123</v>
      </c>
      <c r="AX51" s="1" t="s">
        <v>123</v>
      </c>
      <c r="CR51" s="1" t="s">
        <v>123</v>
      </c>
      <c r="DB51" s="1" t="s">
        <v>123</v>
      </c>
      <c r="DL51" s="1" t="s">
        <v>123</v>
      </c>
      <c r="EO51" s="1" t="s">
        <v>177</v>
      </c>
      <c r="EP51" t="s">
        <v>178</v>
      </c>
      <c r="EQ51">
        <v>1</v>
      </c>
      <c r="ER51" t="s">
        <v>191</v>
      </c>
      <c r="ES51" t="s">
        <v>162</v>
      </c>
      <c r="ET51" t="s">
        <v>162</v>
      </c>
      <c r="EU51" t="s">
        <v>128</v>
      </c>
      <c r="EV51" t="s">
        <v>178</v>
      </c>
      <c r="EW51" t="s">
        <v>831</v>
      </c>
      <c r="EX51" t="s">
        <v>832</v>
      </c>
      <c r="EY51" t="s">
        <v>173</v>
      </c>
      <c r="FO51" s="1" t="s">
        <v>123</v>
      </c>
      <c r="FP51" t="s">
        <v>132</v>
      </c>
      <c r="FR51" t="s">
        <v>132</v>
      </c>
      <c r="GW51" t="s">
        <v>833</v>
      </c>
      <c r="GX51" t="s">
        <v>834</v>
      </c>
      <c r="GY51" t="s">
        <v>835</v>
      </c>
      <c r="GZ51" t="s">
        <v>140</v>
      </c>
      <c r="HA51">
        <v>1977</v>
      </c>
      <c r="HB51" t="s">
        <v>398</v>
      </c>
      <c r="HD51" t="s">
        <v>836</v>
      </c>
    </row>
    <row r="52" spans="1:213" x14ac:dyDescent="0.45">
      <c r="A52">
        <v>83</v>
      </c>
      <c r="B52">
        <f>_xlfn.IFNA(VLOOKUP(Analiza[[#This Row],[Zakończono wypełnianie]],Zakończone[],2,0),"BRAK")</f>
        <v>48</v>
      </c>
      <c r="C52">
        <f t="shared" si="1"/>
        <v>75</v>
      </c>
      <c r="D52" t="s">
        <v>837</v>
      </c>
      <c r="E52" t="s">
        <v>118</v>
      </c>
      <c r="J52" t="s">
        <v>119</v>
      </c>
      <c r="K52" t="s">
        <v>838</v>
      </c>
      <c r="L52" t="s">
        <v>839</v>
      </c>
      <c r="M52">
        <v>3312</v>
      </c>
      <c r="N52">
        <v>0</v>
      </c>
      <c r="O52" t="s">
        <v>122</v>
      </c>
      <c r="P52" s="1" t="s">
        <v>123</v>
      </c>
      <c r="AF52" s="1" t="s">
        <v>124</v>
      </c>
      <c r="AG52" t="s">
        <v>191</v>
      </c>
      <c r="AH52">
        <v>1978</v>
      </c>
      <c r="AI52" t="s">
        <v>126</v>
      </c>
      <c r="AJ52" t="s">
        <v>841</v>
      </c>
      <c r="AK52" t="s">
        <v>169</v>
      </c>
      <c r="AL52" t="s">
        <v>169</v>
      </c>
      <c r="AM52" t="s">
        <v>151</v>
      </c>
      <c r="AN52" t="s">
        <v>150</v>
      </c>
      <c r="AO52" t="s">
        <v>150</v>
      </c>
      <c r="AP52">
        <v>2</v>
      </c>
      <c r="AQ52" t="s">
        <v>302</v>
      </c>
      <c r="AR52" t="s">
        <v>226</v>
      </c>
      <c r="AS52" t="s">
        <v>842</v>
      </c>
      <c r="AT52" t="s">
        <v>843</v>
      </c>
      <c r="AU52" t="s">
        <v>386</v>
      </c>
      <c r="AV52" t="s">
        <v>157</v>
      </c>
      <c r="AX52" s="1" t="s">
        <v>159</v>
      </c>
      <c r="AY52">
        <v>2</v>
      </c>
      <c r="AZ52" t="s">
        <v>191</v>
      </c>
      <c r="BA52">
        <v>2005</v>
      </c>
      <c r="BB52" t="s">
        <v>126</v>
      </c>
      <c r="BC52" t="s">
        <v>844</v>
      </c>
      <c r="BD52" t="s">
        <v>150</v>
      </c>
      <c r="BE52" t="s">
        <v>150</v>
      </c>
      <c r="BF52" t="s">
        <v>169</v>
      </c>
      <c r="BG52" t="s">
        <v>162</v>
      </c>
      <c r="BH52" t="s">
        <v>162</v>
      </c>
      <c r="BI52">
        <v>3</v>
      </c>
      <c r="BJ52" t="s">
        <v>845</v>
      </c>
      <c r="BK52" t="s">
        <v>157</v>
      </c>
      <c r="BM52" t="s">
        <v>148</v>
      </c>
      <c r="BN52" t="s">
        <v>166</v>
      </c>
      <c r="BO52" t="s">
        <v>191</v>
      </c>
      <c r="BP52">
        <v>2007</v>
      </c>
      <c r="BQ52" t="s">
        <v>126</v>
      </c>
      <c r="BR52" t="s">
        <v>844</v>
      </c>
      <c r="BS52" t="s">
        <v>150</v>
      </c>
      <c r="BT52" t="s">
        <v>150</v>
      </c>
      <c r="BU52" t="s">
        <v>150</v>
      </c>
      <c r="BV52" t="s">
        <v>162</v>
      </c>
      <c r="BW52" t="s">
        <v>162</v>
      </c>
      <c r="BX52">
        <v>3</v>
      </c>
      <c r="BY52" t="s">
        <v>148</v>
      </c>
      <c r="BZ52" t="s">
        <v>157</v>
      </c>
      <c r="CB52" t="s">
        <v>148</v>
      </c>
      <c r="CC52" t="s">
        <v>173</v>
      </c>
      <c r="CR52" s="1" t="s">
        <v>123</v>
      </c>
      <c r="DB52" s="1" t="s">
        <v>214</v>
      </c>
      <c r="DC52" t="s">
        <v>2275</v>
      </c>
      <c r="DD52" t="s">
        <v>2276</v>
      </c>
      <c r="DE52" t="s">
        <v>150</v>
      </c>
      <c r="DF52" t="s">
        <v>150</v>
      </c>
      <c r="DG52" t="s">
        <v>150</v>
      </c>
      <c r="DH52" t="s">
        <v>150</v>
      </c>
      <c r="DI52" t="s">
        <v>150</v>
      </c>
      <c r="DJ52" t="s">
        <v>162</v>
      </c>
      <c r="DK52" t="s">
        <v>848</v>
      </c>
      <c r="DL52" s="1" t="s">
        <v>123</v>
      </c>
      <c r="EO52" s="1" t="s">
        <v>123</v>
      </c>
      <c r="EP52" t="s">
        <v>180</v>
      </c>
      <c r="EQ52" t="s">
        <v>132</v>
      </c>
      <c r="FO52" s="1" t="s">
        <v>123</v>
      </c>
      <c r="FP52" t="s">
        <v>132</v>
      </c>
      <c r="FR52" t="s">
        <v>132</v>
      </c>
      <c r="GW52" t="s">
        <v>849</v>
      </c>
      <c r="GX52" t="s">
        <v>850</v>
      </c>
      <c r="GY52" t="s">
        <v>851</v>
      </c>
      <c r="GZ52" t="s">
        <v>186</v>
      </c>
      <c r="HA52">
        <v>1954</v>
      </c>
      <c r="HB52" t="s">
        <v>141</v>
      </c>
      <c r="HD52" t="s">
        <v>852</v>
      </c>
      <c r="HE52" t="s">
        <v>853</v>
      </c>
    </row>
    <row r="53" spans="1:213" x14ac:dyDescent="0.45">
      <c r="A53">
        <v>84</v>
      </c>
      <c r="B53">
        <f>_xlfn.IFNA(VLOOKUP(Analiza[[#This Row],[Zakończono wypełnianie]],Zakończone[],2,0),"BRAK")</f>
        <v>49</v>
      </c>
      <c r="C53">
        <f t="shared" si="1"/>
        <v>49</v>
      </c>
      <c r="D53" t="s">
        <v>854</v>
      </c>
      <c r="E53" t="s">
        <v>118</v>
      </c>
      <c r="J53" t="s">
        <v>119</v>
      </c>
      <c r="K53" t="s">
        <v>855</v>
      </c>
      <c r="L53" t="s">
        <v>856</v>
      </c>
      <c r="M53">
        <v>1349</v>
      </c>
      <c r="N53">
        <v>0</v>
      </c>
      <c r="O53" t="s">
        <v>122</v>
      </c>
      <c r="P53" s="1" t="s">
        <v>416</v>
      </c>
      <c r="Q53" t="s">
        <v>179</v>
      </c>
      <c r="R53" t="s">
        <v>148</v>
      </c>
      <c r="S53" t="s">
        <v>857</v>
      </c>
      <c r="T53" t="s">
        <v>162</v>
      </c>
      <c r="U53" t="s">
        <v>162</v>
      </c>
      <c r="V53" t="s">
        <v>151</v>
      </c>
      <c r="W53" t="s">
        <v>718</v>
      </c>
      <c r="X53" t="s">
        <v>152</v>
      </c>
      <c r="Y53" t="s">
        <v>759</v>
      </c>
      <c r="Z53" t="s">
        <v>858</v>
      </c>
      <c r="AA53" t="s">
        <v>859</v>
      </c>
      <c r="AB53" t="s">
        <v>860</v>
      </c>
      <c r="AD53" t="s">
        <v>861</v>
      </c>
      <c r="AE53">
        <v>2</v>
      </c>
      <c r="AF53" s="1" t="s">
        <v>124</v>
      </c>
      <c r="AG53" t="s">
        <v>862</v>
      </c>
      <c r="AH53">
        <v>2019</v>
      </c>
      <c r="AI53" t="s">
        <v>148</v>
      </c>
      <c r="AJ53" t="s">
        <v>863</v>
      </c>
      <c r="AK53" t="s">
        <v>150</v>
      </c>
      <c r="AL53" t="s">
        <v>150</v>
      </c>
      <c r="AM53" t="s">
        <v>169</v>
      </c>
      <c r="AN53" t="s">
        <v>151</v>
      </c>
      <c r="AO53" t="s">
        <v>150</v>
      </c>
      <c r="AP53" t="s">
        <v>864</v>
      </c>
      <c r="AQ53" t="s">
        <v>302</v>
      </c>
      <c r="AR53" t="s">
        <v>759</v>
      </c>
      <c r="AS53" t="s">
        <v>865</v>
      </c>
      <c r="AT53" t="s">
        <v>866</v>
      </c>
      <c r="AU53" t="s">
        <v>867</v>
      </c>
      <c r="AV53" t="s">
        <v>157</v>
      </c>
      <c r="AX53" s="1" t="s">
        <v>123</v>
      </c>
      <c r="CR53" s="1" t="s">
        <v>123</v>
      </c>
      <c r="DB53" s="1" t="s">
        <v>123</v>
      </c>
      <c r="DL53" s="1" t="s">
        <v>123</v>
      </c>
      <c r="EO53" s="1" t="s">
        <v>123</v>
      </c>
      <c r="FO53" s="1" t="s">
        <v>123</v>
      </c>
      <c r="FP53" t="s">
        <v>132</v>
      </c>
      <c r="GW53" t="s">
        <v>868</v>
      </c>
      <c r="GX53" t="s">
        <v>869</v>
      </c>
      <c r="GY53" t="s">
        <v>870</v>
      </c>
      <c r="GZ53" t="s">
        <v>186</v>
      </c>
      <c r="HA53">
        <v>1991</v>
      </c>
      <c r="HB53" t="s">
        <v>220</v>
      </c>
      <c r="HC53" t="s">
        <v>871</v>
      </c>
      <c r="HD53" t="s">
        <v>872</v>
      </c>
      <c r="HE53" t="s">
        <v>386</v>
      </c>
    </row>
    <row r="54" spans="1:213" x14ac:dyDescent="0.45">
      <c r="A54">
        <v>85</v>
      </c>
      <c r="B54">
        <f>_xlfn.IFNA(VLOOKUP(Analiza[[#This Row],[Zakończono wypełnianie]],Zakończone[],2,0),"BRAK")</f>
        <v>50</v>
      </c>
      <c r="C54">
        <f t="shared" si="1"/>
        <v>34</v>
      </c>
      <c r="D54" t="s">
        <v>873</v>
      </c>
      <c r="E54" t="s">
        <v>118</v>
      </c>
      <c r="F54" t="s">
        <v>797</v>
      </c>
      <c r="J54" t="s">
        <v>119</v>
      </c>
      <c r="K54" t="s">
        <v>874</v>
      </c>
      <c r="L54" t="s">
        <v>875</v>
      </c>
      <c r="M54">
        <v>1971</v>
      </c>
      <c r="N54">
        <v>0</v>
      </c>
      <c r="O54" t="s">
        <v>122</v>
      </c>
      <c r="P54" s="1" t="s">
        <v>123</v>
      </c>
      <c r="AF54" s="1" t="s">
        <v>124</v>
      </c>
      <c r="AG54" t="s">
        <v>223</v>
      </c>
      <c r="AH54">
        <v>2012</v>
      </c>
      <c r="AI54" t="s">
        <v>148</v>
      </c>
      <c r="AJ54" t="s">
        <v>876</v>
      </c>
      <c r="AK54" t="s">
        <v>150</v>
      </c>
      <c r="AL54" t="s">
        <v>162</v>
      </c>
      <c r="AM54" t="s">
        <v>128</v>
      </c>
      <c r="AN54" t="s">
        <v>236</v>
      </c>
      <c r="AO54" t="s">
        <v>151</v>
      </c>
      <c r="AP54">
        <v>2</v>
      </c>
      <c r="AQ54" t="s">
        <v>131</v>
      </c>
      <c r="AR54" t="s">
        <v>153</v>
      </c>
      <c r="AS54" t="s">
        <v>877</v>
      </c>
      <c r="AT54" t="s">
        <v>532</v>
      </c>
      <c r="AU54" t="s">
        <v>532</v>
      </c>
      <c r="AV54" t="s">
        <v>157</v>
      </c>
      <c r="AW54" t="s">
        <v>878</v>
      </c>
      <c r="AX54" s="1" t="s">
        <v>123</v>
      </c>
      <c r="CR54" s="1" t="s">
        <v>123</v>
      </c>
      <c r="DB54" s="1" t="s">
        <v>123</v>
      </c>
      <c r="DL54" s="1" t="s">
        <v>123</v>
      </c>
      <c r="EO54" s="1" t="s">
        <v>123</v>
      </c>
      <c r="FO54" s="1" t="s">
        <v>123</v>
      </c>
      <c r="FP54" t="s">
        <v>132</v>
      </c>
      <c r="GW54" t="s">
        <v>532</v>
      </c>
      <c r="GX54" t="s">
        <v>532</v>
      </c>
      <c r="GY54" t="s">
        <v>532</v>
      </c>
      <c r="GZ54" t="s">
        <v>186</v>
      </c>
      <c r="HA54">
        <v>1988</v>
      </c>
      <c r="HB54" t="s">
        <v>246</v>
      </c>
      <c r="HE54" t="s">
        <v>879</v>
      </c>
    </row>
    <row r="55" spans="1:213" x14ac:dyDescent="0.45">
      <c r="A55">
        <v>86</v>
      </c>
      <c r="B55">
        <f>_xlfn.IFNA(VLOOKUP(Analiza[[#This Row],[Zakończono wypełnianie]],Zakończone[],2,0),"BRAK")</f>
        <v>51</v>
      </c>
      <c r="C55">
        <f t="shared" si="1"/>
        <v>43</v>
      </c>
      <c r="D55" t="s">
        <v>873</v>
      </c>
      <c r="E55" t="s">
        <v>118</v>
      </c>
      <c r="F55" t="s">
        <v>797</v>
      </c>
      <c r="J55" t="s">
        <v>119</v>
      </c>
      <c r="K55" t="s">
        <v>880</v>
      </c>
      <c r="L55" t="s">
        <v>881</v>
      </c>
      <c r="M55">
        <v>2138</v>
      </c>
      <c r="N55">
        <v>0</v>
      </c>
      <c r="O55" t="s">
        <v>122</v>
      </c>
      <c r="P55" s="1" t="s">
        <v>123</v>
      </c>
      <c r="AF55" s="1" t="s">
        <v>124</v>
      </c>
      <c r="AG55" t="s">
        <v>191</v>
      </c>
      <c r="AH55">
        <v>2005</v>
      </c>
      <c r="AI55" t="s">
        <v>126</v>
      </c>
      <c r="AJ55" t="s">
        <v>882</v>
      </c>
      <c r="AK55" t="s">
        <v>162</v>
      </c>
      <c r="AL55" t="s">
        <v>162</v>
      </c>
      <c r="AM55" t="s">
        <v>162</v>
      </c>
      <c r="AN55" t="s">
        <v>236</v>
      </c>
      <c r="AO55" t="s">
        <v>128</v>
      </c>
      <c r="AP55" t="s">
        <v>883</v>
      </c>
      <c r="AQ55" t="s">
        <v>131</v>
      </c>
      <c r="AR55" t="s">
        <v>302</v>
      </c>
      <c r="AS55" t="s">
        <v>884</v>
      </c>
      <c r="AT55" t="s">
        <v>532</v>
      </c>
      <c r="AU55" t="s">
        <v>532</v>
      </c>
      <c r="AV55" t="s">
        <v>157</v>
      </c>
      <c r="AW55" t="s">
        <v>878</v>
      </c>
      <c r="AX55" s="1" t="s">
        <v>123</v>
      </c>
      <c r="CR55" s="1" t="s">
        <v>123</v>
      </c>
      <c r="DB55" s="1" t="s">
        <v>123</v>
      </c>
      <c r="DL55" s="1" t="s">
        <v>123</v>
      </c>
      <c r="EO55" s="1" t="s">
        <v>177</v>
      </c>
      <c r="EP55" t="s">
        <v>178</v>
      </c>
      <c r="EQ55">
        <v>1</v>
      </c>
      <c r="ER55" t="s">
        <v>747</v>
      </c>
      <c r="ES55" t="s">
        <v>162</v>
      </c>
      <c r="ET55" t="s">
        <v>162</v>
      </c>
      <c r="EU55" t="s">
        <v>151</v>
      </c>
      <c r="EV55" t="s">
        <v>178</v>
      </c>
      <c r="EW55" t="s">
        <v>885</v>
      </c>
      <c r="EX55" t="s">
        <v>886</v>
      </c>
      <c r="EY55" t="s">
        <v>173</v>
      </c>
      <c r="FO55" s="1" t="s">
        <v>123</v>
      </c>
      <c r="FP55" t="s">
        <v>132</v>
      </c>
      <c r="GW55" t="s">
        <v>887</v>
      </c>
      <c r="GX55" t="s">
        <v>532</v>
      </c>
      <c r="GY55" t="s">
        <v>532</v>
      </c>
      <c r="GZ55" t="s">
        <v>140</v>
      </c>
      <c r="HA55">
        <v>1981</v>
      </c>
      <c r="HB55" t="s">
        <v>141</v>
      </c>
    </row>
    <row r="56" spans="1:213" x14ac:dyDescent="0.45">
      <c r="A56">
        <v>87</v>
      </c>
      <c r="B56">
        <f>_xlfn.IFNA(VLOOKUP(Analiza[[#This Row],[Zakończono wypełnianie]],Zakończone[],2,0),"BRAK")</f>
        <v>52</v>
      </c>
      <c r="C56">
        <f t="shared" si="1"/>
        <v>45</v>
      </c>
      <c r="D56" t="s">
        <v>873</v>
      </c>
      <c r="E56" t="s">
        <v>118</v>
      </c>
      <c r="F56" t="s">
        <v>797</v>
      </c>
      <c r="J56" t="s">
        <v>119</v>
      </c>
      <c r="K56" t="s">
        <v>888</v>
      </c>
      <c r="L56" t="s">
        <v>889</v>
      </c>
      <c r="M56">
        <v>1595</v>
      </c>
      <c r="N56">
        <v>0</v>
      </c>
      <c r="O56" t="s">
        <v>122</v>
      </c>
      <c r="P56" s="1" t="s">
        <v>123</v>
      </c>
      <c r="AF56" s="1" t="s">
        <v>124</v>
      </c>
      <c r="AG56" t="s">
        <v>191</v>
      </c>
      <c r="AH56">
        <v>1975</v>
      </c>
      <c r="AI56" t="s">
        <v>126</v>
      </c>
      <c r="AJ56" t="s">
        <v>890</v>
      </c>
      <c r="AK56" t="s">
        <v>150</v>
      </c>
      <c r="AL56" t="s">
        <v>162</v>
      </c>
      <c r="AM56" t="s">
        <v>128</v>
      </c>
      <c r="AN56" t="s">
        <v>169</v>
      </c>
      <c r="AO56" t="s">
        <v>169</v>
      </c>
      <c r="AP56" t="s">
        <v>883</v>
      </c>
      <c r="AQ56" t="s">
        <v>194</v>
      </c>
      <c r="AR56" t="s">
        <v>194</v>
      </c>
      <c r="AS56" t="s">
        <v>891</v>
      </c>
      <c r="AT56" t="s">
        <v>532</v>
      </c>
      <c r="AU56" t="s">
        <v>532</v>
      </c>
      <c r="AV56" t="s">
        <v>892</v>
      </c>
      <c r="AX56" s="1" t="s">
        <v>159</v>
      </c>
      <c r="AY56">
        <v>1</v>
      </c>
      <c r="AZ56" t="s">
        <v>893</v>
      </c>
      <c r="BA56">
        <v>2002</v>
      </c>
      <c r="BB56" t="s">
        <v>126</v>
      </c>
      <c r="BC56" t="s">
        <v>801</v>
      </c>
      <c r="BD56" t="s">
        <v>150</v>
      </c>
      <c r="BE56" t="s">
        <v>150</v>
      </c>
      <c r="BF56" t="s">
        <v>150</v>
      </c>
      <c r="BG56" t="s">
        <v>236</v>
      </c>
      <c r="BH56" t="s">
        <v>128</v>
      </c>
      <c r="BI56">
        <v>3</v>
      </c>
      <c r="BK56" t="s">
        <v>157</v>
      </c>
      <c r="BN56" t="s">
        <v>173</v>
      </c>
      <c r="CR56" s="1" t="s">
        <v>123</v>
      </c>
      <c r="DB56" s="1" t="s">
        <v>123</v>
      </c>
      <c r="DL56" s="1" t="s">
        <v>123</v>
      </c>
      <c r="EO56" s="1" t="s">
        <v>123</v>
      </c>
      <c r="FO56" s="1" t="s">
        <v>123</v>
      </c>
      <c r="FP56" t="s">
        <v>132</v>
      </c>
      <c r="GW56" t="s">
        <v>532</v>
      </c>
      <c r="GX56" t="s">
        <v>532</v>
      </c>
      <c r="GY56" t="s">
        <v>532</v>
      </c>
      <c r="GZ56" t="s">
        <v>186</v>
      </c>
      <c r="HA56">
        <v>1950</v>
      </c>
      <c r="HB56" t="s">
        <v>141</v>
      </c>
    </row>
    <row r="57" spans="1:213" x14ac:dyDescent="0.45">
      <c r="A57">
        <v>88</v>
      </c>
      <c r="B57">
        <f>_xlfn.IFNA(VLOOKUP(Analiza[[#This Row],[Zakończono wypełnianie]],Zakończone[],2,0),"BRAK")</f>
        <v>53</v>
      </c>
      <c r="C57">
        <f t="shared" si="1"/>
        <v>46</v>
      </c>
      <c r="D57" t="s">
        <v>873</v>
      </c>
      <c r="E57" t="s">
        <v>118</v>
      </c>
      <c r="F57" t="s">
        <v>797</v>
      </c>
      <c r="J57" t="s">
        <v>119</v>
      </c>
      <c r="K57" t="s">
        <v>895</v>
      </c>
      <c r="L57" t="s">
        <v>896</v>
      </c>
      <c r="M57">
        <v>1418</v>
      </c>
      <c r="N57">
        <v>0</v>
      </c>
      <c r="O57" t="s">
        <v>122</v>
      </c>
      <c r="P57" s="1" t="s">
        <v>123</v>
      </c>
      <c r="AF57" s="1" t="s">
        <v>124</v>
      </c>
      <c r="AG57" t="s">
        <v>191</v>
      </c>
      <c r="AH57">
        <v>1975</v>
      </c>
      <c r="AI57" t="s">
        <v>126</v>
      </c>
      <c r="AJ57" t="s">
        <v>897</v>
      </c>
      <c r="AK57" t="s">
        <v>150</v>
      </c>
      <c r="AL57" t="s">
        <v>162</v>
      </c>
      <c r="AM57" t="s">
        <v>150</v>
      </c>
      <c r="AN57" t="s">
        <v>162</v>
      </c>
      <c r="AO57" t="s">
        <v>162</v>
      </c>
      <c r="AP57" t="s">
        <v>898</v>
      </c>
      <c r="AQ57" t="s">
        <v>153</v>
      </c>
      <c r="AR57" t="s">
        <v>153</v>
      </c>
      <c r="AT57" t="s">
        <v>532</v>
      </c>
      <c r="AU57" t="s">
        <v>532</v>
      </c>
      <c r="AV57" t="s">
        <v>157</v>
      </c>
      <c r="AX57" s="1" t="s">
        <v>159</v>
      </c>
      <c r="AY57">
        <v>1</v>
      </c>
      <c r="AZ57" t="s">
        <v>191</v>
      </c>
      <c r="BA57">
        <v>2011</v>
      </c>
      <c r="BB57" t="s">
        <v>126</v>
      </c>
      <c r="BC57" t="s">
        <v>127</v>
      </c>
      <c r="BD57" t="s">
        <v>162</v>
      </c>
      <c r="BE57" t="s">
        <v>150</v>
      </c>
      <c r="BF57" t="s">
        <v>236</v>
      </c>
      <c r="BG57" t="s">
        <v>132</v>
      </c>
      <c r="BH57" t="s">
        <v>132</v>
      </c>
      <c r="BI57" t="s">
        <v>900</v>
      </c>
      <c r="BJ57" t="s">
        <v>901</v>
      </c>
      <c r="BK57" t="s">
        <v>157</v>
      </c>
      <c r="BL57" t="s">
        <v>878</v>
      </c>
      <c r="BN57" t="s">
        <v>173</v>
      </c>
      <c r="CR57" s="1" t="s">
        <v>123</v>
      </c>
      <c r="DB57" s="1" t="s">
        <v>123</v>
      </c>
      <c r="DL57" s="1" t="s">
        <v>123</v>
      </c>
      <c r="EO57" s="1" t="s">
        <v>123</v>
      </c>
      <c r="FO57" s="1" t="s">
        <v>123</v>
      </c>
      <c r="FP57" t="s">
        <v>132</v>
      </c>
      <c r="GW57" t="s">
        <v>532</v>
      </c>
      <c r="GX57" t="s">
        <v>532</v>
      </c>
      <c r="GY57" t="s">
        <v>532</v>
      </c>
      <c r="GZ57" t="s">
        <v>140</v>
      </c>
      <c r="HA57">
        <v>1950</v>
      </c>
      <c r="HB57" t="s">
        <v>141</v>
      </c>
    </row>
    <row r="58" spans="1:213" x14ac:dyDescent="0.45">
      <c r="A58">
        <v>89</v>
      </c>
      <c r="B58">
        <f>_xlfn.IFNA(VLOOKUP(Analiza[[#This Row],[Zakończono wypełnianie]],Zakończone[],2,0),"BRAK")</f>
        <v>54</v>
      </c>
      <c r="C58">
        <f t="shared" si="1"/>
        <v>35</v>
      </c>
      <c r="D58" t="s">
        <v>902</v>
      </c>
      <c r="E58" t="s">
        <v>118</v>
      </c>
      <c r="J58" t="s">
        <v>119</v>
      </c>
      <c r="K58" t="s">
        <v>903</v>
      </c>
      <c r="L58" t="s">
        <v>904</v>
      </c>
      <c r="M58">
        <v>255</v>
      </c>
      <c r="N58">
        <v>0</v>
      </c>
      <c r="O58" t="s">
        <v>122</v>
      </c>
      <c r="P58" s="1" t="s">
        <v>123</v>
      </c>
      <c r="AF58" s="1" t="s">
        <v>124</v>
      </c>
      <c r="AG58" t="s">
        <v>191</v>
      </c>
      <c r="AH58">
        <v>2009</v>
      </c>
      <c r="AI58" t="s">
        <v>126</v>
      </c>
      <c r="AJ58" t="s">
        <v>906</v>
      </c>
      <c r="AK58" t="s">
        <v>151</v>
      </c>
      <c r="AL58" t="s">
        <v>151</v>
      </c>
      <c r="AM58" t="s">
        <v>150</v>
      </c>
      <c r="AN58" t="s">
        <v>128</v>
      </c>
      <c r="AO58" t="s">
        <v>162</v>
      </c>
      <c r="AP58" t="s">
        <v>907</v>
      </c>
      <c r="AQ58" t="s">
        <v>131</v>
      </c>
      <c r="AR58" t="s">
        <v>759</v>
      </c>
      <c r="AS58" t="s">
        <v>908</v>
      </c>
      <c r="AT58" t="s">
        <v>908</v>
      </c>
      <c r="AU58" t="s">
        <v>909</v>
      </c>
      <c r="AV58" t="s">
        <v>172</v>
      </c>
      <c r="AX58" s="1" t="s">
        <v>123</v>
      </c>
      <c r="CR58" s="1" t="s">
        <v>123</v>
      </c>
      <c r="DB58" s="1" t="s">
        <v>123</v>
      </c>
      <c r="DL58" s="1" t="s">
        <v>123</v>
      </c>
      <c r="EO58" s="1" t="s">
        <v>123</v>
      </c>
      <c r="EP58" t="s">
        <v>180</v>
      </c>
      <c r="EQ58" t="s">
        <v>132</v>
      </c>
      <c r="FO58" s="1" t="s">
        <v>123</v>
      </c>
      <c r="FP58" t="s">
        <v>132</v>
      </c>
      <c r="FR58" t="s">
        <v>132</v>
      </c>
      <c r="GW58" t="s">
        <v>910</v>
      </c>
      <c r="GX58" t="s">
        <v>911</v>
      </c>
      <c r="GY58" t="s">
        <v>912</v>
      </c>
      <c r="GZ58" t="s">
        <v>186</v>
      </c>
      <c r="HA58">
        <v>1983</v>
      </c>
      <c r="HB58" t="s">
        <v>141</v>
      </c>
    </row>
    <row r="59" spans="1:213" x14ac:dyDescent="0.45">
      <c r="A59">
        <v>91</v>
      </c>
      <c r="B59">
        <f>_xlfn.IFNA(VLOOKUP(Analiza[[#This Row],[Zakończono wypełnianie]],Zakończone[],2,0),"BRAK")</f>
        <v>55</v>
      </c>
      <c r="C59">
        <f t="shared" si="1"/>
        <v>77</v>
      </c>
      <c r="D59" t="s">
        <v>915</v>
      </c>
      <c r="E59" t="s">
        <v>118</v>
      </c>
      <c r="J59" t="s">
        <v>119</v>
      </c>
      <c r="K59" t="s">
        <v>916</v>
      </c>
      <c r="L59" t="s">
        <v>917</v>
      </c>
      <c r="M59">
        <v>76609</v>
      </c>
      <c r="N59">
        <v>0</v>
      </c>
      <c r="O59" t="s">
        <v>122</v>
      </c>
      <c r="P59" s="1" t="s">
        <v>123</v>
      </c>
      <c r="AF59" s="1" t="s">
        <v>124</v>
      </c>
      <c r="AG59" t="s">
        <v>223</v>
      </c>
      <c r="AH59">
        <v>1980</v>
      </c>
      <c r="AI59" t="s">
        <v>148</v>
      </c>
      <c r="AJ59" t="s">
        <v>919</v>
      </c>
      <c r="AK59" t="s">
        <v>169</v>
      </c>
      <c r="AL59" t="s">
        <v>169</v>
      </c>
      <c r="AM59" t="s">
        <v>150</v>
      </c>
      <c r="AN59" t="s">
        <v>128</v>
      </c>
      <c r="AO59" t="s">
        <v>128</v>
      </c>
      <c r="AP59" t="s">
        <v>920</v>
      </c>
      <c r="AQ59" t="s">
        <v>302</v>
      </c>
      <c r="AR59" t="s">
        <v>302</v>
      </c>
      <c r="AS59" t="s">
        <v>921</v>
      </c>
      <c r="AT59" t="s">
        <v>922</v>
      </c>
      <c r="AU59" t="s">
        <v>923</v>
      </c>
      <c r="AV59" t="s">
        <v>157</v>
      </c>
      <c r="AX59" s="1" t="s">
        <v>159</v>
      </c>
      <c r="AY59">
        <v>2</v>
      </c>
      <c r="AZ59" t="s">
        <v>223</v>
      </c>
      <c r="BA59">
        <v>2009</v>
      </c>
      <c r="BB59" t="s">
        <v>148</v>
      </c>
      <c r="BC59" t="s">
        <v>743</v>
      </c>
      <c r="BD59" t="s">
        <v>169</v>
      </c>
      <c r="BE59" t="s">
        <v>169</v>
      </c>
      <c r="BF59" t="s">
        <v>169</v>
      </c>
      <c r="BG59" t="s">
        <v>128</v>
      </c>
      <c r="BH59" t="s">
        <v>128</v>
      </c>
      <c r="BI59" t="s">
        <v>925</v>
      </c>
      <c r="BJ59" t="s">
        <v>926</v>
      </c>
      <c r="BK59" t="s">
        <v>157</v>
      </c>
      <c r="BM59" t="s">
        <v>927</v>
      </c>
      <c r="BN59" t="s">
        <v>173</v>
      </c>
      <c r="CR59" s="1" t="s">
        <v>387</v>
      </c>
      <c r="CS59" t="s">
        <v>223</v>
      </c>
      <c r="CT59" t="s">
        <v>928</v>
      </c>
      <c r="CU59" t="s">
        <v>169</v>
      </c>
      <c r="CV59" t="s">
        <v>162</v>
      </c>
      <c r="CW59" t="s">
        <v>128</v>
      </c>
      <c r="CX59" t="s">
        <v>169</v>
      </c>
      <c r="CY59" t="s">
        <v>169</v>
      </c>
      <c r="CZ59" t="s">
        <v>169</v>
      </c>
      <c r="DA59" t="s">
        <v>929</v>
      </c>
      <c r="DB59" s="1" t="s">
        <v>214</v>
      </c>
      <c r="DC59" t="s">
        <v>223</v>
      </c>
      <c r="DD59" t="s">
        <v>928</v>
      </c>
      <c r="DE59" t="s">
        <v>169</v>
      </c>
      <c r="DF59" t="s">
        <v>162</v>
      </c>
      <c r="DG59" t="s">
        <v>128</v>
      </c>
      <c r="DH59" t="s">
        <v>169</v>
      </c>
      <c r="DI59" t="s">
        <v>169</v>
      </c>
      <c r="DJ59" t="s">
        <v>150</v>
      </c>
      <c r="DK59" t="s">
        <v>930</v>
      </c>
      <c r="DL59" s="1" t="s">
        <v>123</v>
      </c>
      <c r="EO59" s="1" t="s">
        <v>177</v>
      </c>
      <c r="EP59" t="s">
        <v>180</v>
      </c>
      <c r="EQ59">
        <v>1</v>
      </c>
      <c r="ER59" t="s">
        <v>223</v>
      </c>
      <c r="ES59" t="s">
        <v>169</v>
      </c>
      <c r="ET59" t="s">
        <v>169</v>
      </c>
      <c r="EU59" t="s">
        <v>236</v>
      </c>
      <c r="EV59" t="s">
        <v>180</v>
      </c>
      <c r="EW59" t="s">
        <v>931</v>
      </c>
      <c r="EX59" t="s">
        <v>932</v>
      </c>
      <c r="EY59" t="s">
        <v>173</v>
      </c>
      <c r="FO59" s="1" t="s">
        <v>123</v>
      </c>
      <c r="FP59" t="s">
        <v>132</v>
      </c>
      <c r="FR59" t="s">
        <v>132</v>
      </c>
      <c r="GW59" t="s">
        <v>933</v>
      </c>
      <c r="GX59" t="s">
        <v>934</v>
      </c>
      <c r="GY59" t="s">
        <v>935</v>
      </c>
      <c r="GZ59" t="s">
        <v>140</v>
      </c>
      <c r="HA59">
        <v>1957</v>
      </c>
      <c r="HB59" t="s">
        <v>141</v>
      </c>
      <c r="HD59" t="s">
        <v>936</v>
      </c>
    </row>
    <row r="60" spans="1:213" x14ac:dyDescent="0.45">
      <c r="A60">
        <v>93</v>
      </c>
      <c r="B60">
        <f>_xlfn.IFNA(VLOOKUP(Analiza[[#This Row],[Zakończono wypełnianie]],Zakończone[],2,0),"BRAK")</f>
        <v>56</v>
      </c>
      <c r="C60">
        <f t="shared" si="1"/>
        <v>46</v>
      </c>
      <c r="D60" t="s">
        <v>938</v>
      </c>
      <c r="E60" t="s">
        <v>118</v>
      </c>
      <c r="J60" t="s">
        <v>119</v>
      </c>
      <c r="K60" t="s">
        <v>939</v>
      </c>
      <c r="L60" t="s">
        <v>940</v>
      </c>
      <c r="M60">
        <v>451</v>
      </c>
      <c r="N60">
        <v>0</v>
      </c>
      <c r="O60" t="s">
        <v>122</v>
      </c>
      <c r="P60" s="1" t="s">
        <v>123</v>
      </c>
      <c r="AF60" s="1" t="s">
        <v>124</v>
      </c>
      <c r="AG60" t="s">
        <v>223</v>
      </c>
      <c r="AH60">
        <v>2004</v>
      </c>
      <c r="AI60" t="s">
        <v>148</v>
      </c>
      <c r="AJ60" t="s">
        <v>942</v>
      </c>
      <c r="AK60" t="s">
        <v>150</v>
      </c>
      <c r="AL60" t="s">
        <v>150</v>
      </c>
      <c r="AM60" t="s">
        <v>150</v>
      </c>
      <c r="AN60" t="s">
        <v>150</v>
      </c>
      <c r="AO60" t="s">
        <v>169</v>
      </c>
      <c r="AP60" t="s">
        <v>237</v>
      </c>
      <c r="AQ60" t="s">
        <v>302</v>
      </c>
      <c r="AR60" t="s">
        <v>943</v>
      </c>
      <c r="AS60" t="s">
        <v>944</v>
      </c>
      <c r="AT60" t="s">
        <v>945</v>
      </c>
      <c r="AU60" t="s">
        <v>946</v>
      </c>
      <c r="AV60" t="s">
        <v>157</v>
      </c>
      <c r="AX60" s="1" t="s">
        <v>123</v>
      </c>
      <c r="CR60" s="1" t="s">
        <v>123</v>
      </c>
      <c r="DB60" s="1" t="s">
        <v>123</v>
      </c>
      <c r="DL60" s="1" t="s">
        <v>123</v>
      </c>
      <c r="EO60" s="1" t="s">
        <v>177</v>
      </c>
      <c r="EP60" t="s">
        <v>178</v>
      </c>
      <c r="EQ60">
        <v>1</v>
      </c>
      <c r="ER60" t="s">
        <v>747</v>
      </c>
      <c r="ES60" t="s">
        <v>169</v>
      </c>
      <c r="ET60" t="s">
        <v>169</v>
      </c>
      <c r="EU60" t="s">
        <v>169</v>
      </c>
      <c r="EV60" t="s">
        <v>178</v>
      </c>
      <c r="EW60" t="s">
        <v>947</v>
      </c>
      <c r="EX60" t="s">
        <v>948</v>
      </c>
      <c r="EY60" t="s">
        <v>173</v>
      </c>
      <c r="FO60" s="1" t="s">
        <v>123</v>
      </c>
      <c r="FP60" t="s">
        <v>132</v>
      </c>
      <c r="FR60" t="s">
        <v>132</v>
      </c>
      <c r="GW60" t="s">
        <v>949</v>
      </c>
      <c r="GX60" t="s">
        <v>950</v>
      </c>
      <c r="GY60" t="s">
        <v>951</v>
      </c>
      <c r="GZ60" t="s">
        <v>186</v>
      </c>
      <c r="HA60">
        <v>1984</v>
      </c>
      <c r="HB60" t="s">
        <v>141</v>
      </c>
      <c r="HC60" t="s">
        <v>952</v>
      </c>
      <c r="HD60" t="s">
        <v>953</v>
      </c>
      <c r="HE60" t="s">
        <v>954</v>
      </c>
    </row>
    <row r="61" spans="1:213" x14ac:dyDescent="0.45">
      <c r="A61">
        <v>94</v>
      </c>
      <c r="B61">
        <f>_xlfn.IFNA(VLOOKUP(Analiza[[#This Row],[Zakończono wypełnianie]],Zakończone[],2,0),"BRAK")</f>
        <v>57</v>
      </c>
      <c r="C61">
        <f t="shared" si="1"/>
        <v>32</v>
      </c>
      <c r="D61" t="s">
        <v>955</v>
      </c>
      <c r="E61" t="s">
        <v>118</v>
      </c>
      <c r="F61" t="s">
        <v>774</v>
      </c>
      <c r="J61" t="s">
        <v>119</v>
      </c>
      <c r="K61" t="s">
        <v>956</v>
      </c>
      <c r="L61" t="s">
        <v>957</v>
      </c>
      <c r="M61">
        <v>1186</v>
      </c>
      <c r="N61">
        <v>0</v>
      </c>
      <c r="O61" t="s">
        <v>122</v>
      </c>
      <c r="P61" s="1" t="s">
        <v>416</v>
      </c>
      <c r="Q61" t="s">
        <v>223</v>
      </c>
      <c r="R61" t="s">
        <v>148</v>
      </c>
      <c r="S61" t="s">
        <v>958</v>
      </c>
      <c r="T61" t="s">
        <v>151</v>
      </c>
      <c r="U61" t="s">
        <v>128</v>
      </c>
      <c r="V61" t="s">
        <v>236</v>
      </c>
      <c r="W61" t="s">
        <v>959</v>
      </c>
      <c r="X61" t="s">
        <v>302</v>
      </c>
      <c r="Y61" t="s">
        <v>153</v>
      </c>
      <c r="Z61" t="s">
        <v>960</v>
      </c>
      <c r="AA61" t="s">
        <v>961</v>
      </c>
      <c r="AB61" t="s">
        <v>962</v>
      </c>
      <c r="AC61" t="s">
        <v>157</v>
      </c>
      <c r="AE61">
        <v>4</v>
      </c>
      <c r="AF61" s="1" t="s">
        <v>123</v>
      </c>
      <c r="AX61" s="1" t="s">
        <v>123</v>
      </c>
      <c r="CR61" s="1" t="s">
        <v>123</v>
      </c>
      <c r="DB61" s="1" t="s">
        <v>123</v>
      </c>
      <c r="DL61" s="1" t="s">
        <v>123</v>
      </c>
      <c r="EO61" s="1" t="s">
        <v>123</v>
      </c>
      <c r="EP61" t="s">
        <v>180</v>
      </c>
      <c r="EQ61" t="s">
        <v>132</v>
      </c>
      <c r="FO61" s="1" t="s">
        <v>123</v>
      </c>
      <c r="FP61" t="s">
        <v>132</v>
      </c>
      <c r="GW61" t="s">
        <v>826</v>
      </c>
      <c r="GX61" t="s">
        <v>824</v>
      </c>
      <c r="GY61" t="s">
        <v>820</v>
      </c>
      <c r="GZ61" t="s">
        <v>140</v>
      </c>
      <c r="HA61">
        <v>1993</v>
      </c>
      <c r="HB61" t="s">
        <v>483</v>
      </c>
    </row>
    <row r="62" spans="1:213" x14ac:dyDescent="0.45">
      <c r="A62">
        <v>95</v>
      </c>
      <c r="B62">
        <f>_xlfn.IFNA(VLOOKUP(Analiza[[#This Row],[Zakończono wypełnianie]],Zakończone[],2,0),"BRAK")</f>
        <v>58</v>
      </c>
      <c r="C62">
        <f t="shared" si="1"/>
        <v>19</v>
      </c>
      <c r="D62" t="s">
        <v>955</v>
      </c>
      <c r="E62" t="s">
        <v>118</v>
      </c>
      <c r="F62" t="s">
        <v>774</v>
      </c>
      <c r="J62" t="s">
        <v>119</v>
      </c>
      <c r="K62" t="s">
        <v>963</v>
      </c>
      <c r="L62" t="s">
        <v>964</v>
      </c>
      <c r="M62">
        <v>456</v>
      </c>
      <c r="N62">
        <v>0</v>
      </c>
      <c r="O62" t="s">
        <v>122</v>
      </c>
      <c r="P62" s="1" t="s">
        <v>123</v>
      </c>
      <c r="AF62" s="1" t="s">
        <v>123</v>
      </c>
      <c r="AX62" s="1" t="s">
        <v>123</v>
      </c>
      <c r="CR62" s="1" t="s">
        <v>123</v>
      </c>
      <c r="DB62" s="1" t="s">
        <v>123</v>
      </c>
      <c r="DL62" s="1" t="s">
        <v>123</v>
      </c>
      <c r="EO62" s="1" t="s">
        <v>123</v>
      </c>
      <c r="EP62" t="s">
        <v>178</v>
      </c>
      <c r="FO62" s="1" t="s">
        <v>123</v>
      </c>
      <c r="FP62" t="s">
        <v>132</v>
      </c>
      <c r="GW62" t="s">
        <v>818</v>
      </c>
      <c r="GX62" t="s">
        <v>824</v>
      </c>
      <c r="GY62" t="s">
        <v>788</v>
      </c>
      <c r="GZ62" t="s">
        <v>186</v>
      </c>
      <c r="HA62">
        <v>1992</v>
      </c>
      <c r="HB62" t="s">
        <v>141</v>
      </c>
      <c r="HD62" t="s">
        <v>965</v>
      </c>
      <c r="HE62" t="s">
        <v>966</v>
      </c>
    </row>
    <row r="63" spans="1:213" x14ac:dyDescent="0.45">
      <c r="A63">
        <v>96</v>
      </c>
      <c r="B63">
        <f>_xlfn.IFNA(VLOOKUP(Analiza[[#This Row],[Zakończono wypełnianie]],Zakończone[],2,0),"BRAK")</f>
        <v>59</v>
      </c>
      <c r="C63">
        <f t="shared" si="1"/>
        <v>36</v>
      </c>
      <c r="D63" t="s">
        <v>370</v>
      </c>
      <c r="E63" t="s">
        <v>118</v>
      </c>
      <c r="F63" t="s">
        <v>774</v>
      </c>
      <c r="J63" t="s">
        <v>119</v>
      </c>
      <c r="K63" t="s">
        <v>967</v>
      </c>
      <c r="L63" t="s">
        <v>968</v>
      </c>
      <c r="M63">
        <v>5160</v>
      </c>
      <c r="N63">
        <v>0</v>
      </c>
      <c r="O63" t="s">
        <v>122</v>
      </c>
      <c r="P63" s="1" t="s">
        <v>123</v>
      </c>
      <c r="AF63" s="1" t="s">
        <v>124</v>
      </c>
      <c r="AG63" t="s">
        <v>191</v>
      </c>
      <c r="AH63">
        <v>2000</v>
      </c>
      <c r="AI63" t="s">
        <v>148</v>
      </c>
      <c r="AJ63" t="s">
        <v>969</v>
      </c>
      <c r="AK63" t="s">
        <v>151</v>
      </c>
      <c r="AL63" t="s">
        <v>151</v>
      </c>
      <c r="AM63" t="s">
        <v>162</v>
      </c>
      <c r="AN63" t="s">
        <v>162</v>
      </c>
      <c r="AO63" t="s">
        <v>150</v>
      </c>
      <c r="AP63">
        <v>0</v>
      </c>
      <c r="AQ63" t="s">
        <v>153</v>
      </c>
      <c r="AR63" t="s">
        <v>226</v>
      </c>
      <c r="AS63" t="s">
        <v>802</v>
      </c>
      <c r="AT63" t="s">
        <v>824</v>
      </c>
      <c r="AU63" t="s">
        <v>780</v>
      </c>
      <c r="AV63" t="s">
        <v>230</v>
      </c>
      <c r="AW63" t="s">
        <v>970</v>
      </c>
      <c r="AX63" s="1" t="s">
        <v>123</v>
      </c>
      <c r="CR63" s="1" t="s">
        <v>123</v>
      </c>
      <c r="DB63" s="1" t="s">
        <v>123</v>
      </c>
      <c r="DL63" s="1" t="s">
        <v>123</v>
      </c>
      <c r="EO63" s="1" t="s">
        <v>123</v>
      </c>
      <c r="FO63" s="1" t="s">
        <v>123</v>
      </c>
      <c r="FP63" t="s">
        <v>132</v>
      </c>
      <c r="FR63" t="s">
        <v>132</v>
      </c>
      <c r="GW63" t="s">
        <v>786</v>
      </c>
      <c r="GX63" t="s">
        <v>787</v>
      </c>
      <c r="GY63" t="s">
        <v>807</v>
      </c>
      <c r="GZ63" t="s">
        <v>186</v>
      </c>
      <c r="HA63">
        <v>1968</v>
      </c>
      <c r="HB63" t="s">
        <v>398</v>
      </c>
      <c r="HC63" t="s">
        <v>971</v>
      </c>
      <c r="HD63" t="s">
        <v>972</v>
      </c>
    </row>
    <row r="64" spans="1:213" x14ac:dyDescent="0.45">
      <c r="A64">
        <v>97</v>
      </c>
      <c r="B64">
        <f>_xlfn.IFNA(VLOOKUP(Analiza[[#This Row],[Zakończono wypełnianie]],Zakończone[],2,0),"BRAK")</f>
        <v>60</v>
      </c>
      <c r="C64">
        <f t="shared" si="1"/>
        <v>37</v>
      </c>
      <c r="D64" t="s">
        <v>370</v>
      </c>
      <c r="E64" t="s">
        <v>118</v>
      </c>
      <c r="F64" t="s">
        <v>774</v>
      </c>
      <c r="J64" t="s">
        <v>119</v>
      </c>
      <c r="K64" t="s">
        <v>973</v>
      </c>
      <c r="L64" t="s">
        <v>974</v>
      </c>
      <c r="M64">
        <v>1963</v>
      </c>
      <c r="N64">
        <v>0</v>
      </c>
      <c r="O64" t="s">
        <v>122</v>
      </c>
      <c r="P64" s="1" t="s">
        <v>123</v>
      </c>
      <c r="AF64" s="1" t="s">
        <v>124</v>
      </c>
      <c r="AG64" t="s">
        <v>975</v>
      </c>
      <c r="AH64">
        <v>1996</v>
      </c>
      <c r="AI64" t="s">
        <v>148</v>
      </c>
      <c r="AJ64" t="s">
        <v>601</v>
      </c>
      <c r="AK64" t="s">
        <v>128</v>
      </c>
      <c r="AL64" t="s">
        <v>151</v>
      </c>
      <c r="AM64" t="s">
        <v>169</v>
      </c>
      <c r="AN64" t="s">
        <v>129</v>
      </c>
      <c r="AO64" t="s">
        <v>129</v>
      </c>
      <c r="AP64" t="s">
        <v>976</v>
      </c>
      <c r="AQ64" t="s">
        <v>131</v>
      </c>
      <c r="AR64" t="s">
        <v>131</v>
      </c>
      <c r="AS64" t="s">
        <v>802</v>
      </c>
      <c r="AT64" t="s">
        <v>824</v>
      </c>
      <c r="AU64" t="s">
        <v>977</v>
      </c>
      <c r="AV64" t="s">
        <v>230</v>
      </c>
      <c r="AX64" s="1" t="s">
        <v>123</v>
      </c>
      <c r="CR64" s="1" t="s">
        <v>123</v>
      </c>
      <c r="DB64" s="1" t="s">
        <v>123</v>
      </c>
      <c r="DL64" s="1" t="s">
        <v>123</v>
      </c>
      <c r="EO64" s="1" t="s">
        <v>123</v>
      </c>
      <c r="EP64" t="s">
        <v>178</v>
      </c>
      <c r="EQ64" t="s">
        <v>132</v>
      </c>
      <c r="FO64" s="1" t="s">
        <v>123</v>
      </c>
      <c r="FP64" t="s">
        <v>132</v>
      </c>
      <c r="FR64" t="s">
        <v>132</v>
      </c>
      <c r="GW64" t="s">
        <v>978</v>
      </c>
      <c r="GX64" t="s">
        <v>819</v>
      </c>
      <c r="GY64" t="s">
        <v>979</v>
      </c>
      <c r="GZ64" t="s">
        <v>140</v>
      </c>
      <c r="HA64">
        <v>1962</v>
      </c>
      <c r="HB64" t="s">
        <v>220</v>
      </c>
      <c r="HD64" t="s">
        <v>980</v>
      </c>
      <c r="HE64" t="s">
        <v>386</v>
      </c>
    </row>
    <row r="65" spans="1:213" x14ac:dyDescent="0.45">
      <c r="A65">
        <v>99</v>
      </c>
      <c r="B65">
        <f>_xlfn.IFNA(VLOOKUP(Analiza[[#This Row],[Zakończono wypełnianie]],Zakończone[],2,0),"BRAK")</f>
        <v>61</v>
      </c>
      <c r="C65">
        <f t="shared" si="1"/>
        <v>31</v>
      </c>
      <c r="D65" t="s">
        <v>984</v>
      </c>
      <c r="E65" t="s">
        <v>118</v>
      </c>
      <c r="F65" t="s">
        <v>774</v>
      </c>
      <c r="J65" t="s">
        <v>119</v>
      </c>
      <c r="K65" t="s">
        <v>985</v>
      </c>
      <c r="L65" t="s">
        <v>986</v>
      </c>
      <c r="M65">
        <v>1348</v>
      </c>
      <c r="N65">
        <v>0</v>
      </c>
      <c r="O65" t="s">
        <v>122</v>
      </c>
      <c r="P65" s="1" t="s">
        <v>123</v>
      </c>
      <c r="AF65" s="1" t="s">
        <v>124</v>
      </c>
      <c r="AG65" t="s">
        <v>987</v>
      </c>
      <c r="AH65">
        <v>2015</v>
      </c>
      <c r="AI65" t="s">
        <v>148</v>
      </c>
      <c r="AJ65" t="s">
        <v>988</v>
      </c>
      <c r="AK65" t="s">
        <v>169</v>
      </c>
      <c r="AL65" t="s">
        <v>150</v>
      </c>
      <c r="AM65" t="s">
        <v>151</v>
      </c>
      <c r="AN65" t="s">
        <v>151</v>
      </c>
      <c r="AO65" t="s">
        <v>151</v>
      </c>
      <c r="AP65" t="s">
        <v>883</v>
      </c>
      <c r="AQ65" t="s">
        <v>131</v>
      </c>
      <c r="AR65" t="s">
        <v>302</v>
      </c>
      <c r="AT65" t="s">
        <v>989</v>
      </c>
      <c r="AU65" t="s">
        <v>990</v>
      </c>
      <c r="AV65" t="s">
        <v>157</v>
      </c>
      <c r="AX65" s="1" t="s">
        <v>123</v>
      </c>
      <c r="CR65" s="1" t="s">
        <v>123</v>
      </c>
      <c r="DB65" s="1" t="s">
        <v>123</v>
      </c>
      <c r="DL65" s="1" t="s">
        <v>123</v>
      </c>
      <c r="EO65" s="1" t="s">
        <v>123</v>
      </c>
      <c r="FO65" s="1" t="s">
        <v>123</v>
      </c>
      <c r="FP65" t="s">
        <v>132</v>
      </c>
      <c r="GW65" t="s">
        <v>786</v>
      </c>
      <c r="GX65" t="s">
        <v>991</v>
      </c>
      <c r="GY65" t="s">
        <v>820</v>
      </c>
      <c r="GZ65" t="s">
        <v>140</v>
      </c>
      <c r="HA65">
        <v>1991</v>
      </c>
      <c r="HB65" t="s">
        <v>220</v>
      </c>
    </row>
    <row r="66" spans="1:213" x14ac:dyDescent="0.45">
      <c r="A66">
        <v>100</v>
      </c>
      <c r="B66">
        <f>_xlfn.IFNA(VLOOKUP(Analiza[[#This Row],[Zakończono wypełnianie]],Zakończone[],2,0),"BRAK")</f>
        <v>62</v>
      </c>
      <c r="C66">
        <f t="shared" si="1"/>
        <v>37</v>
      </c>
      <c r="D66" t="s">
        <v>984</v>
      </c>
      <c r="E66" t="s">
        <v>118</v>
      </c>
      <c r="F66" t="s">
        <v>992</v>
      </c>
      <c r="J66" t="s">
        <v>119</v>
      </c>
      <c r="K66" t="s">
        <v>993</v>
      </c>
      <c r="L66" t="s">
        <v>994</v>
      </c>
      <c r="M66">
        <v>1026</v>
      </c>
      <c r="N66">
        <v>0</v>
      </c>
      <c r="O66" t="s">
        <v>122</v>
      </c>
      <c r="P66" s="1" t="s">
        <v>123</v>
      </c>
      <c r="AF66" s="1" t="s">
        <v>124</v>
      </c>
      <c r="AG66" t="s">
        <v>995</v>
      </c>
      <c r="AH66">
        <v>2010</v>
      </c>
      <c r="AI66" t="s">
        <v>148</v>
      </c>
      <c r="AJ66" t="s">
        <v>429</v>
      </c>
      <c r="AK66" t="s">
        <v>169</v>
      </c>
      <c r="AL66" t="s">
        <v>169</v>
      </c>
      <c r="AM66" t="s">
        <v>150</v>
      </c>
      <c r="AN66" t="s">
        <v>236</v>
      </c>
      <c r="AO66" t="s">
        <v>128</v>
      </c>
      <c r="AP66" t="s">
        <v>883</v>
      </c>
      <c r="AQ66" t="s">
        <v>152</v>
      </c>
      <c r="AR66" t="s">
        <v>131</v>
      </c>
      <c r="AS66" t="s">
        <v>996</v>
      </c>
      <c r="AT66" t="s">
        <v>794</v>
      </c>
      <c r="AU66" t="s">
        <v>780</v>
      </c>
      <c r="AV66" t="s">
        <v>230</v>
      </c>
      <c r="AX66" s="1" t="s">
        <v>123</v>
      </c>
      <c r="CR66" s="1" t="s">
        <v>123</v>
      </c>
      <c r="DB66" s="1" t="s">
        <v>123</v>
      </c>
      <c r="DL66" s="1" t="s">
        <v>123</v>
      </c>
      <c r="EO66" s="1" t="s">
        <v>123</v>
      </c>
      <c r="EP66" t="s">
        <v>180</v>
      </c>
      <c r="EQ66" t="s">
        <v>132</v>
      </c>
      <c r="FO66" s="1" t="s">
        <v>123</v>
      </c>
      <c r="FP66" t="s">
        <v>132</v>
      </c>
      <c r="FR66" t="s">
        <v>132</v>
      </c>
      <c r="GW66" t="s">
        <v>786</v>
      </c>
      <c r="GX66" t="s">
        <v>819</v>
      </c>
      <c r="GY66" t="s">
        <v>820</v>
      </c>
      <c r="GZ66" t="s">
        <v>186</v>
      </c>
      <c r="HA66">
        <v>1986</v>
      </c>
      <c r="HB66" t="s">
        <v>483</v>
      </c>
      <c r="HD66" t="s">
        <v>386</v>
      </c>
      <c r="HE66" t="s">
        <v>386</v>
      </c>
    </row>
    <row r="67" spans="1:213" x14ac:dyDescent="0.45">
      <c r="A67">
        <v>102</v>
      </c>
      <c r="B67">
        <f>_xlfn.IFNA(VLOOKUP(Analiza[[#This Row],[Zakończono wypełnianie]],Zakończone[],2,0),"BRAK")</f>
        <v>63</v>
      </c>
      <c r="C67">
        <f t="shared" ref="C67:C98" si="2">COUNTA(O67:HF67)</f>
        <v>44</v>
      </c>
      <c r="D67" t="s">
        <v>999</v>
      </c>
      <c r="E67" t="s">
        <v>118</v>
      </c>
      <c r="F67" t="s">
        <v>260</v>
      </c>
      <c r="J67" t="s">
        <v>119</v>
      </c>
      <c r="K67" t="s">
        <v>1000</v>
      </c>
      <c r="L67" t="s">
        <v>1001</v>
      </c>
      <c r="M67">
        <v>18013</v>
      </c>
      <c r="N67">
        <v>0</v>
      </c>
      <c r="O67" t="s">
        <v>122</v>
      </c>
      <c r="P67" s="1" t="s">
        <v>123</v>
      </c>
      <c r="AF67" s="1" t="s">
        <v>124</v>
      </c>
      <c r="AG67" t="s">
        <v>2271</v>
      </c>
      <c r="AH67">
        <v>1996</v>
      </c>
      <c r="AI67" t="s">
        <v>148</v>
      </c>
      <c r="AJ67" t="s">
        <v>1003</v>
      </c>
      <c r="AK67" t="s">
        <v>150</v>
      </c>
      <c r="AL67" t="s">
        <v>150</v>
      </c>
      <c r="AM67" t="s">
        <v>162</v>
      </c>
      <c r="AN67" t="s">
        <v>129</v>
      </c>
      <c r="AO67" t="s">
        <v>236</v>
      </c>
      <c r="AP67">
        <v>1</v>
      </c>
      <c r="AQ67" t="s">
        <v>131</v>
      </c>
      <c r="AR67" t="s">
        <v>153</v>
      </c>
      <c r="AS67" t="s">
        <v>1004</v>
      </c>
      <c r="AT67" t="s">
        <v>1005</v>
      </c>
      <c r="AU67" t="s">
        <v>532</v>
      </c>
      <c r="AV67" t="s">
        <v>157</v>
      </c>
      <c r="AW67" t="s">
        <v>1006</v>
      </c>
      <c r="AX67" s="1" t="s">
        <v>123</v>
      </c>
      <c r="CR67" s="1" t="s">
        <v>123</v>
      </c>
      <c r="DB67" s="1" t="s">
        <v>123</v>
      </c>
      <c r="DL67" s="1" t="s">
        <v>123</v>
      </c>
      <c r="EO67" s="1" t="s">
        <v>177</v>
      </c>
      <c r="EP67" t="s">
        <v>178</v>
      </c>
      <c r="EQ67" t="s">
        <v>132</v>
      </c>
      <c r="ER67" t="s">
        <v>1002</v>
      </c>
      <c r="ES67" t="s">
        <v>236</v>
      </c>
      <c r="ET67" t="s">
        <v>236</v>
      </c>
      <c r="EU67" t="s">
        <v>151</v>
      </c>
      <c r="EV67" t="s">
        <v>178</v>
      </c>
      <c r="EW67" t="s">
        <v>1007</v>
      </c>
      <c r="EX67" t="s">
        <v>1008</v>
      </c>
      <c r="EY67" t="s">
        <v>173</v>
      </c>
      <c r="FO67" s="1" t="s">
        <v>123</v>
      </c>
      <c r="FP67" t="s">
        <v>132</v>
      </c>
      <c r="FR67" t="s">
        <v>132</v>
      </c>
      <c r="GW67" t="s">
        <v>1009</v>
      </c>
      <c r="GX67" t="s">
        <v>1007</v>
      </c>
      <c r="GY67" t="s">
        <v>1009</v>
      </c>
      <c r="GZ67" t="s">
        <v>186</v>
      </c>
      <c r="HA67">
        <v>1966</v>
      </c>
      <c r="HB67" t="s">
        <v>141</v>
      </c>
    </row>
    <row r="68" spans="1:213" x14ac:dyDescent="0.45">
      <c r="A68">
        <v>105</v>
      </c>
      <c r="B68">
        <f>_xlfn.IFNA(VLOOKUP(Analiza[[#This Row],[Zakończono wypełnianie]],Zakończone[],2,0),"BRAK")</f>
        <v>64</v>
      </c>
      <c r="C68">
        <f t="shared" si="2"/>
        <v>35</v>
      </c>
      <c r="D68" t="s">
        <v>1014</v>
      </c>
      <c r="E68" t="s">
        <v>118</v>
      </c>
      <c r="J68" t="s">
        <v>119</v>
      </c>
      <c r="K68" t="s">
        <v>1015</v>
      </c>
      <c r="L68" t="s">
        <v>1016</v>
      </c>
      <c r="M68">
        <v>1293</v>
      </c>
      <c r="N68">
        <v>0</v>
      </c>
      <c r="O68" t="s">
        <v>122</v>
      </c>
      <c r="P68" s="1" t="s">
        <v>123</v>
      </c>
      <c r="AF68" s="1" t="s">
        <v>124</v>
      </c>
      <c r="AG68" t="s">
        <v>223</v>
      </c>
      <c r="AH68">
        <v>2003</v>
      </c>
      <c r="AI68" t="s">
        <v>148</v>
      </c>
      <c r="AJ68" t="s">
        <v>1017</v>
      </c>
      <c r="AK68" t="s">
        <v>128</v>
      </c>
      <c r="AL68" t="s">
        <v>128</v>
      </c>
      <c r="AM68" t="s">
        <v>128</v>
      </c>
      <c r="AN68" t="s">
        <v>236</v>
      </c>
      <c r="AO68" t="s">
        <v>132</v>
      </c>
      <c r="AP68" t="s">
        <v>1018</v>
      </c>
      <c r="AQ68" t="s">
        <v>131</v>
      </c>
      <c r="AR68" t="s">
        <v>131</v>
      </c>
      <c r="AT68" t="s">
        <v>1019</v>
      </c>
      <c r="AU68" t="s">
        <v>1020</v>
      </c>
      <c r="AV68" t="s">
        <v>157</v>
      </c>
      <c r="AX68" s="1" t="s">
        <v>123</v>
      </c>
      <c r="CR68" s="1" t="s">
        <v>123</v>
      </c>
      <c r="DB68" s="1" t="s">
        <v>123</v>
      </c>
      <c r="DL68" s="1" t="s">
        <v>123</v>
      </c>
      <c r="EO68" s="1" t="s">
        <v>123</v>
      </c>
      <c r="EP68" t="s">
        <v>180</v>
      </c>
      <c r="EQ68" t="s">
        <v>132</v>
      </c>
      <c r="FO68" s="1" t="s">
        <v>123</v>
      </c>
      <c r="FP68" t="s">
        <v>132</v>
      </c>
      <c r="FR68" t="s">
        <v>132</v>
      </c>
      <c r="GW68" t="s">
        <v>276</v>
      </c>
      <c r="GX68" t="s">
        <v>1021</v>
      </c>
      <c r="GY68" t="s">
        <v>1022</v>
      </c>
      <c r="GZ68" t="s">
        <v>140</v>
      </c>
      <c r="HA68">
        <v>1980</v>
      </c>
      <c r="HB68" t="s">
        <v>483</v>
      </c>
      <c r="HD68" t="s">
        <v>1023</v>
      </c>
    </row>
    <row r="69" spans="1:213" x14ac:dyDescent="0.45">
      <c r="A69">
        <v>110</v>
      </c>
      <c r="B69">
        <f>_xlfn.IFNA(VLOOKUP(Analiza[[#This Row],[Zakończono wypełnianie]],Zakończone[],2,0),"BRAK")</f>
        <v>65</v>
      </c>
      <c r="C69">
        <f t="shared" si="2"/>
        <v>35</v>
      </c>
      <c r="D69" t="s">
        <v>1033</v>
      </c>
      <c r="E69" t="s">
        <v>118</v>
      </c>
      <c r="F69" t="s">
        <v>1034</v>
      </c>
      <c r="J69" t="s">
        <v>119</v>
      </c>
      <c r="K69" t="s">
        <v>1035</v>
      </c>
      <c r="L69" t="s">
        <v>1036</v>
      </c>
      <c r="M69">
        <v>1167</v>
      </c>
      <c r="N69">
        <v>0</v>
      </c>
      <c r="O69" t="s">
        <v>122</v>
      </c>
      <c r="P69" s="1" t="s">
        <v>123</v>
      </c>
      <c r="AF69" s="1" t="s">
        <v>124</v>
      </c>
      <c r="AG69" t="s">
        <v>1037</v>
      </c>
      <c r="AH69" t="s">
        <v>1038</v>
      </c>
      <c r="AI69" t="s">
        <v>126</v>
      </c>
      <c r="AJ69" t="s">
        <v>1039</v>
      </c>
      <c r="AK69" t="s">
        <v>128</v>
      </c>
      <c r="AL69" t="s">
        <v>151</v>
      </c>
      <c r="AM69" t="s">
        <v>236</v>
      </c>
      <c r="AN69" t="s">
        <v>129</v>
      </c>
      <c r="AO69" t="s">
        <v>129</v>
      </c>
      <c r="AP69">
        <v>5</v>
      </c>
      <c r="AQ69" t="s">
        <v>302</v>
      </c>
      <c r="AR69" t="s">
        <v>302</v>
      </c>
      <c r="AT69" t="s">
        <v>1040</v>
      </c>
      <c r="AU69" t="s">
        <v>1041</v>
      </c>
      <c r="AV69" t="s">
        <v>892</v>
      </c>
      <c r="AW69" t="s">
        <v>1042</v>
      </c>
      <c r="AX69" s="1" t="s">
        <v>123</v>
      </c>
      <c r="CR69" s="1" t="s">
        <v>123</v>
      </c>
      <c r="DB69" s="1" t="s">
        <v>123</v>
      </c>
      <c r="DL69" s="1" t="s">
        <v>123</v>
      </c>
      <c r="EO69" s="1" t="s">
        <v>123</v>
      </c>
      <c r="EP69" t="s">
        <v>180</v>
      </c>
      <c r="EQ69" t="s">
        <v>132</v>
      </c>
      <c r="FO69" s="1" t="s">
        <v>123</v>
      </c>
      <c r="FP69" t="s">
        <v>132</v>
      </c>
      <c r="FR69" t="s">
        <v>132</v>
      </c>
      <c r="GW69" t="s">
        <v>1043</v>
      </c>
      <c r="GX69" t="s">
        <v>1044</v>
      </c>
      <c r="GY69" t="s">
        <v>1045</v>
      </c>
      <c r="GZ69" t="s">
        <v>186</v>
      </c>
      <c r="HA69">
        <v>1982</v>
      </c>
      <c r="HB69" t="s">
        <v>246</v>
      </c>
    </row>
    <row r="70" spans="1:213" x14ac:dyDescent="0.45">
      <c r="A70">
        <v>111</v>
      </c>
      <c r="B70">
        <f>_xlfn.IFNA(VLOOKUP(Analiza[[#This Row],[Zakończono wypełnianie]],Zakończone[],2,0),"BRAK")</f>
        <v>66</v>
      </c>
      <c r="C70">
        <f t="shared" si="2"/>
        <v>37</v>
      </c>
      <c r="D70" t="s">
        <v>1046</v>
      </c>
      <c r="E70" t="s">
        <v>118</v>
      </c>
      <c r="J70" t="s">
        <v>119</v>
      </c>
      <c r="K70" t="s">
        <v>1047</v>
      </c>
      <c r="L70" t="s">
        <v>1048</v>
      </c>
      <c r="M70">
        <v>1978</v>
      </c>
      <c r="N70">
        <v>0</v>
      </c>
      <c r="O70" t="s">
        <v>122</v>
      </c>
      <c r="P70" s="1" t="s">
        <v>123</v>
      </c>
      <c r="AF70" s="1" t="s">
        <v>124</v>
      </c>
      <c r="AG70" t="s">
        <v>1290</v>
      </c>
      <c r="AH70">
        <v>2009</v>
      </c>
      <c r="AI70" t="s">
        <v>148</v>
      </c>
      <c r="AJ70" t="s">
        <v>1050</v>
      </c>
      <c r="AK70" t="s">
        <v>150</v>
      </c>
      <c r="AL70" t="s">
        <v>162</v>
      </c>
      <c r="AM70" t="s">
        <v>169</v>
      </c>
      <c r="AN70" t="s">
        <v>162</v>
      </c>
      <c r="AO70" t="s">
        <v>150</v>
      </c>
      <c r="AP70" t="s">
        <v>1051</v>
      </c>
      <c r="AQ70" t="s">
        <v>302</v>
      </c>
      <c r="AR70" t="s">
        <v>153</v>
      </c>
      <c r="AS70" t="s">
        <v>1052</v>
      </c>
      <c r="AT70" t="s">
        <v>1053</v>
      </c>
      <c r="AU70" t="s">
        <v>1054</v>
      </c>
      <c r="AV70" t="s">
        <v>230</v>
      </c>
      <c r="AW70" t="s">
        <v>1050</v>
      </c>
      <c r="AX70" s="1" t="s">
        <v>123</v>
      </c>
      <c r="CR70" s="1" t="s">
        <v>123</v>
      </c>
      <c r="DB70" s="1" t="s">
        <v>123</v>
      </c>
      <c r="DL70" s="1" t="s">
        <v>123</v>
      </c>
      <c r="EO70" s="1" t="s">
        <v>123</v>
      </c>
      <c r="EP70" t="s">
        <v>180</v>
      </c>
      <c r="EQ70" t="s">
        <v>132</v>
      </c>
      <c r="FO70" s="1" t="s">
        <v>123</v>
      </c>
      <c r="FP70" t="s">
        <v>132</v>
      </c>
      <c r="FR70" t="s">
        <v>132</v>
      </c>
      <c r="GW70" t="s">
        <v>1055</v>
      </c>
      <c r="GX70" t="s">
        <v>1056</v>
      </c>
      <c r="GY70" t="s">
        <v>1057</v>
      </c>
      <c r="GZ70" t="s">
        <v>186</v>
      </c>
      <c r="HA70">
        <v>1978</v>
      </c>
      <c r="HB70" t="s">
        <v>141</v>
      </c>
      <c r="HD70" t="s">
        <v>1058</v>
      </c>
    </row>
    <row r="71" spans="1:213" x14ac:dyDescent="0.45">
      <c r="A71">
        <v>112</v>
      </c>
      <c r="B71" t="str">
        <f>_xlfn.IFNA(VLOOKUP(Analiza[[#This Row],[Zakończono wypełnianie]],Zakończone[],2,0),"BRAK")</f>
        <v>BRAK</v>
      </c>
      <c r="C71">
        <f t="shared" si="2"/>
        <v>25</v>
      </c>
      <c r="D71" t="s">
        <v>1059</v>
      </c>
      <c r="E71" t="s">
        <v>118</v>
      </c>
      <c r="J71" t="s">
        <v>286</v>
      </c>
      <c r="K71" t="s">
        <v>1060</v>
      </c>
      <c r="L71" t="s">
        <v>1060</v>
      </c>
      <c r="M71">
        <v>0</v>
      </c>
      <c r="N71">
        <v>0</v>
      </c>
      <c r="O71" t="s">
        <v>122</v>
      </c>
      <c r="P71" s="1" t="s">
        <v>123</v>
      </c>
      <c r="AF71" s="1" t="s">
        <v>124</v>
      </c>
      <c r="AG71" t="s">
        <v>1061</v>
      </c>
      <c r="AH71">
        <v>2009</v>
      </c>
      <c r="AI71" t="s">
        <v>148</v>
      </c>
      <c r="AJ71" t="s">
        <v>1062</v>
      </c>
      <c r="AK71" t="s">
        <v>169</v>
      </c>
      <c r="AL71" t="s">
        <v>169</v>
      </c>
      <c r="AM71" t="s">
        <v>151</v>
      </c>
      <c r="AN71" t="s">
        <v>150</v>
      </c>
      <c r="AO71" t="s">
        <v>169</v>
      </c>
      <c r="AP71" t="s">
        <v>237</v>
      </c>
      <c r="AQ71" t="s">
        <v>131</v>
      </c>
      <c r="AR71" t="s">
        <v>302</v>
      </c>
      <c r="AT71" t="s">
        <v>1063</v>
      </c>
      <c r="AU71" t="s">
        <v>1064</v>
      </c>
      <c r="AV71" t="s">
        <v>230</v>
      </c>
      <c r="AX71" s="1" t="s">
        <v>123</v>
      </c>
      <c r="CR71" s="1" t="s">
        <v>123</v>
      </c>
      <c r="DB71" s="1" t="s">
        <v>123</v>
      </c>
      <c r="DL71" s="1" t="s">
        <v>123</v>
      </c>
      <c r="EO71" s="1" t="s">
        <v>123</v>
      </c>
      <c r="FO71" s="1" t="s">
        <v>123</v>
      </c>
      <c r="FP71" t="s">
        <v>132</v>
      </c>
    </row>
    <row r="72" spans="1:213" x14ac:dyDescent="0.45">
      <c r="A72">
        <v>113</v>
      </c>
      <c r="B72">
        <f>_xlfn.IFNA(VLOOKUP(Analiza[[#This Row],[Zakończono wypełnianie]],Zakończone[],2,0),"BRAK")</f>
        <v>67</v>
      </c>
      <c r="C72">
        <f t="shared" si="2"/>
        <v>32</v>
      </c>
      <c r="D72" t="s">
        <v>1065</v>
      </c>
      <c r="E72" t="s">
        <v>118</v>
      </c>
      <c r="J72" t="s">
        <v>119</v>
      </c>
      <c r="K72" t="s">
        <v>1066</v>
      </c>
      <c r="L72" t="s">
        <v>1067</v>
      </c>
      <c r="M72">
        <v>2803</v>
      </c>
      <c r="N72">
        <v>0</v>
      </c>
      <c r="O72" t="s">
        <v>122</v>
      </c>
      <c r="P72" s="1" t="s">
        <v>123</v>
      </c>
      <c r="AF72" s="1" t="s">
        <v>124</v>
      </c>
      <c r="AG72" t="s">
        <v>1439</v>
      </c>
      <c r="AH72">
        <v>2019</v>
      </c>
      <c r="AI72" t="s">
        <v>148</v>
      </c>
      <c r="AJ72" t="s">
        <v>1069</v>
      </c>
      <c r="AK72" t="s">
        <v>128</v>
      </c>
      <c r="AL72" t="s">
        <v>151</v>
      </c>
      <c r="AM72" t="s">
        <v>128</v>
      </c>
      <c r="AN72" t="s">
        <v>129</v>
      </c>
      <c r="AO72" t="s">
        <v>132</v>
      </c>
      <c r="AP72" t="s">
        <v>1070</v>
      </c>
      <c r="AQ72" t="s">
        <v>153</v>
      </c>
      <c r="AR72" t="s">
        <v>132</v>
      </c>
      <c r="AT72" t="s">
        <v>1071</v>
      </c>
      <c r="AU72" t="s">
        <v>1072</v>
      </c>
      <c r="AV72" t="s">
        <v>892</v>
      </c>
      <c r="AX72" s="1" t="s">
        <v>123</v>
      </c>
      <c r="CR72" s="1" t="s">
        <v>123</v>
      </c>
      <c r="DB72" s="1" t="s">
        <v>123</v>
      </c>
      <c r="DL72" s="1" t="s">
        <v>123</v>
      </c>
      <c r="EO72" s="1" t="s">
        <v>123</v>
      </c>
      <c r="FO72" s="1" t="s">
        <v>123</v>
      </c>
      <c r="FP72" t="s">
        <v>132</v>
      </c>
      <c r="GW72" t="s">
        <v>1073</v>
      </c>
      <c r="GX72" t="s">
        <v>1074</v>
      </c>
      <c r="GY72" t="s">
        <v>1075</v>
      </c>
      <c r="GZ72" t="s">
        <v>140</v>
      </c>
      <c r="HA72">
        <v>1991</v>
      </c>
      <c r="HB72" t="s">
        <v>398</v>
      </c>
      <c r="HE72" t="s">
        <v>1076</v>
      </c>
    </row>
    <row r="73" spans="1:213" x14ac:dyDescent="0.45">
      <c r="A73">
        <v>114</v>
      </c>
      <c r="B73">
        <f>_xlfn.IFNA(VLOOKUP(Analiza[[#This Row],[Zakończono wypełnianie]],Zakończone[],2,0),"BRAK")</f>
        <v>68</v>
      </c>
      <c r="C73">
        <f t="shared" si="2"/>
        <v>41</v>
      </c>
      <c r="D73" t="s">
        <v>1077</v>
      </c>
      <c r="E73" t="s">
        <v>118</v>
      </c>
      <c r="J73" t="s">
        <v>119</v>
      </c>
      <c r="K73" t="s">
        <v>1078</v>
      </c>
      <c r="L73" t="s">
        <v>1079</v>
      </c>
      <c r="M73">
        <v>862</v>
      </c>
      <c r="N73">
        <v>0</v>
      </c>
      <c r="O73" t="s">
        <v>122</v>
      </c>
      <c r="P73" s="1" t="s">
        <v>123</v>
      </c>
      <c r="AF73" s="1" t="s">
        <v>124</v>
      </c>
      <c r="AG73" t="s">
        <v>223</v>
      </c>
      <c r="AH73">
        <v>2007</v>
      </c>
      <c r="AI73" t="s">
        <v>148</v>
      </c>
      <c r="AJ73" t="s">
        <v>969</v>
      </c>
      <c r="AK73" t="s">
        <v>151</v>
      </c>
      <c r="AL73" t="s">
        <v>151</v>
      </c>
      <c r="AM73" t="s">
        <v>150</v>
      </c>
      <c r="AN73" t="s">
        <v>162</v>
      </c>
      <c r="AO73" t="s">
        <v>150</v>
      </c>
      <c r="AP73" t="s">
        <v>237</v>
      </c>
      <c r="AQ73" t="s">
        <v>131</v>
      </c>
      <c r="AR73" t="s">
        <v>302</v>
      </c>
      <c r="AT73" t="s">
        <v>1080</v>
      </c>
      <c r="AU73" t="s">
        <v>1081</v>
      </c>
      <c r="AV73" t="s">
        <v>230</v>
      </c>
      <c r="AX73" s="1" t="s">
        <v>123</v>
      </c>
      <c r="CR73" s="1" t="s">
        <v>123</v>
      </c>
      <c r="DB73" s="1" t="s">
        <v>123</v>
      </c>
      <c r="DL73" s="1" t="s">
        <v>123</v>
      </c>
      <c r="EO73" s="1" t="s">
        <v>123</v>
      </c>
      <c r="EP73" t="s">
        <v>178</v>
      </c>
      <c r="EQ73" t="s">
        <v>132</v>
      </c>
      <c r="ER73" t="s">
        <v>1082</v>
      </c>
      <c r="ES73" t="s">
        <v>151</v>
      </c>
      <c r="ET73" t="s">
        <v>151</v>
      </c>
      <c r="EU73" t="s">
        <v>151</v>
      </c>
      <c r="EV73" t="s">
        <v>178</v>
      </c>
      <c r="EX73" t="s">
        <v>1083</v>
      </c>
      <c r="EY73" t="s">
        <v>173</v>
      </c>
      <c r="FO73" s="1" t="s">
        <v>123</v>
      </c>
      <c r="FP73" t="s">
        <v>132</v>
      </c>
      <c r="FR73" t="s">
        <v>132</v>
      </c>
      <c r="GW73" t="s">
        <v>1084</v>
      </c>
      <c r="GX73" t="s">
        <v>1085</v>
      </c>
      <c r="GY73" t="s">
        <v>1086</v>
      </c>
      <c r="GZ73" t="s">
        <v>140</v>
      </c>
      <c r="HA73">
        <v>1982</v>
      </c>
      <c r="HB73" t="s">
        <v>141</v>
      </c>
    </row>
    <row r="74" spans="1:213" x14ac:dyDescent="0.45">
      <c r="A74">
        <v>115</v>
      </c>
      <c r="B74">
        <f>_xlfn.IFNA(VLOOKUP(Analiza[[#This Row],[Zakończono wypełnianie]],Zakończone[],2,0),"BRAK")</f>
        <v>69</v>
      </c>
      <c r="C74">
        <f t="shared" si="2"/>
        <v>32</v>
      </c>
      <c r="D74" t="s">
        <v>1087</v>
      </c>
      <c r="E74" t="s">
        <v>118</v>
      </c>
      <c r="J74" t="s">
        <v>119</v>
      </c>
      <c r="K74" t="s">
        <v>1088</v>
      </c>
      <c r="L74" t="s">
        <v>1089</v>
      </c>
      <c r="M74">
        <v>1206</v>
      </c>
      <c r="N74">
        <v>0</v>
      </c>
      <c r="O74" t="s">
        <v>122</v>
      </c>
      <c r="P74" s="1" t="s">
        <v>123</v>
      </c>
      <c r="AF74" s="1" t="s">
        <v>124</v>
      </c>
      <c r="AG74" t="s">
        <v>1090</v>
      </c>
      <c r="AH74">
        <v>2004</v>
      </c>
      <c r="AI74" t="s">
        <v>126</v>
      </c>
      <c r="AJ74" t="s">
        <v>844</v>
      </c>
      <c r="AK74" t="s">
        <v>162</v>
      </c>
      <c r="AL74" t="s">
        <v>162</v>
      </c>
      <c r="AM74" t="s">
        <v>150</v>
      </c>
      <c r="AN74" t="s">
        <v>151</v>
      </c>
      <c r="AO74" t="s">
        <v>150</v>
      </c>
      <c r="AP74" t="s">
        <v>237</v>
      </c>
      <c r="AQ74" t="s">
        <v>302</v>
      </c>
      <c r="AR74" t="s">
        <v>226</v>
      </c>
      <c r="AS74" t="s">
        <v>1091</v>
      </c>
      <c r="AT74" t="s">
        <v>1092</v>
      </c>
      <c r="AU74" t="s">
        <v>1093</v>
      </c>
      <c r="AV74" t="s">
        <v>157</v>
      </c>
      <c r="AX74" s="1" t="s">
        <v>123</v>
      </c>
      <c r="CR74" s="1" t="s">
        <v>123</v>
      </c>
      <c r="DB74" s="1" t="s">
        <v>123</v>
      </c>
      <c r="DL74" s="1" t="s">
        <v>123</v>
      </c>
      <c r="EO74" s="1" t="s">
        <v>123</v>
      </c>
      <c r="FO74" s="1" t="s">
        <v>123</v>
      </c>
      <c r="FP74" t="s">
        <v>132</v>
      </c>
      <c r="GW74" t="s">
        <v>1094</v>
      </c>
      <c r="GX74" t="s">
        <v>1095</v>
      </c>
      <c r="GY74" t="s">
        <v>1096</v>
      </c>
      <c r="GZ74" t="s">
        <v>140</v>
      </c>
      <c r="HA74">
        <v>1976</v>
      </c>
      <c r="HB74" t="s">
        <v>141</v>
      </c>
    </row>
    <row r="75" spans="1:213" x14ac:dyDescent="0.45">
      <c r="A75">
        <v>117</v>
      </c>
      <c r="B75">
        <f>_xlfn.IFNA(VLOOKUP(Analiza[[#This Row],[Zakończono wypełnianie]],Zakończone[],2,0),"BRAK")</f>
        <v>70</v>
      </c>
      <c r="C75">
        <f t="shared" si="2"/>
        <v>30</v>
      </c>
      <c r="D75" t="s">
        <v>1098</v>
      </c>
      <c r="E75" t="s">
        <v>118</v>
      </c>
      <c r="J75" t="s">
        <v>119</v>
      </c>
      <c r="K75" t="s">
        <v>1099</v>
      </c>
      <c r="L75" t="s">
        <v>1100</v>
      </c>
      <c r="M75">
        <v>358</v>
      </c>
      <c r="N75">
        <v>0</v>
      </c>
      <c r="O75" t="s">
        <v>122</v>
      </c>
      <c r="P75" s="1" t="s">
        <v>123</v>
      </c>
      <c r="AF75" s="1" t="s">
        <v>124</v>
      </c>
      <c r="AG75" t="s">
        <v>1090</v>
      </c>
      <c r="AH75">
        <v>2018</v>
      </c>
      <c r="AI75" t="s">
        <v>126</v>
      </c>
      <c r="AJ75" t="s">
        <v>844</v>
      </c>
      <c r="AK75" t="s">
        <v>150</v>
      </c>
      <c r="AL75" t="s">
        <v>151</v>
      </c>
      <c r="AM75" t="s">
        <v>162</v>
      </c>
      <c r="AN75" t="s">
        <v>150</v>
      </c>
      <c r="AO75" t="s">
        <v>132</v>
      </c>
      <c r="AP75">
        <v>1</v>
      </c>
      <c r="AQ75" t="s">
        <v>153</v>
      </c>
      <c r="AR75" t="s">
        <v>132</v>
      </c>
      <c r="AT75" t="s">
        <v>1101</v>
      </c>
      <c r="AU75" t="s">
        <v>1102</v>
      </c>
      <c r="AV75" t="s">
        <v>157</v>
      </c>
      <c r="AX75" s="1" t="s">
        <v>123</v>
      </c>
      <c r="CR75" s="1" t="s">
        <v>123</v>
      </c>
      <c r="DB75" s="1" t="s">
        <v>123</v>
      </c>
      <c r="DL75" s="1" t="s">
        <v>123</v>
      </c>
      <c r="EO75" s="1" t="s">
        <v>123</v>
      </c>
      <c r="FO75" s="1" t="s">
        <v>123</v>
      </c>
      <c r="GW75" t="s">
        <v>1103</v>
      </c>
      <c r="GX75" t="s">
        <v>1104</v>
      </c>
      <c r="GY75" t="s">
        <v>1105</v>
      </c>
      <c r="GZ75" t="s">
        <v>140</v>
      </c>
      <c r="HA75">
        <v>1991</v>
      </c>
      <c r="HB75" t="s">
        <v>141</v>
      </c>
    </row>
    <row r="76" spans="1:213" x14ac:dyDescent="0.45">
      <c r="A76">
        <v>118</v>
      </c>
      <c r="B76" t="str">
        <f>_xlfn.IFNA(VLOOKUP(Analiza[[#This Row],[Zakończono wypełnianie]],Zakończone[],2,0),"BRAK")</f>
        <v>BRAK</v>
      </c>
      <c r="C76">
        <f t="shared" si="2"/>
        <v>18</v>
      </c>
      <c r="D76" t="s">
        <v>1098</v>
      </c>
      <c r="E76" t="s">
        <v>118</v>
      </c>
      <c r="J76" t="s">
        <v>286</v>
      </c>
      <c r="K76" t="s">
        <v>1106</v>
      </c>
      <c r="L76" t="s">
        <v>1106</v>
      </c>
      <c r="M76">
        <v>0</v>
      </c>
      <c r="N76">
        <v>0</v>
      </c>
      <c r="O76" t="s">
        <v>122</v>
      </c>
      <c r="P76" s="1" t="s">
        <v>416</v>
      </c>
      <c r="Q76" t="s">
        <v>1090</v>
      </c>
      <c r="R76" t="s">
        <v>126</v>
      </c>
      <c r="S76" t="s">
        <v>844</v>
      </c>
      <c r="T76" t="s">
        <v>150</v>
      </c>
      <c r="U76" t="s">
        <v>162</v>
      </c>
      <c r="V76" t="s">
        <v>129</v>
      </c>
      <c r="W76">
        <v>12</v>
      </c>
      <c r="X76" t="s">
        <v>302</v>
      </c>
      <c r="Y76" t="s">
        <v>209</v>
      </c>
      <c r="Z76" t="s">
        <v>1108</v>
      </c>
      <c r="AA76" t="s">
        <v>1109</v>
      </c>
      <c r="AB76" t="s">
        <v>1110</v>
      </c>
      <c r="AC76" t="s">
        <v>172</v>
      </c>
      <c r="AE76">
        <v>7</v>
      </c>
      <c r="AF76" s="1" t="s">
        <v>123</v>
      </c>
      <c r="AX76" s="1" t="s">
        <v>123</v>
      </c>
      <c r="CR76" s="1"/>
      <c r="DB76" s="1"/>
      <c r="DL76" s="1"/>
      <c r="EO76" s="1"/>
      <c r="FO76" s="1"/>
    </row>
    <row r="77" spans="1:213" x14ac:dyDescent="0.45">
      <c r="A77">
        <v>119</v>
      </c>
      <c r="B77" t="str">
        <f>_xlfn.IFNA(VLOOKUP(Analiza[[#This Row],[Zakończono wypełnianie]],Zakończone[],2,0),"BRAK")</f>
        <v>BRAK</v>
      </c>
      <c r="C77">
        <f t="shared" si="2"/>
        <v>16</v>
      </c>
      <c r="D77" t="s">
        <v>1098</v>
      </c>
      <c r="E77" t="s">
        <v>118</v>
      </c>
      <c r="J77" t="s">
        <v>286</v>
      </c>
      <c r="K77" t="s">
        <v>1111</v>
      </c>
      <c r="L77" t="s">
        <v>1111</v>
      </c>
      <c r="M77">
        <v>0</v>
      </c>
      <c r="N77">
        <v>0</v>
      </c>
      <c r="O77" t="s">
        <v>122</v>
      </c>
      <c r="P77" s="1" t="s">
        <v>123</v>
      </c>
      <c r="AF77" s="1" t="s">
        <v>124</v>
      </c>
      <c r="AG77" t="s">
        <v>1090</v>
      </c>
      <c r="AH77">
        <v>2001</v>
      </c>
      <c r="AI77" t="s">
        <v>126</v>
      </c>
      <c r="AJ77" t="s">
        <v>844</v>
      </c>
      <c r="AK77" t="s">
        <v>162</v>
      </c>
      <c r="AL77" t="s">
        <v>162</v>
      </c>
      <c r="AM77" t="s">
        <v>151</v>
      </c>
      <c r="AN77" t="s">
        <v>162</v>
      </c>
      <c r="AO77" t="s">
        <v>151</v>
      </c>
      <c r="AP77">
        <v>1</v>
      </c>
      <c r="AQ77" t="s">
        <v>302</v>
      </c>
      <c r="AR77" t="s">
        <v>153</v>
      </c>
      <c r="AV77" t="s">
        <v>172</v>
      </c>
      <c r="AX77" s="1"/>
      <c r="CR77" s="1"/>
      <c r="DB77" s="1"/>
      <c r="DL77" s="1"/>
      <c r="EO77" s="1"/>
      <c r="FO77" s="1"/>
    </row>
    <row r="78" spans="1:213" x14ac:dyDescent="0.45">
      <c r="A78">
        <v>121</v>
      </c>
      <c r="B78" t="str">
        <f>_xlfn.IFNA(VLOOKUP(Analiza[[#This Row],[Zakończono wypełnianie]],Zakończone[],2,0),"BRAK")</f>
        <v>BRAK</v>
      </c>
      <c r="C78">
        <f t="shared" si="2"/>
        <v>68</v>
      </c>
      <c r="D78" t="s">
        <v>1098</v>
      </c>
      <c r="E78" t="s">
        <v>118</v>
      </c>
      <c r="J78" t="s">
        <v>286</v>
      </c>
      <c r="K78" t="s">
        <v>1113</v>
      </c>
      <c r="L78" t="s">
        <v>1113</v>
      </c>
      <c r="M78">
        <v>0</v>
      </c>
      <c r="N78">
        <v>0</v>
      </c>
      <c r="O78" t="s">
        <v>122</v>
      </c>
      <c r="P78" s="1" t="s">
        <v>123</v>
      </c>
      <c r="AF78" s="1" t="s">
        <v>124</v>
      </c>
      <c r="AG78" t="s">
        <v>1114</v>
      </c>
      <c r="AH78">
        <v>1977</v>
      </c>
      <c r="AI78" t="s">
        <v>126</v>
      </c>
      <c r="AJ78" t="s">
        <v>1115</v>
      </c>
      <c r="AK78" t="s">
        <v>169</v>
      </c>
      <c r="AL78" t="s">
        <v>150</v>
      </c>
      <c r="AM78" t="s">
        <v>151</v>
      </c>
      <c r="AN78" t="s">
        <v>236</v>
      </c>
      <c r="AO78" t="s">
        <v>236</v>
      </c>
      <c r="AP78" t="s">
        <v>1116</v>
      </c>
      <c r="AQ78" t="s">
        <v>131</v>
      </c>
      <c r="AR78" t="s">
        <v>302</v>
      </c>
      <c r="AS78" t="s">
        <v>1117</v>
      </c>
      <c r="AT78" t="s">
        <v>1118</v>
      </c>
      <c r="AU78" t="s">
        <v>1119</v>
      </c>
      <c r="AV78" t="s">
        <v>157</v>
      </c>
      <c r="AX78" s="1" t="s">
        <v>159</v>
      </c>
      <c r="AY78">
        <v>2</v>
      </c>
      <c r="AZ78" t="s">
        <v>428</v>
      </c>
      <c r="BA78">
        <v>2002</v>
      </c>
      <c r="BB78" t="s">
        <v>148</v>
      </c>
      <c r="BC78" t="s">
        <v>1121</v>
      </c>
      <c r="BD78" t="s">
        <v>150</v>
      </c>
      <c r="BE78" t="s">
        <v>150</v>
      </c>
      <c r="BF78" t="s">
        <v>150</v>
      </c>
      <c r="BG78" t="s">
        <v>129</v>
      </c>
      <c r="BH78" t="s">
        <v>129</v>
      </c>
      <c r="BI78" t="s">
        <v>1122</v>
      </c>
      <c r="BJ78" t="s">
        <v>1123</v>
      </c>
      <c r="BK78" t="s">
        <v>157</v>
      </c>
      <c r="BN78" t="s">
        <v>166</v>
      </c>
      <c r="BO78" t="s">
        <v>1124</v>
      </c>
      <c r="BP78">
        <v>2012</v>
      </c>
      <c r="BQ78" t="s">
        <v>148</v>
      </c>
      <c r="BR78" t="s">
        <v>1125</v>
      </c>
      <c r="BS78" t="s">
        <v>150</v>
      </c>
      <c r="BT78" t="s">
        <v>169</v>
      </c>
      <c r="BU78" t="s">
        <v>151</v>
      </c>
      <c r="BV78" t="s">
        <v>236</v>
      </c>
      <c r="BW78" t="s">
        <v>151</v>
      </c>
      <c r="BX78" t="s">
        <v>1126</v>
      </c>
      <c r="BY78" t="s">
        <v>1127</v>
      </c>
      <c r="BZ78" t="s">
        <v>230</v>
      </c>
      <c r="CC78" t="s">
        <v>173</v>
      </c>
      <c r="CR78" s="1" t="s">
        <v>123</v>
      </c>
      <c r="DB78" s="1" t="s">
        <v>214</v>
      </c>
      <c r="DC78" t="s">
        <v>1114</v>
      </c>
      <c r="DD78" t="s">
        <v>1128</v>
      </c>
      <c r="DE78" t="s">
        <v>150</v>
      </c>
      <c r="DF78" t="s">
        <v>162</v>
      </c>
      <c r="DG78" t="s">
        <v>151</v>
      </c>
      <c r="DH78" t="s">
        <v>150</v>
      </c>
      <c r="DI78" t="s">
        <v>150</v>
      </c>
      <c r="DJ78" t="s">
        <v>150</v>
      </c>
      <c r="DK78" t="s">
        <v>1129</v>
      </c>
      <c r="DL78" s="1" t="s">
        <v>174</v>
      </c>
      <c r="DP78" t="s">
        <v>175</v>
      </c>
      <c r="DQ78" t="s">
        <v>1130</v>
      </c>
      <c r="DR78" t="s">
        <v>162</v>
      </c>
      <c r="DS78" t="s">
        <v>150</v>
      </c>
      <c r="DT78" t="s">
        <v>151</v>
      </c>
      <c r="DU78" t="s">
        <v>151</v>
      </c>
      <c r="DV78" t="s">
        <v>150</v>
      </c>
      <c r="DW78" t="s">
        <v>162</v>
      </c>
      <c r="DX78" t="s">
        <v>162</v>
      </c>
      <c r="EO78" s="1"/>
      <c r="FO78" s="1"/>
    </row>
    <row r="79" spans="1:213" x14ac:dyDescent="0.45">
      <c r="A79">
        <v>122</v>
      </c>
      <c r="B79">
        <f>_xlfn.IFNA(VLOOKUP(Analiza[[#This Row],[Zakończono wypełnianie]],Zakończone[],2,0),"BRAK")</f>
        <v>71</v>
      </c>
      <c r="C79">
        <f t="shared" si="2"/>
        <v>32</v>
      </c>
      <c r="D79" t="s">
        <v>1131</v>
      </c>
      <c r="E79" t="s">
        <v>118</v>
      </c>
      <c r="J79" t="s">
        <v>119</v>
      </c>
      <c r="K79" t="s">
        <v>1132</v>
      </c>
      <c r="L79" t="s">
        <v>1133</v>
      </c>
      <c r="M79">
        <v>3215</v>
      </c>
      <c r="N79">
        <v>0</v>
      </c>
      <c r="O79" t="s">
        <v>122</v>
      </c>
      <c r="P79" s="1" t="s">
        <v>123</v>
      </c>
      <c r="AF79" s="1" t="s">
        <v>124</v>
      </c>
      <c r="AG79" t="s">
        <v>191</v>
      </c>
      <c r="AH79">
        <v>2015</v>
      </c>
      <c r="AI79" t="s">
        <v>126</v>
      </c>
      <c r="AJ79" t="s">
        <v>1134</v>
      </c>
      <c r="AK79" t="s">
        <v>128</v>
      </c>
      <c r="AL79" t="s">
        <v>151</v>
      </c>
      <c r="AM79" t="s">
        <v>169</v>
      </c>
      <c r="AN79" t="s">
        <v>162</v>
      </c>
      <c r="AO79" t="s">
        <v>150</v>
      </c>
      <c r="AP79">
        <v>1</v>
      </c>
      <c r="AQ79" t="s">
        <v>302</v>
      </c>
      <c r="AR79" t="s">
        <v>226</v>
      </c>
      <c r="AS79" t="s">
        <v>1135</v>
      </c>
      <c r="AT79" t="s">
        <v>1136</v>
      </c>
      <c r="AU79" t="s">
        <v>1137</v>
      </c>
      <c r="AV79" t="s">
        <v>172</v>
      </c>
      <c r="AX79" s="1" t="s">
        <v>123</v>
      </c>
      <c r="CR79" s="1" t="s">
        <v>123</v>
      </c>
      <c r="DB79" s="1" t="s">
        <v>123</v>
      </c>
      <c r="DL79" s="1" t="s">
        <v>123</v>
      </c>
      <c r="EO79" s="1" t="s">
        <v>123</v>
      </c>
      <c r="FO79" s="1" t="s">
        <v>123</v>
      </c>
      <c r="GW79" t="s">
        <v>1138</v>
      </c>
      <c r="GX79" t="s">
        <v>1139</v>
      </c>
      <c r="GY79" t="s">
        <v>1140</v>
      </c>
      <c r="GZ79" t="s">
        <v>186</v>
      </c>
      <c r="HA79">
        <v>1991</v>
      </c>
      <c r="HB79" t="s">
        <v>141</v>
      </c>
      <c r="HD79" t="s">
        <v>1141</v>
      </c>
    </row>
    <row r="80" spans="1:213" x14ac:dyDescent="0.45">
      <c r="A80">
        <v>123</v>
      </c>
      <c r="B80">
        <f>_xlfn.IFNA(VLOOKUP(Analiza[[#This Row],[Zakończono wypełnianie]],Zakończone[],2,0),"BRAK")</f>
        <v>72</v>
      </c>
      <c r="C80">
        <f t="shared" si="2"/>
        <v>32</v>
      </c>
      <c r="D80" t="s">
        <v>1142</v>
      </c>
      <c r="E80" t="s">
        <v>118</v>
      </c>
      <c r="J80" t="s">
        <v>119</v>
      </c>
      <c r="K80" t="s">
        <v>1143</v>
      </c>
      <c r="L80" t="s">
        <v>1144</v>
      </c>
      <c r="M80">
        <v>258</v>
      </c>
      <c r="N80">
        <v>0</v>
      </c>
      <c r="O80" t="s">
        <v>122</v>
      </c>
      <c r="P80" s="1" t="s">
        <v>123</v>
      </c>
      <c r="AF80" s="1" t="s">
        <v>124</v>
      </c>
      <c r="AG80" t="s">
        <v>1439</v>
      </c>
      <c r="AH80">
        <v>2016</v>
      </c>
      <c r="AI80" t="s">
        <v>126</v>
      </c>
      <c r="AJ80" t="s">
        <v>1146</v>
      </c>
      <c r="AK80" t="s">
        <v>150</v>
      </c>
      <c r="AL80" t="s">
        <v>150</v>
      </c>
      <c r="AM80" t="s">
        <v>169</v>
      </c>
      <c r="AN80" t="s">
        <v>169</v>
      </c>
      <c r="AO80" t="s">
        <v>169</v>
      </c>
      <c r="AP80">
        <v>3</v>
      </c>
      <c r="AQ80" t="s">
        <v>302</v>
      </c>
      <c r="AR80" t="s">
        <v>943</v>
      </c>
      <c r="AT80" t="s">
        <v>1147</v>
      </c>
      <c r="AU80" t="s">
        <v>1148</v>
      </c>
      <c r="AV80" t="s">
        <v>892</v>
      </c>
      <c r="AX80" s="1" t="s">
        <v>123</v>
      </c>
      <c r="CR80" s="1" t="s">
        <v>123</v>
      </c>
      <c r="DB80" s="1" t="s">
        <v>123</v>
      </c>
      <c r="DL80" s="1" t="s">
        <v>123</v>
      </c>
      <c r="EO80" s="1" t="s">
        <v>123</v>
      </c>
      <c r="EP80" t="s">
        <v>178</v>
      </c>
      <c r="EQ80">
        <v>1</v>
      </c>
      <c r="FO80" s="1" t="s">
        <v>123</v>
      </c>
      <c r="GW80" t="s">
        <v>1149</v>
      </c>
      <c r="GX80" t="s">
        <v>1149</v>
      </c>
      <c r="GY80" t="s">
        <v>1150</v>
      </c>
      <c r="GZ80" t="s">
        <v>186</v>
      </c>
      <c r="HA80">
        <v>1986</v>
      </c>
      <c r="HB80" t="s">
        <v>398</v>
      </c>
    </row>
    <row r="81" spans="1:213" x14ac:dyDescent="0.45">
      <c r="A81">
        <v>124</v>
      </c>
      <c r="B81">
        <f>_xlfn.IFNA(VLOOKUP(Analiza[[#This Row],[Zakończono wypełnianie]],Zakończone[],2,0),"BRAK")</f>
        <v>73</v>
      </c>
      <c r="C81">
        <f t="shared" si="2"/>
        <v>34</v>
      </c>
      <c r="D81" t="s">
        <v>1151</v>
      </c>
      <c r="E81" t="s">
        <v>118</v>
      </c>
      <c r="F81" t="s">
        <v>1152</v>
      </c>
      <c r="J81" t="s">
        <v>119</v>
      </c>
      <c r="K81" t="s">
        <v>1153</v>
      </c>
      <c r="L81" t="s">
        <v>1154</v>
      </c>
      <c r="M81">
        <v>1159</v>
      </c>
      <c r="N81">
        <v>0</v>
      </c>
      <c r="O81" t="s">
        <v>122</v>
      </c>
      <c r="P81" s="1" t="s">
        <v>123</v>
      </c>
      <c r="AF81" s="1" t="s">
        <v>124</v>
      </c>
      <c r="AG81" t="s">
        <v>191</v>
      </c>
      <c r="AH81">
        <v>2018</v>
      </c>
      <c r="AI81" t="s">
        <v>126</v>
      </c>
      <c r="AJ81" t="s">
        <v>969</v>
      </c>
      <c r="AK81" t="s">
        <v>150</v>
      </c>
      <c r="AL81" t="s">
        <v>150</v>
      </c>
      <c r="AM81" t="s">
        <v>162</v>
      </c>
      <c r="AN81" t="s">
        <v>128</v>
      </c>
      <c r="AO81" t="s">
        <v>151</v>
      </c>
      <c r="AP81" t="s">
        <v>530</v>
      </c>
      <c r="AQ81" t="s">
        <v>131</v>
      </c>
      <c r="AR81" t="s">
        <v>302</v>
      </c>
      <c r="AS81" t="s">
        <v>1155</v>
      </c>
      <c r="AT81" t="s">
        <v>1156</v>
      </c>
      <c r="AU81" t="s">
        <v>1157</v>
      </c>
      <c r="AV81" t="s">
        <v>230</v>
      </c>
      <c r="AW81" t="s">
        <v>1158</v>
      </c>
      <c r="AX81" s="1" t="s">
        <v>123</v>
      </c>
      <c r="CR81" s="1" t="s">
        <v>123</v>
      </c>
      <c r="DB81" s="1" t="s">
        <v>123</v>
      </c>
      <c r="DL81" s="1" t="s">
        <v>123</v>
      </c>
      <c r="EO81" s="1" t="s">
        <v>123</v>
      </c>
      <c r="FO81" s="1" t="s">
        <v>123</v>
      </c>
      <c r="GW81" t="s">
        <v>1159</v>
      </c>
      <c r="GX81" t="s">
        <v>1160</v>
      </c>
      <c r="GY81" t="s">
        <v>1161</v>
      </c>
      <c r="GZ81" t="s">
        <v>140</v>
      </c>
      <c r="HA81">
        <v>1991</v>
      </c>
      <c r="HB81" t="s">
        <v>483</v>
      </c>
      <c r="HD81" t="s">
        <v>1162</v>
      </c>
      <c r="HE81" t="s">
        <v>142</v>
      </c>
    </row>
    <row r="82" spans="1:213" x14ac:dyDescent="0.45">
      <c r="A82">
        <v>125</v>
      </c>
      <c r="B82">
        <f>_xlfn.IFNA(VLOOKUP(Analiza[[#This Row],[Zakończono wypełnianie]],Zakończone[],2,0),"BRAK")</f>
        <v>74</v>
      </c>
      <c r="C82">
        <f t="shared" si="2"/>
        <v>79</v>
      </c>
      <c r="D82" t="s">
        <v>1163</v>
      </c>
      <c r="E82" t="s">
        <v>118</v>
      </c>
      <c r="J82" t="s">
        <v>119</v>
      </c>
      <c r="K82" t="s">
        <v>1164</v>
      </c>
      <c r="L82" t="s">
        <v>1165</v>
      </c>
      <c r="M82">
        <v>982</v>
      </c>
      <c r="N82">
        <v>0</v>
      </c>
      <c r="O82" t="s">
        <v>122</v>
      </c>
      <c r="P82" s="1" t="s">
        <v>123</v>
      </c>
      <c r="AF82" s="1" t="s">
        <v>124</v>
      </c>
      <c r="AG82" t="s">
        <v>191</v>
      </c>
      <c r="AH82">
        <v>1978</v>
      </c>
      <c r="AI82" t="s">
        <v>148</v>
      </c>
      <c r="AJ82" t="s">
        <v>1167</v>
      </c>
      <c r="AK82" t="s">
        <v>169</v>
      </c>
      <c r="AL82" t="s">
        <v>169</v>
      </c>
      <c r="AM82" t="s">
        <v>169</v>
      </c>
      <c r="AN82" t="s">
        <v>150</v>
      </c>
      <c r="AO82" t="s">
        <v>150</v>
      </c>
      <c r="AP82" t="s">
        <v>1168</v>
      </c>
      <c r="AQ82" t="s">
        <v>132</v>
      </c>
      <c r="AR82" t="s">
        <v>132</v>
      </c>
      <c r="AS82" t="s">
        <v>1169</v>
      </c>
      <c r="AT82" t="s">
        <v>1170</v>
      </c>
      <c r="AU82" t="s">
        <v>132</v>
      </c>
      <c r="AW82" t="s">
        <v>1171</v>
      </c>
      <c r="AX82" s="1" t="s">
        <v>159</v>
      </c>
      <c r="AY82">
        <v>1</v>
      </c>
      <c r="AZ82" t="s">
        <v>1290</v>
      </c>
      <c r="BA82">
        <v>2020</v>
      </c>
      <c r="BB82" t="s">
        <v>148</v>
      </c>
      <c r="BC82" t="s">
        <v>1050</v>
      </c>
      <c r="BD82" t="s">
        <v>132</v>
      </c>
      <c r="BE82" t="s">
        <v>132</v>
      </c>
      <c r="BF82" t="s">
        <v>132</v>
      </c>
      <c r="BG82" t="s">
        <v>132</v>
      </c>
      <c r="BH82" t="s">
        <v>132</v>
      </c>
      <c r="BI82" t="s">
        <v>1173</v>
      </c>
      <c r="BJ82" t="s">
        <v>1174</v>
      </c>
      <c r="BK82" t="s">
        <v>230</v>
      </c>
      <c r="BM82" t="s">
        <v>1175</v>
      </c>
      <c r="BN82" t="s">
        <v>173</v>
      </c>
      <c r="CR82" s="1" t="s">
        <v>123</v>
      </c>
      <c r="DB82" s="1" t="s">
        <v>214</v>
      </c>
      <c r="DC82" t="s">
        <v>191</v>
      </c>
      <c r="DD82" t="s">
        <v>308</v>
      </c>
      <c r="DE82" t="s">
        <v>169</v>
      </c>
      <c r="DF82" t="s">
        <v>162</v>
      </c>
      <c r="DG82" t="s">
        <v>150</v>
      </c>
      <c r="DH82" t="s">
        <v>169</v>
      </c>
      <c r="DI82" t="s">
        <v>150</v>
      </c>
      <c r="DJ82" t="s">
        <v>150</v>
      </c>
      <c r="DK82" t="s">
        <v>1177</v>
      </c>
      <c r="DL82" s="1" t="s">
        <v>174</v>
      </c>
      <c r="DO82" t="s">
        <v>1178</v>
      </c>
      <c r="DQ82" t="s">
        <v>747</v>
      </c>
      <c r="DR82" t="s">
        <v>150</v>
      </c>
      <c r="DS82" t="s">
        <v>150</v>
      </c>
      <c r="DT82" t="s">
        <v>150</v>
      </c>
      <c r="DU82" t="s">
        <v>150</v>
      </c>
      <c r="DV82" t="s">
        <v>162</v>
      </c>
      <c r="DW82" t="s">
        <v>162</v>
      </c>
      <c r="DX82" t="s">
        <v>162</v>
      </c>
      <c r="DY82">
        <v>25</v>
      </c>
      <c r="DZ82">
        <v>10</v>
      </c>
      <c r="EA82">
        <v>0</v>
      </c>
      <c r="EB82">
        <v>10</v>
      </c>
      <c r="EC82">
        <v>25</v>
      </c>
      <c r="ED82">
        <v>15</v>
      </c>
      <c r="EE82">
        <v>15</v>
      </c>
      <c r="EG82">
        <v>10</v>
      </c>
      <c r="EH82">
        <v>10</v>
      </c>
      <c r="EI82">
        <v>0</v>
      </c>
      <c r="EJ82">
        <v>10</v>
      </c>
      <c r="EK82">
        <v>50</v>
      </c>
      <c r="EL82">
        <v>10</v>
      </c>
      <c r="EM82">
        <v>10</v>
      </c>
      <c r="EO82" s="1" t="s">
        <v>123</v>
      </c>
      <c r="FO82" s="1" t="s">
        <v>123</v>
      </c>
      <c r="GW82" t="s">
        <v>1179</v>
      </c>
      <c r="GX82" t="s">
        <v>1180</v>
      </c>
      <c r="GY82" t="s">
        <v>1181</v>
      </c>
      <c r="GZ82" t="s">
        <v>186</v>
      </c>
      <c r="HA82" t="s">
        <v>1182</v>
      </c>
      <c r="HB82" t="s">
        <v>141</v>
      </c>
      <c r="HD82" t="s">
        <v>1183</v>
      </c>
    </row>
    <row r="83" spans="1:213" x14ac:dyDescent="0.45">
      <c r="A83">
        <v>126</v>
      </c>
      <c r="B83">
        <f>_xlfn.IFNA(VLOOKUP(Analiza[[#This Row],[Zakończono wypełnianie]],Zakończone[],2,0),"BRAK")</f>
        <v>75</v>
      </c>
      <c r="C83">
        <f t="shared" si="2"/>
        <v>31</v>
      </c>
      <c r="D83" t="s">
        <v>1151</v>
      </c>
      <c r="E83" t="s">
        <v>118</v>
      </c>
      <c r="F83" t="s">
        <v>359</v>
      </c>
      <c r="J83" t="s">
        <v>119</v>
      </c>
      <c r="K83" t="s">
        <v>1184</v>
      </c>
      <c r="L83" t="s">
        <v>1185</v>
      </c>
      <c r="M83">
        <v>739</v>
      </c>
      <c r="N83">
        <v>0</v>
      </c>
      <c r="O83" t="s">
        <v>122</v>
      </c>
      <c r="P83" s="1" t="s">
        <v>123</v>
      </c>
      <c r="AF83" s="1" t="s">
        <v>124</v>
      </c>
      <c r="AG83" t="s">
        <v>191</v>
      </c>
      <c r="AH83">
        <v>2018</v>
      </c>
      <c r="AI83" t="s">
        <v>126</v>
      </c>
      <c r="AJ83" t="s">
        <v>1186</v>
      </c>
      <c r="AK83" t="s">
        <v>151</v>
      </c>
      <c r="AL83" t="s">
        <v>162</v>
      </c>
      <c r="AM83" t="s">
        <v>169</v>
      </c>
      <c r="AN83" t="s">
        <v>150</v>
      </c>
      <c r="AO83" t="s">
        <v>132</v>
      </c>
      <c r="AP83" t="s">
        <v>959</v>
      </c>
      <c r="AQ83" t="s">
        <v>302</v>
      </c>
      <c r="AR83" t="s">
        <v>226</v>
      </c>
      <c r="AS83" t="s">
        <v>1187</v>
      </c>
      <c r="AT83" t="s">
        <v>1188</v>
      </c>
      <c r="AU83" t="s">
        <v>1189</v>
      </c>
      <c r="AV83" t="s">
        <v>172</v>
      </c>
      <c r="AX83" s="1" t="s">
        <v>123</v>
      </c>
      <c r="CR83" s="1" t="s">
        <v>123</v>
      </c>
      <c r="DB83" s="1" t="s">
        <v>123</v>
      </c>
      <c r="DL83" s="1" t="s">
        <v>123</v>
      </c>
      <c r="EO83" s="1" t="s">
        <v>123</v>
      </c>
      <c r="FO83" s="1" t="s">
        <v>123</v>
      </c>
      <c r="GW83" t="s">
        <v>276</v>
      </c>
      <c r="GX83" t="s">
        <v>1190</v>
      </c>
      <c r="GY83" t="s">
        <v>1191</v>
      </c>
      <c r="GZ83" t="s">
        <v>186</v>
      </c>
      <c r="HA83">
        <v>1991</v>
      </c>
      <c r="HB83" t="s">
        <v>141</v>
      </c>
    </row>
    <row r="84" spans="1:213" x14ac:dyDescent="0.45">
      <c r="A84">
        <v>127</v>
      </c>
      <c r="B84">
        <f>_xlfn.IFNA(VLOOKUP(Analiza[[#This Row],[Zakończono wypełnianie]],Zakończone[],2,0),"BRAK")</f>
        <v>76</v>
      </c>
      <c r="C84">
        <f t="shared" si="2"/>
        <v>42</v>
      </c>
      <c r="D84" t="s">
        <v>1192</v>
      </c>
      <c r="E84" t="s">
        <v>118</v>
      </c>
      <c r="J84" t="s">
        <v>119</v>
      </c>
      <c r="K84" t="s">
        <v>1193</v>
      </c>
      <c r="L84" t="s">
        <v>1194</v>
      </c>
      <c r="M84">
        <v>1676</v>
      </c>
      <c r="N84">
        <v>0</v>
      </c>
      <c r="O84" t="s">
        <v>122</v>
      </c>
      <c r="P84" s="1" t="s">
        <v>123</v>
      </c>
      <c r="AF84" s="1" t="s">
        <v>124</v>
      </c>
      <c r="AG84" t="s">
        <v>223</v>
      </c>
      <c r="AH84">
        <v>1998</v>
      </c>
      <c r="AI84" t="s">
        <v>148</v>
      </c>
      <c r="AJ84" t="s">
        <v>1195</v>
      </c>
      <c r="AK84" t="s">
        <v>162</v>
      </c>
      <c r="AL84" t="s">
        <v>151</v>
      </c>
      <c r="AM84" t="s">
        <v>151</v>
      </c>
      <c r="AN84" t="s">
        <v>236</v>
      </c>
      <c r="AO84" t="s">
        <v>151</v>
      </c>
      <c r="AP84">
        <v>0</v>
      </c>
      <c r="AQ84" t="s">
        <v>131</v>
      </c>
      <c r="AR84" t="s">
        <v>302</v>
      </c>
      <c r="AS84" t="s">
        <v>1196</v>
      </c>
      <c r="AT84" t="s">
        <v>1196</v>
      </c>
      <c r="AU84" t="s">
        <v>1197</v>
      </c>
      <c r="AV84" t="s">
        <v>157</v>
      </c>
      <c r="AX84" s="1" t="s">
        <v>123</v>
      </c>
      <c r="CR84" s="1" t="s">
        <v>123</v>
      </c>
      <c r="DB84" s="1" t="s">
        <v>123</v>
      </c>
      <c r="DL84" s="1" t="s">
        <v>123</v>
      </c>
      <c r="EO84" s="1" t="s">
        <v>177</v>
      </c>
      <c r="EP84" t="s">
        <v>180</v>
      </c>
      <c r="EQ84" t="s">
        <v>132</v>
      </c>
      <c r="ER84" t="s">
        <v>132</v>
      </c>
      <c r="ES84" t="s">
        <v>151</v>
      </c>
      <c r="ET84" t="s">
        <v>151</v>
      </c>
      <c r="EU84" t="s">
        <v>151</v>
      </c>
      <c r="EV84" t="s">
        <v>178</v>
      </c>
      <c r="EW84" t="s">
        <v>132</v>
      </c>
      <c r="EX84" t="s">
        <v>132</v>
      </c>
      <c r="EY84" t="s">
        <v>173</v>
      </c>
      <c r="FO84" s="1" t="s">
        <v>123</v>
      </c>
      <c r="GW84" t="s">
        <v>1198</v>
      </c>
      <c r="GX84" t="s">
        <v>1199</v>
      </c>
      <c r="GY84" t="s">
        <v>1198</v>
      </c>
      <c r="GZ84" t="s">
        <v>186</v>
      </c>
      <c r="HA84">
        <v>1974</v>
      </c>
      <c r="HB84" t="s">
        <v>141</v>
      </c>
      <c r="HC84" t="s">
        <v>313</v>
      </c>
    </row>
    <row r="85" spans="1:213" x14ac:dyDescent="0.45">
      <c r="A85">
        <v>128</v>
      </c>
      <c r="B85">
        <f>_xlfn.IFNA(VLOOKUP(Analiza[[#This Row],[Zakończono wypełnianie]],Zakończone[],2,0),"BRAK")</f>
        <v>77</v>
      </c>
      <c r="C85">
        <f t="shared" si="2"/>
        <v>43</v>
      </c>
      <c r="D85" t="s">
        <v>1200</v>
      </c>
      <c r="E85" t="s">
        <v>118</v>
      </c>
      <c r="J85" t="s">
        <v>119</v>
      </c>
      <c r="K85" t="s">
        <v>1201</v>
      </c>
      <c r="L85" t="s">
        <v>1202</v>
      </c>
      <c r="M85">
        <v>658</v>
      </c>
      <c r="N85">
        <v>0</v>
      </c>
      <c r="O85" t="s">
        <v>122</v>
      </c>
      <c r="P85" s="1" t="s">
        <v>123</v>
      </c>
      <c r="AF85" s="1" t="s">
        <v>123</v>
      </c>
      <c r="AX85" s="1" t="s">
        <v>123</v>
      </c>
      <c r="CR85" s="1" t="s">
        <v>123</v>
      </c>
      <c r="DB85" s="1" t="s">
        <v>214</v>
      </c>
      <c r="DC85" t="s">
        <v>191</v>
      </c>
      <c r="DD85" t="s">
        <v>308</v>
      </c>
      <c r="DE85" t="s">
        <v>162</v>
      </c>
      <c r="DF85" t="s">
        <v>162</v>
      </c>
      <c r="DG85" t="s">
        <v>150</v>
      </c>
      <c r="DH85" t="s">
        <v>150</v>
      </c>
      <c r="DI85" t="s">
        <v>150</v>
      </c>
      <c r="DJ85" t="s">
        <v>169</v>
      </c>
      <c r="DK85" t="s">
        <v>1203</v>
      </c>
      <c r="DL85" s="1" t="s">
        <v>123</v>
      </c>
      <c r="EO85" s="1" t="s">
        <v>177</v>
      </c>
      <c r="EP85" t="s">
        <v>178</v>
      </c>
      <c r="EQ85">
        <v>2</v>
      </c>
      <c r="ER85" t="s">
        <v>191</v>
      </c>
      <c r="ES85" t="s">
        <v>169</v>
      </c>
      <c r="ET85" t="s">
        <v>169</v>
      </c>
      <c r="EU85" t="s">
        <v>169</v>
      </c>
      <c r="EV85" t="s">
        <v>178</v>
      </c>
      <c r="EW85" t="s">
        <v>1204</v>
      </c>
      <c r="EX85" t="s">
        <v>1205</v>
      </c>
      <c r="EY85" t="s">
        <v>1206</v>
      </c>
      <c r="EZ85" t="s">
        <v>223</v>
      </c>
      <c r="FA85" t="s">
        <v>128</v>
      </c>
      <c r="FB85" t="s">
        <v>236</v>
      </c>
      <c r="FC85" t="s">
        <v>129</v>
      </c>
      <c r="FD85" t="s">
        <v>178</v>
      </c>
      <c r="FE85" t="s">
        <v>960</v>
      </c>
      <c r="FF85" t="s">
        <v>1207</v>
      </c>
      <c r="FG85" t="s">
        <v>173</v>
      </c>
      <c r="FO85" s="1" t="s">
        <v>123</v>
      </c>
      <c r="GW85" t="s">
        <v>1208</v>
      </c>
      <c r="GX85" t="s">
        <v>1209</v>
      </c>
      <c r="GY85" t="s">
        <v>1210</v>
      </c>
      <c r="GZ85" t="s">
        <v>186</v>
      </c>
      <c r="HA85">
        <v>1987</v>
      </c>
      <c r="HB85" t="s">
        <v>141</v>
      </c>
      <c r="HD85" t="s">
        <v>191</v>
      </c>
    </row>
    <row r="86" spans="1:213" x14ac:dyDescent="0.45">
      <c r="A86">
        <v>129</v>
      </c>
      <c r="B86">
        <f>_xlfn.IFNA(VLOOKUP(Analiza[[#This Row],[Zakończono wypełnianie]],Zakończone[],2,0),"BRAK")</f>
        <v>78</v>
      </c>
      <c r="C86">
        <f t="shared" si="2"/>
        <v>31</v>
      </c>
      <c r="D86" t="s">
        <v>1211</v>
      </c>
      <c r="E86" t="s">
        <v>118</v>
      </c>
      <c r="F86" t="s">
        <v>1152</v>
      </c>
      <c r="J86" t="s">
        <v>119</v>
      </c>
      <c r="K86" t="s">
        <v>1212</v>
      </c>
      <c r="L86" t="s">
        <v>1213</v>
      </c>
      <c r="M86">
        <v>808</v>
      </c>
      <c r="N86">
        <v>0</v>
      </c>
      <c r="O86" t="s">
        <v>122</v>
      </c>
      <c r="P86" s="1" t="s">
        <v>123</v>
      </c>
      <c r="AF86" s="1" t="s">
        <v>124</v>
      </c>
      <c r="AG86" t="s">
        <v>428</v>
      </c>
      <c r="AH86">
        <v>1998</v>
      </c>
      <c r="AI86" t="s">
        <v>148</v>
      </c>
      <c r="AJ86" t="s">
        <v>1215</v>
      </c>
      <c r="AK86" t="s">
        <v>150</v>
      </c>
      <c r="AL86" t="s">
        <v>150</v>
      </c>
      <c r="AM86" t="s">
        <v>151</v>
      </c>
      <c r="AN86" t="s">
        <v>129</v>
      </c>
      <c r="AO86" t="s">
        <v>128</v>
      </c>
      <c r="AP86" t="s">
        <v>1216</v>
      </c>
      <c r="AQ86" t="s">
        <v>131</v>
      </c>
      <c r="AR86" t="s">
        <v>131</v>
      </c>
      <c r="AS86" t="s">
        <v>1217</v>
      </c>
      <c r="AT86" t="s">
        <v>1218</v>
      </c>
      <c r="AU86" t="s">
        <v>1219</v>
      </c>
      <c r="AW86" t="s">
        <v>1220</v>
      </c>
      <c r="AX86" s="1" t="s">
        <v>123</v>
      </c>
      <c r="CR86" s="1" t="s">
        <v>123</v>
      </c>
      <c r="DB86" s="1" t="s">
        <v>123</v>
      </c>
      <c r="DL86" s="1" t="s">
        <v>123</v>
      </c>
      <c r="EO86" s="1" t="s">
        <v>123</v>
      </c>
      <c r="FO86" s="1" t="s">
        <v>123</v>
      </c>
      <c r="GW86" t="s">
        <v>1221</v>
      </c>
      <c r="GX86" t="s">
        <v>1222</v>
      </c>
      <c r="GY86" t="s">
        <v>1223</v>
      </c>
      <c r="GZ86" t="s">
        <v>186</v>
      </c>
      <c r="HA86">
        <v>1973</v>
      </c>
      <c r="HB86" t="s">
        <v>141</v>
      </c>
    </row>
    <row r="87" spans="1:213" x14ac:dyDescent="0.45">
      <c r="A87">
        <v>130</v>
      </c>
      <c r="B87">
        <f>_xlfn.IFNA(VLOOKUP(Analiza[[#This Row],[Zakończono wypełnianie]],Zakończone[],2,0),"BRAK")</f>
        <v>79</v>
      </c>
      <c r="C87">
        <f t="shared" si="2"/>
        <v>81</v>
      </c>
      <c r="D87" t="s">
        <v>1224</v>
      </c>
      <c r="E87" t="s">
        <v>118</v>
      </c>
      <c r="F87" t="s">
        <v>797</v>
      </c>
      <c r="J87" t="s">
        <v>119</v>
      </c>
      <c r="K87" t="s">
        <v>1225</v>
      </c>
      <c r="L87" t="s">
        <v>1226</v>
      </c>
      <c r="M87">
        <v>4209</v>
      </c>
      <c r="N87">
        <v>0</v>
      </c>
      <c r="O87" t="s">
        <v>122</v>
      </c>
      <c r="P87" s="1" t="s">
        <v>123</v>
      </c>
      <c r="AF87" s="1" t="s">
        <v>124</v>
      </c>
      <c r="AG87" t="s">
        <v>2269</v>
      </c>
      <c r="AH87">
        <v>1985</v>
      </c>
      <c r="AI87" t="s">
        <v>148</v>
      </c>
      <c r="AJ87" t="s">
        <v>391</v>
      </c>
      <c r="AK87" t="s">
        <v>150</v>
      </c>
      <c r="AL87" t="s">
        <v>150</v>
      </c>
      <c r="AM87" t="s">
        <v>169</v>
      </c>
      <c r="AN87" t="s">
        <v>236</v>
      </c>
      <c r="AO87" t="s">
        <v>236</v>
      </c>
      <c r="AP87">
        <v>0</v>
      </c>
      <c r="AQ87" t="s">
        <v>152</v>
      </c>
      <c r="AR87" t="s">
        <v>152</v>
      </c>
      <c r="AS87" t="s">
        <v>1228</v>
      </c>
      <c r="AT87" t="s">
        <v>1229</v>
      </c>
      <c r="AU87" t="s">
        <v>1229</v>
      </c>
      <c r="AV87" t="s">
        <v>157</v>
      </c>
      <c r="AX87" s="1" t="s">
        <v>159</v>
      </c>
      <c r="AY87">
        <v>2</v>
      </c>
      <c r="AZ87" t="s">
        <v>1230</v>
      </c>
      <c r="BA87">
        <v>2005</v>
      </c>
      <c r="BB87" t="s">
        <v>148</v>
      </c>
      <c r="BC87" t="s">
        <v>1231</v>
      </c>
      <c r="BD87" t="s">
        <v>169</v>
      </c>
      <c r="BE87" t="s">
        <v>169</v>
      </c>
      <c r="BF87" t="s">
        <v>169</v>
      </c>
      <c r="BG87" t="s">
        <v>236</v>
      </c>
      <c r="BH87" t="s">
        <v>236</v>
      </c>
      <c r="BI87">
        <v>0</v>
      </c>
      <c r="BJ87" t="s">
        <v>1232</v>
      </c>
      <c r="BK87" t="s">
        <v>157</v>
      </c>
      <c r="BN87" t="s">
        <v>166</v>
      </c>
      <c r="BO87" t="s">
        <v>1233</v>
      </c>
      <c r="BP87">
        <v>2008</v>
      </c>
      <c r="BQ87" t="s">
        <v>148</v>
      </c>
      <c r="BR87" t="s">
        <v>1234</v>
      </c>
      <c r="BS87" t="s">
        <v>169</v>
      </c>
      <c r="BT87" t="s">
        <v>169</v>
      </c>
      <c r="BU87" t="s">
        <v>169</v>
      </c>
      <c r="BV87" t="s">
        <v>128</v>
      </c>
      <c r="BW87" t="s">
        <v>162</v>
      </c>
      <c r="BX87" t="s">
        <v>1235</v>
      </c>
      <c r="BY87" t="s">
        <v>1236</v>
      </c>
      <c r="BZ87" t="s">
        <v>157</v>
      </c>
      <c r="CC87" t="s">
        <v>173</v>
      </c>
      <c r="CR87" s="1" t="s">
        <v>123</v>
      </c>
      <c r="DB87" s="1" t="s">
        <v>123</v>
      </c>
      <c r="DL87" s="1" t="s">
        <v>174</v>
      </c>
      <c r="DM87" t="s">
        <v>394</v>
      </c>
      <c r="DQ87" t="s">
        <v>1230</v>
      </c>
      <c r="DR87" t="s">
        <v>150</v>
      </c>
      <c r="DS87" t="s">
        <v>150</v>
      </c>
      <c r="DT87" t="s">
        <v>150</v>
      </c>
      <c r="DU87" t="s">
        <v>150</v>
      </c>
      <c r="DV87" t="s">
        <v>150</v>
      </c>
      <c r="DW87" t="s">
        <v>169</v>
      </c>
      <c r="DX87" t="s">
        <v>150</v>
      </c>
      <c r="DY87">
        <v>20</v>
      </c>
      <c r="DZ87">
        <v>5</v>
      </c>
      <c r="EA87">
        <v>0</v>
      </c>
      <c r="EB87">
        <v>30</v>
      </c>
      <c r="EC87">
        <v>25</v>
      </c>
      <c r="ED87">
        <v>10</v>
      </c>
      <c r="EE87">
        <v>10</v>
      </c>
      <c r="EG87">
        <v>10</v>
      </c>
      <c r="EH87">
        <v>5</v>
      </c>
      <c r="EI87">
        <v>0</v>
      </c>
      <c r="EJ87">
        <v>25</v>
      </c>
      <c r="EK87">
        <v>25</v>
      </c>
      <c r="EL87">
        <v>5</v>
      </c>
      <c r="EM87">
        <v>30</v>
      </c>
      <c r="EO87" s="1" t="s">
        <v>123</v>
      </c>
      <c r="FO87" s="1" t="s">
        <v>123</v>
      </c>
      <c r="GW87" t="s">
        <v>1237</v>
      </c>
      <c r="GX87" t="s">
        <v>1229</v>
      </c>
      <c r="GY87" t="s">
        <v>1229</v>
      </c>
      <c r="GZ87" t="s">
        <v>140</v>
      </c>
      <c r="HA87">
        <v>1958</v>
      </c>
      <c r="HB87" t="s">
        <v>141</v>
      </c>
    </row>
    <row r="88" spans="1:213" x14ac:dyDescent="0.45">
      <c r="A88">
        <v>131</v>
      </c>
      <c r="B88">
        <f>_xlfn.IFNA(VLOOKUP(Analiza[[#This Row],[Zakończono wypełnianie]],Zakończone[],2,0),"BRAK")</f>
        <v>80</v>
      </c>
      <c r="C88">
        <f t="shared" si="2"/>
        <v>35</v>
      </c>
      <c r="D88" t="s">
        <v>1238</v>
      </c>
      <c r="E88" t="s">
        <v>118</v>
      </c>
      <c r="J88" t="s">
        <v>119</v>
      </c>
      <c r="K88" t="s">
        <v>1239</v>
      </c>
      <c r="L88" t="s">
        <v>1240</v>
      </c>
      <c r="M88">
        <v>356</v>
      </c>
      <c r="N88">
        <v>0</v>
      </c>
      <c r="O88" t="s">
        <v>122</v>
      </c>
      <c r="P88" s="1" t="s">
        <v>123</v>
      </c>
      <c r="AF88" s="1" t="s">
        <v>124</v>
      </c>
      <c r="AG88" t="s">
        <v>223</v>
      </c>
      <c r="AH88">
        <v>1997</v>
      </c>
      <c r="AI88" t="s">
        <v>148</v>
      </c>
      <c r="AJ88" t="s">
        <v>161</v>
      </c>
      <c r="AK88" t="s">
        <v>128</v>
      </c>
      <c r="AL88" t="s">
        <v>128</v>
      </c>
      <c r="AM88" t="s">
        <v>162</v>
      </c>
      <c r="AN88" t="s">
        <v>162</v>
      </c>
      <c r="AO88" t="s">
        <v>162</v>
      </c>
      <c r="AP88">
        <v>1</v>
      </c>
      <c r="AQ88" t="s">
        <v>131</v>
      </c>
      <c r="AR88" t="s">
        <v>131</v>
      </c>
      <c r="AS88" t="s">
        <v>1241</v>
      </c>
      <c r="AT88" t="s">
        <v>1242</v>
      </c>
      <c r="AU88" t="s">
        <v>1243</v>
      </c>
      <c r="AV88" t="s">
        <v>157</v>
      </c>
      <c r="AW88" t="s">
        <v>1244</v>
      </c>
      <c r="AX88" s="1" t="s">
        <v>123</v>
      </c>
      <c r="CR88" s="1" t="s">
        <v>123</v>
      </c>
      <c r="DB88" s="1" t="s">
        <v>123</v>
      </c>
      <c r="DL88" s="1" t="s">
        <v>123</v>
      </c>
      <c r="EO88" s="1" t="s">
        <v>123</v>
      </c>
      <c r="EP88" t="s">
        <v>178</v>
      </c>
      <c r="EQ88" t="s">
        <v>132</v>
      </c>
      <c r="FO88" s="1" t="s">
        <v>123</v>
      </c>
      <c r="GW88" t="s">
        <v>1245</v>
      </c>
      <c r="GX88" t="s">
        <v>1246</v>
      </c>
      <c r="GY88" t="s">
        <v>1247</v>
      </c>
      <c r="GZ88" t="s">
        <v>186</v>
      </c>
      <c r="HA88">
        <v>1974</v>
      </c>
      <c r="HB88" t="s">
        <v>398</v>
      </c>
      <c r="HD88" t="s">
        <v>1248</v>
      </c>
    </row>
    <row r="89" spans="1:213" x14ac:dyDescent="0.45">
      <c r="A89">
        <v>133</v>
      </c>
      <c r="B89">
        <f>_xlfn.IFNA(VLOOKUP(Analiza[[#This Row],[Zakończono wypełnianie]],Zakończone[],2,0),"BRAK")</f>
        <v>81</v>
      </c>
      <c r="C89">
        <f t="shared" si="2"/>
        <v>41</v>
      </c>
      <c r="D89" t="s">
        <v>1251</v>
      </c>
      <c r="E89" t="s">
        <v>118</v>
      </c>
      <c r="J89" t="s">
        <v>119</v>
      </c>
      <c r="K89" t="s">
        <v>1252</v>
      </c>
      <c r="L89" t="s">
        <v>1253</v>
      </c>
      <c r="M89">
        <v>367</v>
      </c>
      <c r="N89">
        <v>0</v>
      </c>
      <c r="O89" t="s">
        <v>122</v>
      </c>
      <c r="P89" s="1" t="s">
        <v>123</v>
      </c>
      <c r="AF89" s="1" t="s">
        <v>124</v>
      </c>
      <c r="AG89" t="s">
        <v>223</v>
      </c>
      <c r="AH89">
        <v>2006</v>
      </c>
      <c r="AI89" t="s">
        <v>148</v>
      </c>
      <c r="AJ89" t="s">
        <v>1050</v>
      </c>
      <c r="AK89" t="s">
        <v>162</v>
      </c>
      <c r="AL89" t="s">
        <v>162</v>
      </c>
      <c r="AM89" t="s">
        <v>169</v>
      </c>
      <c r="AN89" t="s">
        <v>236</v>
      </c>
      <c r="AO89" t="s">
        <v>151</v>
      </c>
      <c r="AP89">
        <v>3</v>
      </c>
      <c r="AQ89" t="s">
        <v>131</v>
      </c>
      <c r="AR89" t="s">
        <v>302</v>
      </c>
      <c r="AS89" t="s">
        <v>1254</v>
      </c>
      <c r="AT89" t="s">
        <v>1255</v>
      </c>
      <c r="AU89" t="s">
        <v>1256</v>
      </c>
      <c r="AV89" t="s">
        <v>157</v>
      </c>
      <c r="AW89" t="s">
        <v>1257</v>
      </c>
      <c r="AX89" s="1" t="s">
        <v>123</v>
      </c>
      <c r="CR89" s="1" t="s">
        <v>123</v>
      </c>
      <c r="DB89" s="1" t="s">
        <v>214</v>
      </c>
      <c r="DC89" t="s">
        <v>191</v>
      </c>
      <c r="DD89" t="s">
        <v>308</v>
      </c>
      <c r="DE89" t="s">
        <v>169</v>
      </c>
      <c r="DF89" t="s">
        <v>150</v>
      </c>
      <c r="DG89" t="s">
        <v>150</v>
      </c>
      <c r="DH89" t="s">
        <v>169</v>
      </c>
      <c r="DI89" t="s">
        <v>162</v>
      </c>
      <c r="DJ89" t="s">
        <v>162</v>
      </c>
      <c r="DK89" t="s">
        <v>1258</v>
      </c>
      <c r="DL89" s="1" t="s">
        <v>123</v>
      </c>
      <c r="EO89" s="1" t="s">
        <v>123</v>
      </c>
      <c r="FO89" s="1" t="s">
        <v>123</v>
      </c>
      <c r="GW89" t="s">
        <v>1259</v>
      </c>
      <c r="GX89" t="s">
        <v>1260</v>
      </c>
      <c r="GY89" t="s">
        <v>1261</v>
      </c>
      <c r="GZ89" t="s">
        <v>186</v>
      </c>
      <c r="HA89">
        <v>1982</v>
      </c>
      <c r="HB89" t="s">
        <v>141</v>
      </c>
    </row>
    <row r="90" spans="1:213" x14ac:dyDescent="0.45">
      <c r="A90">
        <v>135</v>
      </c>
      <c r="B90">
        <f>_xlfn.IFNA(VLOOKUP(Analiza[[#This Row],[Zakończono wypełnianie]],Zakończone[],2,0),"BRAK")</f>
        <v>82</v>
      </c>
      <c r="C90">
        <f t="shared" si="2"/>
        <v>67</v>
      </c>
      <c r="D90" t="s">
        <v>1264</v>
      </c>
      <c r="E90" t="s">
        <v>118</v>
      </c>
      <c r="F90" t="s">
        <v>1265</v>
      </c>
      <c r="J90" t="s">
        <v>119</v>
      </c>
      <c r="K90" t="s">
        <v>1266</v>
      </c>
      <c r="L90" t="s">
        <v>1267</v>
      </c>
      <c r="M90">
        <v>2127</v>
      </c>
      <c r="N90">
        <v>0</v>
      </c>
      <c r="O90" t="s">
        <v>122</v>
      </c>
      <c r="P90" s="1" t="s">
        <v>123</v>
      </c>
      <c r="AF90" s="1" t="s">
        <v>124</v>
      </c>
      <c r="AG90" t="s">
        <v>191</v>
      </c>
      <c r="AH90">
        <v>1982</v>
      </c>
      <c r="AI90" t="s">
        <v>126</v>
      </c>
      <c r="AJ90" t="s">
        <v>1268</v>
      </c>
      <c r="AK90" t="s">
        <v>169</v>
      </c>
      <c r="AL90" t="s">
        <v>169</v>
      </c>
      <c r="AM90" t="s">
        <v>169</v>
      </c>
      <c r="AN90" t="s">
        <v>169</v>
      </c>
      <c r="AO90" t="s">
        <v>169</v>
      </c>
      <c r="AP90">
        <v>0</v>
      </c>
      <c r="AQ90" t="s">
        <v>153</v>
      </c>
      <c r="AR90" t="s">
        <v>759</v>
      </c>
      <c r="AS90" t="s">
        <v>1269</v>
      </c>
      <c r="AT90" t="s">
        <v>1270</v>
      </c>
      <c r="AU90" t="s">
        <v>386</v>
      </c>
      <c r="AW90" t="s">
        <v>1271</v>
      </c>
      <c r="AX90" s="1" t="s">
        <v>159</v>
      </c>
      <c r="AY90">
        <v>1</v>
      </c>
      <c r="AZ90" t="s">
        <v>1290</v>
      </c>
      <c r="BA90">
        <v>2011</v>
      </c>
      <c r="BB90" t="s">
        <v>148</v>
      </c>
      <c r="BC90" t="s">
        <v>1050</v>
      </c>
      <c r="BD90" t="s">
        <v>169</v>
      </c>
      <c r="BE90" t="s">
        <v>169</v>
      </c>
      <c r="BF90" t="s">
        <v>169</v>
      </c>
      <c r="BG90" t="s">
        <v>169</v>
      </c>
      <c r="BH90" t="s">
        <v>169</v>
      </c>
      <c r="BI90" t="s">
        <v>1273</v>
      </c>
      <c r="BJ90" t="s">
        <v>1274</v>
      </c>
      <c r="BK90" t="s">
        <v>157</v>
      </c>
      <c r="BM90" t="s">
        <v>1275</v>
      </c>
      <c r="BN90" t="s">
        <v>173</v>
      </c>
      <c r="CR90" s="1" t="s">
        <v>123</v>
      </c>
      <c r="DB90" s="1" t="s">
        <v>214</v>
      </c>
      <c r="DC90" t="s">
        <v>191</v>
      </c>
      <c r="DD90" t="s">
        <v>1276</v>
      </c>
      <c r="DE90" t="s">
        <v>169</v>
      </c>
      <c r="DF90" t="s">
        <v>169</v>
      </c>
      <c r="DG90" t="s">
        <v>169</v>
      </c>
      <c r="DH90" t="s">
        <v>150</v>
      </c>
      <c r="DI90" t="s">
        <v>169</v>
      </c>
      <c r="DJ90" t="s">
        <v>169</v>
      </c>
      <c r="DK90" t="s">
        <v>1277</v>
      </c>
      <c r="DL90" s="1" t="s">
        <v>123</v>
      </c>
      <c r="EO90" s="1" t="s">
        <v>177</v>
      </c>
      <c r="EP90" t="s">
        <v>178</v>
      </c>
      <c r="EQ90">
        <v>1</v>
      </c>
      <c r="ER90" t="s">
        <v>747</v>
      </c>
      <c r="ES90" t="s">
        <v>169</v>
      </c>
      <c r="ET90" t="s">
        <v>169</v>
      </c>
      <c r="EU90" t="s">
        <v>151</v>
      </c>
      <c r="EV90" t="s">
        <v>178</v>
      </c>
      <c r="EW90" t="s">
        <v>1278</v>
      </c>
      <c r="EX90" t="s">
        <v>1279</v>
      </c>
      <c r="EY90" t="s">
        <v>173</v>
      </c>
      <c r="FO90" s="1" t="s">
        <v>123</v>
      </c>
      <c r="GW90" t="s">
        <v>1280</v>
      </c>
      <c r="GX90" t="s">
        <v>1281</v>
      </c>
      <c r="GY90" t="s">
        <v>1282</v>
      </c>
      <c r="GZ90" t="s">
        <v>186</v>
      </c>
      <c r="HA90" t="s">
        <v>1283</v>
      </c>
      <c r="HB90" t="s">
        <v>398</v>
      </c>
      <c r="HD90" t="s">
        <v>1284</v>
      </c>
      <c r="HE90" t="s">
        <v>1285</v>
      </c>
    </row>
    <row r="91" spans="1:213" x14ac:dyDescent="0.45">
      <c r="A91">
        <v>137</v>
      </c>
      <c r="B91">
        <f>_xlfn.IFNA(VLOOKUP(Analiza[[#This Row],[Zakończono wypełnianie]],Zakończone[],2,0),"BRAK")</f>
        <v>83</v>
      </c>
      <c r="C91">
        <f t="shared" si="2"/>
        <v>43</v>
      </c>
      <c r="D91" t="s">
        <v>1142</v>
      </c>
      <c r="E91" t="s">
        <v>118</v>
      </c>
      <c r="J91" t="s">
        <v>119</v>
      </c>
      <c r="K91" t="s">
        <v>1288</v>
      </c>
      <c r="L91" t="s">
        <v>1289</v>
      </c>
      <c r="M91">
        <v>1208727</v>
      </c>
      <c r="N91">
        <v>0</v>
      </c>
      <c r="O91" t="s">
        <v>122</v>
      </c>
      <c r="P91" s="1" t="s">
        <v>123</v>
      </c>
      <c r="AF91" s="1" t="s">
        <v>124</v>
      </c>
      <c r="AG91" t="s">
        <v>1290</v>
      </c>
      <c r="AH91">
        <v>2012</v>
      </c>
      <c r="AI91" t="s">
        <v>148</v>
      </c>
      <c r="AJ91" t="s">
        <v>1050</v>
      </c>
      <c r="AK91" t="s">
        <v>162</v>
      </c>
      <c r="AL91" t="s">
        <v>151</v>
      </c>
      <c r="AM91" t="s">
        <v>162</v>
      </c>
      <c r="AN91" t="s">
        <v>151</v>
      </c>
      <c r="AO91" t="s">
        <v>128</v>
      </c>
      <c r="AP91" t="s">
        <v>237</v>
      </c>
      <c r="AQ91" t="s">
        <v>132</v>
      </c>
      <c r="AR91" t="s">
        <v>132</v>
      </c>
      <c r="AS91" t="s">
        <v>1291</v>
      </c>
      <c r="AT91" t="s">
        <v>1292</v>
      </c>
      <c r="AU91" t="s">
        <v>1293</v>
      </c>
      <c r="AV91" t="s">
        <v>892</v>
      </c>
      <c r="AX91" s="1" t="s">
        <v>123</v>
      </c>
      <c r="CR91" s="1" t="s">
        <v>123</v>
      </c>
      <c r="DB91" s="1" t="s">
        <v>123</v>
      </c>
      <c r="DL91" s="1" t="s">
        <v>123</v>
      </c>
      <c r="EO91" s="1" t="s">
        <v>177</v>
      </c>
      <c r="EP91" t="s">
        <v>178</v>
      </c>
      <c r="EQ91" t="s">
        <v>132</v>
      </c>
      <c r="ER91" t="s">
        <v>191</v>
      </c>
      <c r="ES91" t="s">
        <v>162</v>
      </c>
      <c r="ET91" t="s">
        <v>151</v>
      </c>
      <c r="EU91" t="s">
        <v>128</v>
      </c>
      <c r="EV91" t="s">
        <v>178</v>
      </c>
      <c r="EW91" t="s">
        <v>1294</v>
      </c>
      <c r="EX91" t="s">
        <v>1295</v>
      </c>
      <c r="EY91" t="s">
        <v>173</v>
      </c>
      <c r="FO91" s="1" t="s">
        <v>123</v>
      </c>
      <c r="GW91" t="s">
        <v>1296</v>
      </c>
      <c r="GX91" t="s">
        <v>1297</v>
      </c>
      <c r="GY91" t="s">
        <v>1298</v>
      </c>
      <c r="GZ91" t="s">
        <v>186</v>
      </c>
      <c r="HA91">
        <v>1987</v>
      </c>
      <c r="HB91" t="s">
        <v>246</v>
      </c>
      <c r="HD91" t="s">
        <v>1299</v>
      </c>
      <c r="HE91" t="s">
        <v>1300</v>
      </c>
    </row>
    <row r="92" spans="1:213" x14ac:dyDescent="0.45">
      <c r="A92">
        <v>139</v>
      </c>
      <c r="B92">
        <f>_xlfn.IFNA(VLOOKUP(Analiza[[#This Row],[Zakończono wypełnianie]],Zakończone[],2,0),"BRAK")</f>
        <v>84</v>
      </c>
      <c r="C92">
        <f t="shared" si="2"/>
        <v>47</v>
      </c>
      <c r="D92" t="s">
        <v>1302</v>
      </c>
      <c r="E92" t="s">
        <v>118</v>
      </c>
      <c r="J92" t="s">
        <v>119</v>
      </c>
      <c r="K92" t="s">
        <v>1303</v>
      </c>
      <c r="L92" t="s">
        <v>1304</v>
      </c>
      <c r="M92">
        <v>558</v>
      </c>
      <c r="N92">
        <v>0</v>
      </c>
      <c r="O92" t="s">
        <v>122</v>
      </c>
      <c r="P92" s="1" t="s">
        <v>416</v>
      </c>
      <c r="Q92" t="s">
        <v>191</v>
      </c>
      <c r="R92" t="s">
        <v>126</v>
      </c>
      <c r="S92" t="s">
        <v>1305</v>
      </c>
      <c r="T92" t="s">
        <v>162</v>
      </c>
      <c r="U92" t="s">
        <v>128</v>
      </c>
      <c r="V92" t="s">
        <v>150</v>
      </c>
      <c r="W92" t="s">
        <v>1306</v>
      </c>
      <c r="X92" t="s">
        <v>153</v>
      </c>
      <c r="Y92" t="s">
        <v>759</v>
      </c>
      <c r="Z92" t="s">
        <v>1307</v>
      </c>
      <c r="AA92" t="s">
        <v>1308</v>
      </c>
      <c r="AB92" t="s">
        <v>1309</v>
      </c>
      <c r="AC92" t="s">
        <v>230</v>
      </c>
      <c r="AE92">
        <v>2</v>
      </c>
      <c r="AF92" s="1" t="s">
        <v>124</v>
      </c>
      <c r="AG92" t="s">
        <v>191</v>
      </c>
      <c r="AH92">
        <v>2015</v>
      </c>
      <c r="AI92" t="s">
        <v>126</v>
      </c>
      <c r="AJ92" t="s">
        <v>1312</v>
      </c>
      <c r="AK92" t="s">
        <v>162</v>
      </c>
      <c r="AL92" t="s">
        <v>128</v>
      </c>
      <c r="AM92" t="s">
        <v>162</v>
      </c>
      <c r="AN92" t="s">
        <v>162</v>
      </c>
      <c r="AO92" t="s">
        <v>162</v>
      </c>
      <c r="AP92" t="s">
        <v>237</v>
      </c>
      <c r="AQ92" t="s">
        <v>302</v>
      </c>
      <c r="AR92" t="s">
        <v>153</v>
      </c>
      <c r="AS92" t="s">
        <v>1313</v>
      </c>
      <c r="AT92" t="s">
        <v>1314</v>
      </c>
      <c r="AU92" t="s">
        <v>1315</v>
      </c>
      <c r="AV92" t="s">
        <v>172</v>
      </c>
      <c r="AX92" s="1" t="s">
        <v>123</v>
      </c>
      <c r="CR92" s="1" t="s">
        <v>123</v>
      </c>
      <c r="DB92" s="1" t="s">
        <v>123</v>
      </c>
      <c r="DL92" s="1" t="s">
        <v>123</v>
      </c>
      <c r="EO92" s="1" t="s">
        <v>123</v>
      </c>
      <c r="FO92" s="1" t="s">
        <v>123</v>
      </c>
      <c r="GW92" t="s">
        <v>1316</v>
      </c>
      <c r="GX92" t="s">
        <v>1317</v>
      </c>
      <c r="GY92" t="s">
        <v>1318</v>
      </c>
      <c r="GZ92" t="s">
        <v>186</v>
      </c>
      <c r="HA92">
        <v>1992</v>
      </c>
      <c r="HB92" t="s">
        <v>398</v>
      </c>
      <c r="HD92" t="s">
        <v>1319</v>
      </c>
      <c r="HE92" t="s">
        <v>1320</v>
      </c>
    </row>
    <row r="93" spans="1:213" x14ac:dyDescent="0.45">
      <c r="A93">
        <v>141</v>
      </c>
      <c r="B93">
        <f>_xlfn.IFNA(VLOOKUP(Analiza[[#This Row],[Zakończono wypełnianie]],Zakończone[],2,0),"BRAK")</f>
        <v>85</v>
      </c>
      <c r="C93">
        <f t="shared" si="2"/>
        <v>34</v>
      </c>
      <c r="D93" t="s">
        <v>1322</v>
      </c>
      <c r="E93" t="s">
        <v>118</v>
      </c>
      <c r="J93" t="s">
        <v>119</v>
      </c>
      <c r="K93" t="s">
        <v>1323</v>
      </c>
      <c r="L93" t="s">
        <v>1324</v>
      </c>
      <c r="M93">
        <v>767</v>
      </c>
      <c r="N93">
        <v>0</v>
      </c>
      <c r="O93" t="s">
        <v>122</v>
      </c>
      <c r="P93" s="1" t="s">
        <v>123</v>
      </c>
      <c r="AF93" s="1" t="s">
        <v>124</v>
      </c>
      <c r="AG93" t="s">
        <v>191</v>
      </c>
      <c r="AH93">
        <v>2018</v>
      </c>
      <c r="AI93" t="s">
        <v>126</v>
      </c>
      <c r="AJ93" t="s">
        <v>1325</v>
      </c>
      <c r="AK93" t="s">
        <v>150</v>
      </c>
      <c r="AL93" t="s">
        <v>150</v>
      </c>
      <c r="AM93" t="s">
        <v>128</v>
      </c>
      <c r="AN93" t="s">
        <v>236</v>
      </c>
      <c r="AO93" t="s">
        <v>128</v>
      </c>
      <c r="AP93">
        <v>1</v>
      </c>
      <c r="AQ93" t="s">
        <v>302</v>
      </c>
      <c r="AR93" t="s">
        <v>226</v>
      </c>
      <c r="AS93" t="s">
        <v>1326</v>
      </c>
      <c r="AT93" t="s">
        <v>1327</v>
      </c>
      <c r="AU93" t="s">
        <v>1328</v>
      </c>
      <c r="AV93" t="s">
        <v>157</v>
      </c>
      <c r="AX93" s="1" t="s">
        <v>123</v>
      </c>
      <c r="CR93" s="1" t="s">
        <v>123</v>
      </c>
      <c r="DB93" s="1" t="s">
        <v>123</v>
      </c>
      <c r="DL93" s="1" t="s">
        <v>123</v>
      </c>
      <c r="EO93" s="1" t="s">
        <v>123</v>
      </c>
      <c r="EP93" t="s">
        <v>180</v>
      </c>
      <c r="FO93" s="1" t="s">
        <v>123</v>
      </c>
      <c r="GW93" t="s">
        <v>1329</v>
      </c>
      <c r="GX93" t="s">
        <v>1329</v>
      </c>
      <c r="GY93" t="s">
        <v>132</v>
      </c>
      <c r="GZ93" t="s">
        <v>186</v>
      </c>
      <c r="HA93">
        <v>1991</v>
      </c>
      <c r="HB93" t="s">
        <v>220</v>
      </c>
      <c r="HD93" t="s">
        <v>1330</v>
      </c>
      <c r="HE93" t="s">
        <v>532</v>
      </c>
    </row>
    <row r="94" spans="1:213" x14ac:dyDescent="0.45">
      <c r="A94">
        <v>145</v>
      </c>
      <c r="B94">
        <f>_xlfn.IFNA(VLOOKUP(Analiza[[#This Row],[Zakończono wypełnianie]],Zakończone[],2,0),"BRAK")</f>
        <v>86</v>
      </c>
      <c r="C94">
        <f t="shared" si="2"/>
        <v>43</v>
      </c>
      <c r="D94" t="s">
        <v>1336</v>
      </c>
      <c r="E94" t="s">
        <v>118</v>
      </c>
      <c r="J94" t="s">
        <v>119</v>
      </c>
      <c r="K94" t="s">
        <v>1337</v>
      </c>
      <c r="L94" t="s">
        <v>1338</v>
      </c>
      <c r="M94">
        <v>516</v>
      </c>
      <c r="N94">
        <v>0</v>
      </c>
      <c r="O94" t="s">
        <v>122</v>
      </c>
      <c r="P94" s="1" t="s">
        <v>123</v>
      </c>
      <c r="AF94" s="1" t="s">
        <v>124</v>
      </c>
      <c r="AG94" t="s">
        <v>191</v>
      </c>
      <c r="AH94">
        <v>2007</v>
      </c>
      <c r="AI94" t="s">
        <v>126</v>
      </c>
      <c r="AJ94" t="s">
        <v>1339</v>
      </c>
      <c r="AK94" t="s">
        <v>162</v>
      </c>
      <c r="AL94" t="s">
        <v>162</v>
      </c>
      <c r="AM94" t="s">
        <v>150</v>
      </c>
      <c r="AN94" t="s">
        <v>169</v>
      </c>
      <c r="AO94" t="s">
        <v>169</v>
      </c>
      <c r="AP94" t="s">
        <v>1340</v>
      </c>
      <c r="AQ94" t="s">
        <v>131</v>
      </c>
      <c r="AR94" t="s">
        <v>759</v>
      </c>
      <c r="AS94" t="s">
        <v>1341</v>
      </c>
      <c r="AT94" t="s">
        <v>1342</v>
      </c>
      <c r="AU94" t="s">
        <v>1343</v>
      </c>
      <c r="AV94" t="s">
        <v>157</v>
      </c>
      <c r="AW94" t="s">
        <v>1344</v>
      </c>
      <c r="AX94" s="1" t="s">
        <v>123</v>
      </c>
      <c r="CR94" s="1" t="s">
        <v>123</v>
      </c>
      <c r="DB94" s="1" t="s">
        <v>123</v>
      </c>
      <c r="DL94" s="1" t="s">
        <v>123</v>
      </c>
      <c r="EO94" s="1" t="s">
        <v>177</v>
      </c>
      <c r="EP94" t="s">
        <v>178</v>
      </c>
      <c r="EQ94" t="s">
        <v>132</v>
      </c>
      <c r="ER94" t="s">
        <v>191</v>
      </c>
      <c r="ES94" t="s">
        <v>236</v>
      </c>
      <c r="ET94" t="s">
        <v>236</v>
      </c>
      <c r="EU94" t="s">
        <v>151</v>
      </c>
      <c r="EV94" t="s">
        <v>178</v>
      </c>
      <c r="EW94" t="s">
        <v>1345</v>
      </c>
      <c r="EX94" t="s">
        <v>1346</v>
      </c>
      <c r="EY94" t="s">
        <v>173</v>
      </c>
      <c r="FO94" s="1" t="s">
        <v>123</v>
      </c>
      <c r="GW94" t="s">
        <v>1347</v>
      </c>
      <c r="GX94" t="s">
        <v>1348</v>
      </c>
      <c r="GY94" t="s">
        <v>1349</v>
      </c>
      <c r="GZ94" t="s">
        <v>186</v>
      </c>
      <c r="HA94">
        <v>1982</v>
      </c>
      <c r="HB94" t="s">
        <v>141</v>
      </c>
      <c r="HD94" t="s">
        <v>1350</v>
      </c>
    </row>
    <row r="95" spans="1:213" x14ac:dyDescent="0.45">
      <c r="A95">
        <v>147</v>
      </c>
      <c r="B95" t="str">
        <f>_xlfn.IFNA(VLOOKUP(Analiza[[#This Row],[Zakończono wypełnianie]],Zakończone[],2,0),"BRAK")</f>
        <v>BRAK</v>
      </c>
      <c r="C95">
        <f t="shared" si="2"/>
        <v>25</v>
      </c>
      <c r="D95" t="s">
        <v>1352</v>
      </c>
      <c r="E95" t="s">
        <v>118</v>
      </c>
      <c r="J95" t="s">
        <v>286</v>
      </c>
      <c r="K95" t="s">
        <v>1353</v>
      </c>
      <c r="L95" t="s">
        <v>1353</v>
      </c>
      <c r="M95">
        <v>0</v>
      </c>
      <c r="N95">
        <v>0</v>
      </c>
      <c r="O95" t="s">
        <v>122</v>
      </c>
      <c r="P95" s="1" t="s">
        <v>123</v>
      </c>
      <c r="AF95" s="1" t="s">
        <v>124</v>
      </c>
      <c r="AG95" t="s">
        <v>813</v>
      </c>
      <c r="AH95">
        <v>2008</v>
      </c>
      <c r="AI95" t="s">
        <v>148</v>
      </c>
      <c r="AJ95" t="s">
        <v>1354</v>
      </c>
      <c r="AK95" t="s">
        <v>162</v>
      </c>
      <c r="AL95" t="s">
        <v>151</v>
      </c>
      <c r="AM95" t="s">
        <v>151</v>
      </c>
      <c r="AN95" t="s">
        <v>236</v>
      </c>
      <c r="AO95" t="s">
        <v>151</v>
      </c>
      <c r="AP95" t="s">
        <v>237</v>
      </c>
      <c r="AQ95" t="s">
        <v>131</v>
      </c>
      <c r="AR95" t="s">
        <v>302</v>
      </c>
      <c r="AT95" t="s">
        <v>1355</v>
      </c>
      <c r="AU95" t="s">
        <v>1356</v>
      </c>
      <c r="AW95" t="s">
        <v>1357</v>
      </c>
      <c r="AX95" s="1" t="s">
        <v>123</v>
      </c>
      <c r="CR95" s="1" t="s">
        <v>123</v>
      </c>
      <c r="DB95" s="1" t="s">
        <v>123</v>
      </c>
      <c r="DL95" s="1" t="s">
        <v>123</v>
      </c>
      <c r="EO95" s="1" t="s">
        <v>177</v>
      </c>
      <c r="EP95" t="s">
        <v>178</v>
      </c>
      <c r="EQ95" t="s">
        <v>132</v>
      </c>
      <c r="FO95" s="1"/>
    </row>
    <row r="96" spans="1:213" x14ac:dyDescent="0.45">
      <c r="A96">
        <v>149</v>
      </c>
      <c r="B96">
        <f>_xlfn.IFNA(VLOOKUP(Analiza[[#This Row],[Zakończono wypełnianie]],Zakończone[],2,0),"BRAK")</f>
        <v>87</v>
      </c>
      <c r="C96">
        <f t="shared" si="2"/>
        <v>32</v>
      </c>
      <c r="D96" t="s">
        <v>1352</v>
      </c>
      <c r="E96" t="s">
        <v>118</v>
      </c>
      <c r="J96" t="s">
        <v>119</v>
      </c>
      <c r="K96" t="s">
        <v>1359</v>
      </c>
      <c r="L96" t="s">
        <v>1360</v>
      </c>
      <c r="M96">
        <v>8266</v>
      </c>
      <c r="N96">
        <v>0</v>
      </c>
      <c r="O96" t="s">
        <v>122</v>
      </c>
      <c r="P96" s="1" t="s">
        <v>123</v>
      </c>
      <c r="AF96" s="1" t="s">
        <v>124</v>
      </c>
      <c r="AG96" t="s">
        <v>160</v>
      </c>
      <c r="AH96">
        <v>2010</v>
      </c>
      <c r="AI96" t="s">
        <v>148</v>
      </c>
      <c r="AJ96" t="s">
        <v>1361</v>
      </c>
      <c r="AK96" t="s">
        <v>236</v>
      </c>
      <c r="AL96" t="s">
        <v>150</v>
      </c>
      <c r="AM96" t="s">
        <v>129</v>
      </c>
      <c r="AN96" t="s">
        <v>129</v>
      </c>
      <c r="AO96" t="s">
        <v>129</v>
      </c>
      <c r="AP96" t="s">
        <v>1362</v>
      </c>
      <c r="AQ96" t="s">
        <v>153</v>
      </c>
      <c r="AR96" t="s">
        <v>153</v>
      </c>
      <c r="AS96" t="s">
        <v>1363</v>
      </c>
      <c r="AT96" t="s">
        <v>1364</v>
      </c>
      <c r="AU96" t="s">
        <v>1365</v>
      </c>
      <c r="AV96" t="s">
        <v>157</v>
      </c>
      <c r="AX96" s="1" t="s">
        <v>123</v>
      </c>
      <c r="CR96" s="1" t="s">
        <v>123</v>
      </c>
      <c r="DB96" s="1" t="s">
        <v>123</v>
      </c>
      <c r="DL96" s="1" t="s">
        <v>123</v>
      </c>
      <c r="EO96" s="1" t="s">
        <v>123</v>
      </c>
      <c r="FO96" s="1" t="s">
        <v>123</v>
      </c>
      <c r="GW96" t="s">
        <v>1366</v>
      </c>
      <c r="GX96" t="s">
        <v>1367</v>
      </c>
      <c r="GY96" t="s">
        <v>532</v>
      </c>
      <c r="GZ96" t="s">
        <v>140</v>
      </c>
      <c r="HA96">
        <v>1986</v>
      </c>
      <c r="HB96" t="s">
        <v>398</v>
      </c>
      <c r="HD96" t="s">
        <v>1368</v>
      </c>
    </row>
    <row r="97" spans="1:214" x14ac:dyDescent="0.45">
      <c r="A97">
        <v>151</v>
      </c>
      <c r="B97" t="str">
        <f>_xlfn.IFNA(VLOOKUP(Analiza[[#This Row],[Zakończono wypełnianie]],Zakończone[],2,0),"BRAK")</f>
        <v>BRAK</v>
      </c>
      <c r="C97">
        <f t="shared" si="2"/>
        <v>25</v>
      </c>
      <c r="D97" t="s">
        <v>1142</v>
      </c>
      <c r="E97" t="s">
        <v>118</v>
      </c>
      <c r="J97" t="s">
        <v>286</v>
      </c>
      <c r="K97" t="s">
        <v>1370</v>
      </c>
      <c r="L97" t="s">
        <v>1370</v>
      </c>
      <c r="M97">
        <v>0</v>
      </c>
      <c r="N97">
        <v>0</v>
      </c>
      <c r="O97" t="s">
        <v>122</v>
      </c>
      <c r="P97" s="1" t="s">
        <v>123</v>
      </c>
      <c r="AF97" s="1" t="s">
        <v>124</v>
      </c>
      <c r="AG97" t="s">
        <v>223</v>
      </c>
      <c r="AH97">
        <v>2017</v>
      </c>
      <c r="AI97" t="s">
        <v>148</v>
      </c>
      <c r="AJ97" t="s">
        <v>1371</v>
      </c>
      <c r="AK97" t="s">
        <v>128</v>
      </c>
      <c r="AL97" t="s">
        <v>151</v>
      </c>
      <c r="AM97" t="s">
        <v>162</v>
      </c>
      <c r="AN97" t="s">
        <v>162</v>
      </c>
      <c r="AO97" t="s">
        <v>128</v>
      </c>
      <c r="AP97" t="s">
        <v>237</v>
      </c>
      <c r="AQ97" t="s">
        <v>302</v>
      </c>
      <c r="AR97" t="s">
        <v>302</v>
      </c>
      <c r="AS97" t="s">
        <v>1372</v>
      </c>
      <c r="AT97" t="s">
        <v>1373</v>
      </c>
      <c r="AU97" t="s">
        <v>1374</v>
      </c>
      <c r="AV97" t="s">
        <v>157</v>
      </c>
      <c r="AX97" s="1" t="s">
        <v>123</v>
      </c>
      <c r="CR97" s="1" t="s">
        <v>123</v>
      </c>
      <c r="DB97" s="1" t="s">
        <v>123</v>
      </c>
      <c r="DL97" s="1" t="s">
        <v>123</v>
      </c>
      <c r="EO97" s="1" t="s">
        <v>123</v>
      </c>
      <c r="FO97" s="1" t="s">
        <v>123</v>
      </c>
    </row>
    <row r="98" spans="1:214" x14ac:dyDescent="0.45">
      <c r="A98">
        <v>153</v>
      </c>
      <c r="B98">
        <f>_xlfn.IFNA(VLOOKUP(Analiza[[#This Row],[Zakończono wypełnianie]],Zakończone[],2,0),"BRAK")</f>
        <v>88</v>
      </c>
      <c r="C98">
        <f t="shared" si="2"/>
        <v>33</v>
      </c>
      <c r="D98" t="s">
        <v>1352</v>
      </c>
      <c r="E98" t="s">
        <v>118</v>
      </c>
      <c r="J98" t="s">
        <v>119</v>
      </c>
      <c r="K98" t="s">
        <v>1376</v>
      </c>
      <c r="L98" t="s">
        <v>1377</v>
      </c>
      <c r="M98">
        <v>352</v>
      </c>
      <c r="N98">
        <v>0</v>
      </c>
      <c r="O98" t="s">
        <v>122</v>
      </c>
      <c r="P98" s="1" t="s">
        <v>123</v>
      </c>
      <c r="AF98" s="1" t="s">
        <v>124</v>
      </c>
      <c r="AG98" t="s">
        <v>223</v>
      </c>
      <c r="AH98">
        <v>2000</v>
      </c>
      <c r="AI98" t="s">
        <v>148</v>
      </c>
      <c r="AJ98" t="s">
        <v>161</v>
      </c>
      <c r="AK98" t="s">
        <v>162</v>
      </c>
      <c r="AL98" t="s">
        <v>162</v>
      </c>
      <c r="AM98" t="s">
        <v>150</v>
      </c>
      <c r="AN98" t="s">
        <v>129</v>
      </c>
      <c r="AO98" t="s">
        <v>128</v>
      </c>
      <c r="AP98">
        <v>5</v>
      </c>
      <c r="AQ98" t="s">
        <v>302</v>
      </c>
      <c r="AR98" t="s">
        <v>302</v>
      </c>
      <c r="AS98" t="s">
        <v>1378</v>
      </c>
      <c r="AT98" t="s">
        <v>1379</v>
      </c>
      <c r="AU98" t="s">
        <v>1380</v>
      </c>
      <c r="AV98" t="s">
        <v>172</v>
      </c>
      <c r="AX98" s="1" t="s">
        <v>123</v>
      </c>
      <c r="CR98" s="1" t="s">
        <v>123</v>
      </c>
      <c r="DB98" s="1" t="s">
        <v>123</v>
      </c>
      <c r="DL98" s="1" t="s">
        <v>123</v>
      </c>
      <c r="EO98" s="1" t="s">
        <v>123</v>
      </c>
      <c r="FO98" s="1" t="s">
        <v>123</v>
      </c>
      <c r="GW98" t="s">
        <v>1381</v>
      </c>
      <c r="GX98" t="s">
        <v>1382</v>
      </c>
      <c r="GY98" t="s">
        <v>1383</v>
      </c>
      <c r="GZ98" t="s">
        <v>140</v>
      </c>
      <c r="HA98">
        <v>1982</v>
      </c>
      <c r="HB98" t="s">
        <v>246</v>
      </c>
      <c r="HD98" t="s">
        <v>386</v>
      </c>
      <c r="HE98" t="s">
        <v>386</v>
      </c>
    </row>
    <row r="99" spans="1:214" x14ac:dyDescent="0.45">
      <c r="A99">
        <v>154</v>
      </c>
      <c r="B99">
        <f>_xlfn.IFNA(VLOOKUP(Analiza[[#This Row],[Zakończono wypełnianie]],Zakończone[],2,0),"BRAK")</f>
        <v>89</v>
      </c>
      <c r="C99">
        <f t="shared" ref="C99:C130" si="3">COUNTA(O99:HF99)</f>
        <v>17</v>
      </c>
      <c r="D99" t="s">
        <v>1142</v>
      </c>
      <c r="E99" t="s">
        <v>118</v>
      </c>
      <c r="J99" t="s">
        <v>119</v>
      </c>
      <c r="K99" t="s">
        <v>1384</v>
      </c>
      <c r="L99" t="s">
        <v>1385</v>
      </c>
      <c r="M99">
        <v>167</v>
      </c>
      <c r="N99">
        <v>0</v>
      </c>
      <c r="O99" t="s">
        <v>122</v>
      </c>
      <c r="P99" s="1" t="s">
        <v>123</v>
      </c>
      <c r="AF99" s="1" t="s">
        <v>123</v>
      </c>
      <c r="AX99" s="1" t="s">
        <v>123</v>
      </c>
      <c r="CR99" s="1" t="s">
        <v>123</v>
      </c>
      <c r="DB99" s="1" t="s">
        <v>123</v>
      </c>
      <c r="DL99" s="1" t="s">
        <v>123</v>
      </c>
      <c r="EO99" s="1" t="s">
        <v>123</v>
      </c>
      <c r="FO99" s="1" t="s">
        <v>123</v>
      </c>
      <c r="GW99" t="s">
        <v>1386</v>
      </c>
      <c r="GX99" t="s">
        <v>1387</v>
      </c>
      <c r="GY99" t="s">
        <v>1388</v>
      </c>
      <c r="GZ99" t="s">
        <v>186</v>
      </c>
      <c r="HA99">
        <v>1987</v>
      </c>
      <c r="HB99" t="s">
        <v>141</v>
      </c>
      <c r="HD99" t="s">
        <v>532</v>
      </c>
      <c r="HE99" t="s">
        <v>1389</v>
      </c>
    </row>
    <row r="100" spans="1:214" x14ac:dyDescent="0.45">
      <c r="A100">
        <v>155</v>
      </c>
      <c r="B100" t="str">
        <f>_xlfn.IFNA(VLOOKUP(Analiza[[#This Row],[Zakończono wypełnianie]],Zakończone[],2,0),"BRAK")</f>
        <v>BRAK</v>
      </c>
      <c r="C100">
        <f t="shared" si="3"/>
        <v>9</v>
      </c>
      <c r="D100" t="s">
        <v>1131</v>
      </c>
      <c r="E100" t="s">
        <v>118</v>
      </c>
      <c r="J100" t="s">
        <v>286</v>
      </c>
      <c r="K100" t="s">
        <v>1390</v>
      </c>
      <c r="L100" t="s">
        <v>1390</v>
      </c>
      <c r="M100">
        <v>0</v>
      </c>
      <c r="N100">
        <v>0</v>
      </c>
      <c r="O100" t="s">
        <v>122</v>
      </c>
      <c r="P100" s="1" t="s">
        <v>123</v>
      </c>
      <c r="AF100" s="1" t="s">
        <v>123</v>
      </c>
      <c r="AX100" s="1" t="s">
        <v>123</v>
      </c>
      <c r="CR100" s="1" t="s">
        <v>123</v>
      </c>
      <c r="DB100" s="1" t="s">
        <v>123</v>
      </c>
      <c r="DL100" s="1" t="s">
        <v>123</v>
      </c>
      <c r="EO100" s="1" t="s">
        <v>123</v>
      </c>
      <c r="FO100" s="1" t="s">
        <v>123</v>
      </c>
    </row>
    <row r="101" spans="1:214" x14ac:dyDescent="0.45">
      <c r="A101">
        <v>156</v>
      </c>
      <c r="B101">
        <f>_xlfn.IFNA(VLOOKUP(Analiza[[#This Row],[Zakończono wypełnianie]],Zakończone[],2,0),"BRAK")</f>
        <v>90</v>
      </c>
      <c r="C101">
        <f t="shared" si="3"/>
        <v>32</v>
      </c>
      <c r="D101" t="s">
        <v>1142</v>
      </c>
      <c r="E101" t="s">
        <v>118</v>
      </c>
      <c r="J101" t="s">
        <v>119</v>
      </c>
      <c r="K101" t="s">
        <v>1391</v>
      </c>
      <c r="L101" t="s">
        <v>1392</v>
      </c>
      <c r="M101">
        <v>415</v>
      </c>
      <c r="N101">
        <v>0</v>
      </c>
      <c r="O101" t="s">
        <v>122</v>
      </c>
      <c r="P101" s="1" t="s">
        <v>123</v>
      </c>
      <c r="AF101" s="1" t="s">
        <v>124</v>
      </c>
      <c r="AG101" t="s">
        <v>191</v>
      </c>
      <c r="AH101">
        <v>2012</v>
      </c>
      <c r="AI101" t="s">
        <v>126</v>
      </c>
      <c r="AJ101" t="s">
        <v>1393</v>
      </c>
      <c r="AK101" t="s">
        <v>162</v>
      </c>
      <c r="AL101" t="s">
        <v>150</v>
      </c>
      <c r="AM101" t="s">
        <v>150</v>
      </c>
      <c r="AN101" t="s">
        <v>236</v>
      </c>
      <c r="AO101" t="s">
        <v>236</v>
      </c>
      <c r="AP101" t="s">
        <v>1340</v>
      </c>
      <c r="AQ101" t="s">
        <v>302</v>
      </c>
      <c r="AR101" t="s">
        <v>153</v>
      </c>
      <c r="AS101" t="s">
        <v>1394</v>
      </c>
      <c r="AT101" t="s">
        <v>1395</v>
      </c>
      <c r="AU101" t="s">
        <v>1396</v>
      </c>
      <c r="AW101" t="s">
        <v>1397</v>
      </c>
      <c r="AX101" s="1" t="s">
        <v>123</v>
      </c>
      <c r="CR101" s="1" t="s">
        <v>123</v>
      </c>
      <c r="DB101" s="1" t="s">
        <v>123</v>
      </c>
      <c r="DL101" s="1" t="s">
        <v>123</v>
      </c>
      <c r="EO101" s="1" t="s">
        <v>123</v>
      </c>
      <c r="FO101" s="1" t="s">
        <v>123</v>
      </c>
      <c r="GW101" t="s">
        <v>1398</v>
      </c>
      <c r="GX101" t="s">
        <v>1399</v>
      </c>
      <c r="GY101" t="s">
        <v>1400</v>
      </c>
      <c r="GZ101" t="s">
        <v>140</v>
      </c>
      <c r="HA101">
        <v>1985</v>
      </c>
      <c r="HB101" t="s">
        <v>141</v>
      </c>
      <c r="HD101" t="s">
        <v>1401</v>
      </c>
    </row>
    <row r="102" spans="1:214" x14ac:dyDescent="0.45">
      <c r="A102">
        <v>158</v>
      </c>
      <c r="B102">
        <f>_xlfn.IFNA(VLOOKUP(Analiza[[#This Row],[Zakończono wypełnianie]],Zakończone[],2,0),"BRAK")</f>
        <v>91</v>
      </c>
      <c r="C102">
        <f t="shared" si="3"/>
        <v>32</v>
      </c>
      <c r="D102" t="s">
        <v>1131</v>
      </c>
      <c r="E102" t="s">
        <v>118</v>
      </c>
      <c r="J102" t="s">
        <v>119</v>
      </c>
      <c r="K102" t="s">
        <v>1403</v>
      </c>
      <c r="L102" t="s">
        <v>1404</v>
      </c>
      <c r="M102">
        <v>325</v>
      </c>
      <c r="N102">
        <v>0</v>
      </c>
      <c r="O102" t="s">
        <v>122</v>
      </c>
      <c r="P102" s="1" t="s">
        <v>123</v>
      </c>
      <c r="AF102" s="1" t="s">
        <v>124</v>
      </c>
      <c r="AG102" t="s">
        <v>223</v>
      </c>
      <c r="AH102">
        <v>2013</v>
      </c>
      <c r="AI102" t="s">
        <v>148</v>
      </c>
      <c r="AJ102" t="s">
        <v>958</v>
      </c>
      <c r="AK102" t="s">
        <v>128</v>
      </c>
      <c r="AL102" t="s">
        <v>128</v>
      </c>
      <c r="AM102" t="s">
        <v>162</v>
      </c>
      <c r="AN102" t="s">
        <v>151</v>
      </c>
      <c r="AO102" t="s">
        <v>151</v>
      </c>
      <c r="AP102">
        <v>3</v>
      </c>
      <c r="AQ102" t="s">
        <v>131</v>
      </c>
      <c r="AR102" t="s">
        <v>153</v>
      </c>
      <c r="AS102" t="s">
        <v>1405</v>
      </c>
      <c r="AT102" t="s">
        <v>1406</v>
      </c>
      <c r="AU102" t="s">
        <v>1407</v>
      </c>
      <c r="AV102" t="s">
        <v>157</v>
      </c>
      <c r="AX102" s="1" t="s">
        <v>123</v>
      </c>
      <c r="CR102" s="1" t="s">
        <v>123</v>
      </c>
      <c r="DB102" s="1" t="s">
        <v>123</v>
      </c>
      <c r="DL102" s="1" t="s">
        <v>123</v>
      </c>
      <c r="EO102" s="1" t="s">
        <v>123</v>
      </c>
      <c r="FO102" s="1" t="s">
        <v>123</v>
      </c>
      <c r="GW102" t="s">
        <v>1408</v>
      </c>
      <c r="GX102" t="s">
        <v>1409</v>
      </c>
      <c r="GY102" t="s">
        <v>1410</v>
      </c>
      <c r="GZ102" t="s">
        <v>140</v>
      </c>
      <c r="HA102">
        <v>1984</v>
      </c>
      <c r="HB102" t="s">
        <v>398</v>
      </c>
      <c r="HD102" t="s">
        <v>1411</v>
      </c>
    </row>
    <row r="103" spans="1:214" x14ac:dyDescent="0.45">
      <c r="A103">
        <v>159</v>
      </c>
      <c r="B103">
        <f>_xlfn.IFNA(VLOOKUP(Analiza[[#This Row],[Zakończono wypełnianie]],Zakończone[],2,0),"BRAK")</f>
        <v>92</v>
      </c>
      <c r="C103">
        <f t="shared" si="3"/>
        <v>33</v>
      </c>
      <c r="D103" t="s">
        <v>1412</v>
      </c>
      <c r="E103" t="s">
        <v>118</v>
      </c>
      <c r="J103" t="s">
        <v>119</v>
      </c>
      <c r="K103" t="s">
        <v>1413</v>
      </c>
      <c r="L103" t="s">
        <v>1414</v>
      </c>
      <c r="M103">
        <v>1007</v>
      </c>
      <c r="N103">
        <v>0</v>
      </c>
      <c r="O103" t="s">
        <v>122</v>
      </c>
      <c r="P103" s="1" t="s">
        <v>123</v>
      </c>
      <c r="AF103" s="1" t="s">
        <v>124</v>
      </c>
      <c r="AG103" t="s">
        <v>1415</v>
      </c>
      <c r="AH103">
        <v>2006</v>
      </c>
      <c r="AI103" t="s">
        <v>148</v>
      </c>
      <c r="AJ103" t="s">
        <v>263</v>
      </c>
      <c r="AK103" t="s">
        <v>169</v>
      </c>
      <c r="AL103" t="s">
        <v>169</v>
      </c>
      <c r="AM103" t="s">
        <v>169</v>
      </c>
      <c r="AN103" t="s">
        <v>150</v>
      </c>
      <c r="AO103" t="s">
        <v>169</v>
      </c>
      <c r="AP103" t="s">
        <v>1416</v>
      </c>
      <c r="AQ103" t="s">
        <v>131</v>
      </c>
      <c r="AR103" t="s">
        <v>153</v>
      </c>
      <c r="AS103" t="s">
        <v>1417</v>
      </c>
      <c r="AT103" t="s">
        <v>1418</v>
      </c>
      <c r="AU103" t="s">
        <v>1419</v>
      </c>
      <c r="AW103" t="s">
        <v>1420</v>
      </c>
      <c r="AX103" s="1" t="s">
        <v>123</v>
      </c>
      <c r="CR103" s="1" t="s">
        <v>123</v>
      </c>
      <c r="DB103" s="1" t="s">
        <v>123</v>
      </c>
      <c r="DL103" s="1" t="s">
        <v>123</v>
      </c>
      <c r="EO103" s="1" t="s">
        <v>123</v>
      </c>
      <c r="FO103" s="1" t="s">
        <v>123</v>
      </c>
      <c r="GW103" t="s">
        <v>1421</v>
      </c>
      <c r="GX103" t="s">
        <v>1422</v>
      </c>
      <c r="GY103" t="s">
        <v>142</v>
      </c>
      <c r="GZ103" t="s">
        <v>140</v>
      </c>
      <c r="HA103">
        <v>1983</v>
      </c>
      <c r="HB103" t="s">
        <v>141</v>
      </c>
      <c r="HD103" t="s">
        <v>1423</v>
      </c>
      <c r="HE103" t="s">
        <v>132</v>
      </c>
    </row>
    <row r="104" spans="1:214" x14ac:dyDescent="0.45">
      <c r="A104">
        <v>162</v>
      </c>
      <c r="B104">
        <f>_xlfn.IFNA(VLOOKUP(Analiza[[#This Row],[Zakończono wypełnianie]],Zakończone[],2,0),"BRAK")</f>
        <v>93</v>
      </c>
      <c r="C104">
        <f t="shared" si="3"/>
        <v>31</v>
      </c>
      <c r="D104" t="s">
        <v>1352</v>
      </c>
      <c r="E104" t="s">
        <v>118</v>
      </c>
      <c r="J104" t="s">
        <v>119</v>
      </c>
      <c r="K104" t="s">
        <v>1426</v>
      </c>
      <c r="L104" t="s">
        <v>1427</v>
      </c>
      <c r="M104">
        <v>490</v>
      </c>
      <c r="N104">
        <v>0</v>
      </c>
      <c r="O104" t="s">
        <v>122</v>
      </c>
      <c r="P104" s="1" t="s">
        <v>123</v>
      </c>
      <c r="AF104" s="1" t="s">
        <v>124</v>
      </c>
      <c r="AG104" t="s">
        <v>1415</v>
      </c>
      <c r="AH104">
        <v>2006</v>
      </c>
      <c r="AI104" t="s">
        <v>126</v>
      </c>
      <c r="AJ104" t="s">
        <v>192</v>
      </c>
      <c r="AK104" t="s">
        <v>150</v>
      </c>
      <c r="AL104" t="s">
        <v>150</v>
      </c>
      <c r="AM104" t="s">
        <v>169</v>
      </c>
      <c r="AN104" t="s">
        <v>150</v>
      </c>
      <c r="AO104" t="s">
        <v>150</v>
      </c>
      <c r="AP104" t="s">
        <v>237</v>
      </c>
      <c r="AQ104" t="s">
        <v>226</v>
      </c>
      <c r="AR104" t="s">
        <v>1428</v>
      </c>
      <c r="AS104" t="s">
        <v>1429</v>
      </c>
      <c r="AT104" t="s">
        <v>1430</v>
      </c>
      <c r="AU104" t="s">
        <v>1431</v>
      </c>
      <c r="AV104" t="s">
        <v>157</v>
      </c>
      <c r="AX104" s="1" t="s">
        <v>123</v>
      </c>
      <c r="CR104" s="1" t="s">
        <v>123</v>
      </c>
      <c r="DB104" s="1" t="s">
        <v>123</v>
      </c>
      <c r="DL104" s="1" t="s">
        <v>123</v>
      </c>
      <c r="EO104" s="1" t="s">
        <v>123</v>
      </c>
      <c r="FO104" s="1" t="s">
        <v>123</v>
      </c>
      <c r="GW104" t="s">
        <v>1432</v>
      </c>
      <c r="GX104" t="s">
        <v>1433</v>
      </c>
      <c r="GY104" t="s">
        <v>1434</v>
      </c>
      <c r="GZ104" t="s">
        <v>186</v>
      </c>
      <c r="HA104">
        <v>1982</v>
      </c>
      <c r="HB104" t="s">
        <v>141</v>
      </c>
    </row>
    <row r="105" spans="1:214" x14ac:dyDescent="0.45">
      <c r="A105">
        <v>164</v>
      </c>
      <c r="B105">
        <f>_xlfn.IFNA(VLOOKUP(Analiza[[#This Row],[Zakończono wypełnianie]],Zakończone[],2,0),"BRAK")</f>
        <v>94</v>
      </c>
      <c r="C105">
        <f t="shared" si="3"/>
        <v>34</v>
      </c>
      <c r="D105" t="s">
        <v>1436</v>
      </c>
      <c r="E105" t="s">
        <v>118</v>
      </c>
      <c r="J105" t="s">
        <v>119</v>
      </c>
      <c r="K105" t="s">
        <v>1437</v>
      </c>
      <c r="L105" t="s">
        <v>1438</v>
      </c>
      <c r="M105">
        <v>880</v>
      </c>
      <c r="N105">
        <v>0</v>
      </c>
      <c r="O105" t="s">
        <v>122</v>
      </c>
      <c r="P105" s="1" t="s">
        <v>123</v>
      </c>
      <c r="AF105" s="1" t="s">
        <v>124</v>
      </c>
      <c r="AG105" t="s">
        <v>1439</v>
      </c>
      <c r="AH105">
        <v>2019</v>
      </c>
      <c r="AI105" t="s">
        <v>148</v>
      </c>
      <c r="AJ105" t="s">
        <v>1440</v>
      </c>
      <c r="AK105" t="s">
        <v>128</v>
      </c>
      <c r="AL105" t="s">
        <v>128</v>
      </c>
      <c r="AM105" t="s">
        <v>150</v>
      </c>
      <c r="AN105" t="s">
        <v>169</v>
      </c>
      <c r="AO105" t="s">
        <v>169</v>
      </c>
      <c r="AP105" t="s">
        <v>1441</v>
      </c>
      <c r="AQ105" t="s">
        <v>302</v>
      </c>
      <c r="AR105" t="s">
        <v>226</v>
      </c>
      <c r="AS105" t="s">
        <v>1442</v>
      </c>
      <c r="AT105" t="s">
        <v>1443</v>
      </c>
      <c r="AU105" t="s">
        <v>1444</v>
      </c>
      <c r="AV105" t="s">
        <v>230</v>
      </c>
      <c r="AX105" s="1" t="s">
        <v>123</v>
      </c>
      <c r="CR105" s="1" t="s">
        <v>123</v>
      </c>
      <c r="DB105" s="1" t="s">
        <v>123</v>
      </c>
      <c r="DL105" s="1" t="s">
        <v>123</v>
      </c>
      <c r="EO105" s="1" t="s">
        <v>123</v>
      </c>
      <c r="EP105" t="s">
        <v>178</v>
      </c>
      <c r="FO105" s="1" t="s">
        <v>123</v>
      </c>
      <c r="GW105" t="s">
        <v>1445</v>
      </c>
      <c r="GX105" t="s">
        <v>1446</v>
      </c>
      <c r="GY105" t="s">
        <v>1447</v>
      </c>
      <c r="GZ105" t="s">
        <v>140</v>
      </c>
      <c r="HA105">
        <v>1990</v>
      </c>
      <c r="HB105" t="s">
        <v>398</v>
      </c>
      <c r="HD105" t="s">
        <v>1448</v>
      </c>
      <c r="HE105" t="s">
        <v>1449</v>
      </c>
    </row>
    <row r="106" spans="1:214" x14ac:dyDescent="0.45">
      <c r="A106">
        <v>165</v>
      </c>
      <c r="B106">
        <f>_xlfn.IFNA(VLOOKUP(Analiza[[#This Row],[Zakończono wypełnianie]],Zakończone[],2,0),"BRAK")</f>
        <v>95</v>
      </c>
      <c r="C106">
        <f t="shared" si="3"/>
        <v>33</v>
      </c>
      <c r="D106" t="s">
        <v>1352</v>
      </c>
      <c r="E106" t="s">
        <v>118</v>
      </c>
      <c r="J106" t="s">
        <v>119</v>
      </c>
      <c r="K106" t="s">
        <v>1450</v>
      </c>
      <c r="L106" t="s">
        <v>1451</v>
      </c>
      <c r="M106">
        <v>402</v>
      </c>
      <c r="N106">
        <v>0</v>
      </c>
      <c r="O106" t="s">
        <v>122</v>
      </c>
      <c r="P106" s="1" t="s">
        <v>123</v>
      </c>
      <c r="AF106" s="1" t="s">
        <v>124</v>
      </c>
      <c r="AG106" t="s">
        <v>223</v>
      </c>
      <c r="AH106">
        <v>2008</v>
      </c>
      <c r="AI106" t="s">
        <v>148</v>
      </c>
      <c r="AJ106" t="s">
        <v>1452</v>
      </c>
      <c r="AK106" t="s">
        <v>128</v>
      </c>
      <c r="AL106" t="s">
        <v>236</v>
      </c>
      <c r="AM106" t="s">
        <v>129</v>
      </c>
      <c r="AN106" t="s">
        <v>129</v>
      </c>
      <c r="AO106" t="s">
        <v>128</v>
      </c>
      <c r="AP106" t="s">
        <v>237</v>
      </c>
      <c r="AQ106" t="s">
        <v>131</v>
      </c>
      <c r="AR106" t="s">
        <v>131</v>
      </c>
      <c r="AS106" t="s">
        <v>1453</v>
      </c>
      <c r="AT106" t="s">
        <v>1454</v>
      </c>
      <c r="AU106" t="s">
        <v>1005</v>
      </c>
      <c r="AV106" t="s">
        <v>157</v>
      </c>
      <c r="AX106" s="1" t="s">
        <v>123</v>
      </c>
      <c r="CR106" s="1" t="s">
        <v>123</v>
      </c>
      <c r="DB106" s="1" t="s">
        <v>123</v>
      </c>
      <c r="DL106" s="1" t="s">
        <v>123</v>
      </c>
      <c r="EO106" s="1" t="s">
        <v>123</v>
      </c>
      <c r="FO106" s="1" t="s">
        <v>123</v>
      </c>
      <c r="GW106" t="s">
        <v>1455</v>
      </c>
      <c r="GX106" t="s">
        <v>1456</v>
      </c>
      <c r="GY106" t="s">
        <v>1457</v>
      </c>
      <c r="GZ106" t="s">
        <v>140</v>
      </c>
      <c r="HA106">
        <v>1984</v>
      </c>
      <c r="HB106" t="s">
        <v>220</v>
      </c>
      <c r="HD106" t="s">
        <v>386</v>
      </c>
      <c r="HE106" t="s">
        <v>386</v>
      </c>
    </row>
    <row r="107" spans="1:214" x14ac:dyDescent="0.45">
      <c r="A107">
        <v>167</v>
      </c>
      <c r="B107">
        <f>_xlfn.IFNA(VLOOKUP(Analiza[[#This Row],[Zakończono wypełnianie]],Zakończone[],2,0),"BRAK")</f>
        <v>96</v>
      </c>
      <c r="C107">
        <f t="shared" si="3"/>
        <v>32</v>
      </c>
      <c r="D107" t="s">
        <v>1131</v>
      </c>
      <c r="E107" t="s">
        <v>118</v>
      </c>
      <c r="J107" t="s">
        <v>119</v>
      </c>
      <c r="K107" t="s">
        <v>1459</v>
      </c>
      <c r="L107" t="s">
        <v>1460</v>
      </c>
      <c r="M107">
        <v>665</v>
      </c>
      <c r="N107">
        <v>0</v>
      </c>
      <c r="O107" t="s">
        <v>122</v>
      </c>
      <c r="P107" s="1" t="s">
        <v>123</v>
      </c>
      <c r="AF107" s="1" t="s">
        <v>124</v>
      </c>
      <c r="AG107" t="s">
        <v>1461</v>
      </c>
      <c r="AH107">
        <v>2007</v>
      </c>
      <c r="AI107" t="s">
        <v>148</v>
      </c>
      <c r="AJ107" t="s">
        <v>1462</v>
      </c>
      <c r="AK107" t="s">
        <v>162</v>
      </c>
      <c r="AL107" t="s">
        <v>151</v>
      </c>
      <c r="AM107" t="s">
        <v>151</v>
      </c>
      <c r="AN107" t="s">
        <v>150</v>
      </c>
      <c r="AO107" t="s">
        <v>128</v>
      </c>
      <c r="AP107">
        <v>2</v>
      </c>
      <c r="AQ107" t="s">
        <v>302</v>
      </c>
      <c r="AR107" t="s">
        <v>302</v>
      </c>
      <c r="AS107" t="s">
        <v>1463</v>
      </c>
      <c r="AT107" t="s">
        <v>1464</v>
      </c>
      <c r="AU107" t="s">
        <v>1465</v>
      </c>
      <c r="AV107" t="s">
        <v>157</v>
      </c>
      <c r="AX107" s="1" t="s">
        <v>123</v>
      </c>
      <c r="CR107" s="1" t="s">
        <v>123</v>
      </c>
      <c r="DB107" s="1" t="s">
        <v>123</v>
      </c>
      <c r="DL107" s="1" t="s">
        <v>123</v>
      </c>
      <c r="EO107" s="1" t="s">
        <v>123</v>
      </c>
      <c r="FO107" s="1" t="s">
        <v>123</v>
      </c>
      <c r="GW107" t="s">
        <v>1466</v>
      </c>
      <c r="GX107" t="s">
        <v>1467</v>
      </c>
      <c r="GY107" t="s">
        <v>1468</v>
      </c>
      <c r="GZ107" t="s">
        <v>140</v>
      </c>
      <c r="HA107">
        <v>1982</v>
      </c>
      <c r="HB107" t="s">
        <v>398</v>
      </c>
      <c r="HD107" t="s">
        <v>1469</v>
      </c>
    </row>
    <row r="108" spans="1:214" x14ac:dyDescent="0.45">
      <c r="A108">
        <v>169</v>
      </c>
      <c r="B108">
        <f>_xlfn.IFNA(VLOOKUP(Analiza[[#This Row],[Zakończono wypełnianie]],Zakończone[],2,0),"BRAK")</f>
        <v>97</v>
      </c>
      <c r="C108">
        <f t="shared" si="3"/>
        <v>33</v>
      </c>
      <c r="D108" t="s">
        <v>1352</v>
      </c>
      <c r="E108" t="s">
        <v>118</v>
      </c>
      <c r="J108" t="s">
        <v>119</v>
      </c>
      <c r="K108" t="s">
        <v>1470</v>
      </c>
      <c r="L108" t="s">
        <v>1471</v>
      </c>
      <c r="M108">
        <v>495</v>
      </c>
      <c r="N108">
        <v>0</v>
      </c>
      <c r="O108" t="s">
        <v>122</v>
      </c>
      <c r="P108" s="1" t="s">
        <v>123</v>
      </c>
      <c r="AF108" s="1" t="s">
        <v>124</v>
      </c>
      <c r="AG108" t="s">
        <v>1472</v>
      </c>
      <c r="AI108" t="s">
        <v>148</v>
      </c>
      <c r="AJ108" t="s">
        <v>1474</v>
      </c>
      <c r="AK108" t="s">
        <v>169</v>
      </c>
      <c r="AL108" t="s">
        <v>169</v>
      </c>
      <c r="AM108" t="s">
        <v>151</v>
      </c>
      <c r="AN108" t="s">
        <v>162</v>
      </c>
      <c r="AO108" t="s">
        <v>162</v>
      </c>
      <c r="AP108" t="s">
        <v>1475</v>
      </c>
      <c r="AQ108" t="s">
        <v>132</v>
      </c>
      <c r="AR108" t="s">
        <v>132</v>
      </c>
      <c r="AS108" t="s">
        <v>1476</v>
      </c>
      <c r="AT108" t="s">
        <v>1477</v>
      </c>
      <c r="AU108" t="s">
        <v>1473</v>
      </c>
      <c r="AV108" t="s">
        <v>157</v>
      </c>
      <c r="AX108" s="1" t="s">
        <v>123</v>
      </c>
      <c r="CR108" s="1" t="s">
        <v>123</v>
      </c>
      <c r="DB108" s="1" t="s">
        <v>123</v>
      </c>
      <c r="DL108" s="1" t="s">
        <v>123</v>
      </c>
      <c r="EO108" s="1" t="s">
        <v>123</v>
      </c>
      <c r="FO108" s="1" t="s">
        <v>123</v>
      </c>
      <c r="GW108" t="s">
        <v>1478</v>
      </c>
      <c r="GX108" t="s">
        <v>1478</v>
      </c>
      <c r="GY108" t="s">
        <v>1473</v>
      </c>
      <c r="GZ108" t="s">
        <v>140</v>
      </c>
      <c r="HA108" t="s">
        <v>1473</v>
      </c>
      <c r="HB108" t="s">
        <v>398</v>
      </c>
      <c r="HD108" t="s">
        <v>1479</v>
      </c>
      <c r="HE108" t="s">
        <v>1473</v>
      </c>
      <c r="HF108" t="s">
        <v>1473</v>
      </c>
    </row>
    <row r="109" spans="1:214" x14ac:dyDescent="0.45">
      <c r="A109">
        <v>171</v>
      </c>
      <c r="B109">
        <f>_xlfn.IFNA(VLOOKUP(Analiza[[#This Row],[Zakończono wypełnianie]],Zakończone[],2,0),"BRAK")</f>
        <v>98</v>
      </c>
      <c r="C109">
        <f t="shared" si="3"/>
        <v>30</v>
      </c>
      <c r="D109" t="s">
        <v>1336</v>
      </c>
      <c r="E109" t="s">
        <v>118</v>
      </c>
      <c r="J109" t="s">
        <v>119</v>
      </c>
      <c r="K109" t="s">
        <v>1481</v>
      </c>
      <c r="L109" t="s">
        <v>1482</v>
      </c>
      <c r="M109">
        <v>562</v>
      </c>
      <c r="N109">
        <v>0</v>
      </c>
      <c r="O109" t="s">
        <v>122</v>
      </c>
      <c r="P109" s="1" t="s">
        <v>123</v>
      </c>
      <c r="AF109" s="1" t="s">
        <v>124</v>
      </c>
      <c r="AG109" t="s">
        <v>223</v>
      </c>
      <c r="AH109">
        <v>2014</v>
      </c>
      <c r="AI109" t="s">
        <v>148</v>
      </c>
      <c r="AJ109" t="s">
        <v>1483</v>
      </c>
      <c r="AK109" t="s">
        <v>151</v>
      </c>
      <c r="AL109" t="s">
        <v>128</v>
      </c>
      <c r="AM109" t="s">
        <v>128</v>
      </c>
      <c r="AN109" t="s">
        <v>151</v>
      </c>
      <c r="AO109" t="s">
        <v>162</v>
      </c>
      <c r="AP109" t="s">
        <v>1484</v>
      </c>
      <c r="AQ109" t="s">
        <v>153</v>
      </c>
      <c r="AR109" t="s">
        <v>153</v>
      </c>
      <c r="AT109" t="s">
        <v>1485</v>
      </c>
      <c r="AU109" t="s">
        <v>1486</v>
      </c>
      <c r="AV109" t="s">
        <v>172</v>
      </c>
      <c r="AX109" s="1" t="s">
        <v>123</v>
      </c>
      <c r="CR109" s="1" t="s">
        <v>123</v>
      </c>
      <c r="DB109" s="1" t="s">
        <v>123</v>
      </c>
      <c r="DL109" s="1" t="s">
        <v>123</v>
      </c>
      <c r="EO109" s="1" t="s">
        <v>123</v>
      </c>
      <c r="FO109" s="1" t="s">
        <v>123</v>
      </c>
      <c r="GW109" t="s">
        <v>1487</v>
      </c>
      <c r="GX109" t="s">
        <v>1488</v>
      </c>
      <c r="GY109" t="s">
        <v>1489</v>
      </c>
      <c r="GZ109" t="s">
        <v>140</v>
      </c>
      <c r="HA109">
        <v>1991</v>
      </c>
      <c r="HB109" t="s">
        <v>141</v>
      </c>
    </row>
    <row r="110" spans="1:214" x14ac:dyDescent="0.45">
      <c r="A110">
        <v>175</v>
      </c>
      <c r="B110">
        <f>_xlfn.IFNA(VLOOKUP(Analiza[[#This Row],[Zakończono wypełnianie]],Zakończone[],2,0),"BRAK")</f>
        <v>99</v>
      </c>
      <c r="C110">
        <f t="shared" si="3"/>
        <v>31</v>
      </c>
      <c r="D110" t="s">
        <v>1131</v>
      </c>
      <c r="E110" t="s">
        <v>118</v>
      </c>
      <c r="J110" t="s">
        <v>119</v>
      </c>
      <c r="K110" t="s">
        <v>1493</v>
      </c>
      <c r="L110" t="s">
        <v>1494</v>
      </c>
      <c r="M110">
        <v>2185</v>
      </c>
      <c r="N110">
        <v>0</v>
      </c>
      <c r="O110" t="s">
        <v>122</v>
      </c>
      <c r="P110" s="1" t="s">
        <v>123</v>
      </c>
      <c r="AF110" s="1" t="s">
        <v>124</v>
      </c>
      <c r="AG110" t="s">
        <v>223</v>
      </c>
      <c r="AH110">
        <v>2005</v>
      </c>
      <c r="AI110" t="s">
        <v>148</v>
      </c>
      <c r="AJ110" t="s">
        <v>1495</v>
      </c>
      <c r="AK110" t="s">
        <v>150</v>
      </c>
      <c r="AL110" t="s">
        <v>169</v>
      </c>
      <c r="AM110" t="s">
        <v>169</v>
      </c>
      <c r="AN110" t="s">
        <v>169</v>
      </c>
      <c r="AO110" t="s">
        <v>150</v>
      </c>
      <c r="AP110" t="s">
        <v>237</v>
      </c>
      <c r="AQ110" t="s">
        <v>131</v>
      </c>
      <c r="AR110" t="s">
        <v>302</v>
      </c>
      <c r="AT110" t="s">
        <v>1496</v>
      </c>
      <c r="AU110" t="s">
        <v>386</v>
      </c>
      <c r="AV110" t="s">
        <v>230</v>
      </c>
      <c r="AX110" s="1" t="s">
        <v>123</v>
      </c>
      <c r="CR110" s="1" t="s">
        <v>123</v>
      </c>
      <c r="DB110" s="1" t="s">
        <v>123</v>
      </c>
      <c r="DL110" s="1" t="s">
        <v>123</v>
      </c>
      <c r="EO110" s="1" t="s">
        <v>123</v>
      </c>
      <c r="EP110" t="s">
        <v>178</v>
      </c>
      <c r="FO110" s="1" t="s">
        <v>123</v>
      </c>
      <c r="GW110" t="s">
        <v>1497</v>
      </c>
      <c r="GX110" t="s">
        <v>1497</v>
      </c>
      <c r="GY110" t="s">
        <v>1497</v>
      </c>
      <c r="GZ110" t="s">
        <v>186</v>
      </c>
      <c r="HA110">
        <v>1981</v>
      </c>
      <c r="HB110" t="s">
        <v>246</v>
      </c>
    </row>
    <row r="111" spans="1:214" x14ac:dyDescent="0.45">
      <c r="A111">
        <v>178</v>
      </c>
      <c r="B111">
        <f>_xlfn.IFNA(VLOOKUP(Analiza[[#This Row],[Zakończono wypełnianie]],Zakończone[],2,0),"BRAK")</f>
        <v>100</v>
      </c>
      <c r="C111">
        <f t="shared" si="3"/>
        <v>31</v>
      </c>
      <c r="D111" t="s">
        <v>1131</v>
      </c>
      <c r="E111" t="s">
        <v>118</v>
      </c>
      <c r="J111" t="s">
        <v>119</v>
      </c>
      <c r="K111" t="s">
        <v>1501</v>
      </c>
      <c r="L111" t="s">
        <v>1502</v>
      </c>
      <c r="M111">
        <v>1485</v>
      </c>
      <c r="N111">
        <v>0</v>
      </c>
      <c r="O111" t="s">
        <v>122</v>
      </c>
      <c r="P111" s="1" t="s">
        <v>123</v>
      </c>
      <c r="AF111" s="1" t="s">
        <v>124</v>
      </c>
      <c r="AG111" t="s">
        <v>1503</v>
      </c>
      <c r="AH111">
        <v>2016</v>
      </c>
      <c r="AI111" t="s">
        <v>148</v>
      </c>
      <c r="AJ111" t="s">
        <v>1504</v>
      </c>
      <c r="AK111" t="s">
        <v>150</v>
      </c>
      <c r="AL111" t="s">
        <v>151</v>
      </c>
      <c r="AM111" t="s">
        <v>162</v>
      </c>
      <c r="AN111" t="s">
        <v>150</v>
      </c>
      <c r="AO111" t="s">
        <v>169</v>
      </c>
      <c r="AP111">
        <v>4</v>
      </c>
      <c r="AQ111" t="s">
        <v>302</v>
      </c>
      <c r="AR111" t="s">
        <v>153</v>
      </c>
      <c r="AS111" t="s">
        <v>1505</v>
      </c>
      <c r="AT111" t="s">
        <v>1506</v>
      </c>
      <c r="AU111" t="s">
        <v>1507</v>
      </c>
      <c r="AV111" t="s">
        <v>157</v>
      </c>
      <c r="AX111" s="1" t="s">
        <v>123</v>
      </c>
      <c r="CR111" s="1" t="s">
        <v>123</v>
      </c>
      <c r="DB111" s="1" t="s">
        <v>123</v>
      </c>
      <c r="DL111" s="1" t="s">
        <v>123</v>
      </c>
      <c r="EO111" s="1" t="s">
        <v>123</v>
      </c>
      <c r="FO111" s="1" t="s">
        <v>123</v>
      </c>
      <c r="GW111" t="s">
        <v>1508</v>
      </c>
      <c r="GX111" t="s">
        <v>1509</v>
      </c>
      <c r="GY111" t="s">
        <v>1510</v>
      </c>
      <c r="GZ111" t="s">
        <v>186</v>
      </c>
      <c r="HA111">
        <v>1991</v>
      </c>
      <c r="HB111" t="s">
        <v>398</v>
      </c>
    </row>
    <row r="112" spans="1:214" x14ac:dyDescent="0.45">
      <c r="A112">
        <v>179</v>
      </c>
      <c r="B112">
        <f>_xlfn.IFNA(VLOOKUP(Analiza[[#This Row],[Zakończono wypełnianie]],Zakończone[],2,0),"BRAK")</f>
        <v>101</v>
      </c>
      <c r="C112">
        <f t="shared" si="3"/>
        <v>42</v>
      </c>
      <c r="D112" t="s">
        <v>1511</v>
      </c>
      <c r="E112" t="s">
        <v>118</v>
      </c>
      <c r="J112" t="s">
        <v>119</v>
      </c>
      <c r="K112" t="s">
        <v>1512</v>
      </c>
      <c r="L112" t="s">
        <v>1513</v>
      </c>
      <c r="M112">
        <v>2685</v>
      </c>
      <c r="N112">
        <v>0</v>
      </c>
      <c r="O112" t="s">
        <v>122</v>
      </c>
      <c r="P112" s="1" t="s">
        <v>123</v>
      </c>
      <c r="AF112" s="1" t="s">
        <v>124</v>
      </c>
      <c r="AG112" t="s">
        <v>1514</v>
      </c>
      <c r="AH112">
        <v>1996</v>
      </c>
      <c r="AI112" t="s">
        <v>148</v>
      </c>
      <c r="AJ112" t="s">
        <v>1515</v>
      </c>
      <c r="AK112" t="s">
        <v>162</v>
      </c>
      <c r="AL112" t="s">
        <v>151</v>
      </c>
      <c r="AM112" t="s">
        <v>162</v>
      </c>
      <c r="AN112" t="s">
        <v>162</v>
      </c>
      <c r="AO112" t="s">
        <v>151</v>
      </c>
      <c r="AP112" t="s">
        <v>1516</v>
      </c>
      <c r="AQ112" t="s">
        <v>194</v>
      </c>
      <c r="AR112" t="s">
        <v>194</v>
      </c>
      <c r="AS112" t="s">
        <v>1517</v>
      </c>
      <c r="AT112" t="s">
        <v>1518</v>
      </c>
      <c r="AU112" t="s">
        <v>1519</v>
      </c>
      <c r="AV112" t="s">
        <v>172</v>
      </c>
      <c r="AX112" s="1" t="s">
        <v>123</v>
      </c>
      <c r="CR112" s="1" t="s">
        <v>123</v>
      </c>
      <c r="DB112" s="1" t="s">
        <v>123</v>
      </c>
      <c r="DL112" s="1" t="s">
        <v>123</v>
      </c>
      <c r="EO112" s="1" t="s">
        <v>177</v>
      </c>
      <c r="EP112" t="s">
        <v>180</v>
      </c>
      <c r="EQ112">
        <v>1</v>
      </c>
      <c r="ER112" t="s">
        <v>1520</v>
      </c>
      <c r="ES112" t="s">
        <v>150</v>
      </c>
      <c r="ET112" t="s">
        <v>162</v>
      </c>
      <c r="EU112" t="s">
        <v>162</v>
      </c>
      <c r="EV112" t="s">
        <v>178</v>
      </c>
      <c r="EW112" t="s">
        <v>1521</v>
      </c>
      <c r="EX112" t="s">
        <v>1522</v>
      </c>
      <c r="EY112" t="s">
        <v>173</v>
      </c>
      <c r="FO112" s="1" t="s">
        <v>123</v>
      </c>
      <c r="GW112" t="s">
        <v>1523</v>
      </c>
      <c r="GX112" t="s">
        <v>1524</v>
      </c>
      <c r="GY112" t="s">
        <v>1525</v>
      </c>
      <c r="GZ112" t="s">
        <v>186</v>
      </c>
      <c r="HA112">
        <v>1974</v>
      </c>
      <c r="HB112" t="s">
        <v>398</v>
      </c>
      <c r="HD112" t="s">
        <v>1526</v>
      </c>
    </row>
    <row r="113" spans="1:214" x14ac:dyDescent="0.45">
      <c r="A113">
        <v>181</v>
      </c>
      <c r="B113">
        <f>_xlfn.IFNA(VLOOKUP(Analiza[[#This Row],[Zakończono wypełnianie]],Zakończone[],2,0),"BRAK")</f>
        <v>102</v>
      </c>
      <c r="C113">
        <f t="shared" si="3"/>
        <v>33</v>
      </c>
      <c r="D113" t="s">
        <v>1336</v>
      </c>
      <c r="E113" t="s">
        <v>118</v>
      </c>
      <c r="J113" t="s">
        <v>119</v>
      </c>
      <c r="K113" t="s">
        <v>1528</v>
      </c>
      <c r="L113" t="s">
        <v>1529</v>
      </c>
      <c r="M113">
        <v>426</v>
      </c>
      <c r="N113">
        <v>0</v>
      </c>
      <c r="O113" t="s">
        <v>122</v>
      </c>
      <c r="P113" s="1" t="s">
        <v>416</v>
      </c>
      <c r="Q113" t="s">
        <v>1439</v>
      </c>
      <c r="R113" t="s">
        <v>126</v>
      </c>
      <c r="S113" t="s">
        <v>192</v>
      </c>
      <c r="T113" t="s">
        <v>151</v>
      </c>
      <c r="U113" t="s">
        <v>162</v>
      </c>
      <c r="V113" t="s">
        <v>128</v>
      </c>
      <c r="W113" t="s">
        <v>1531</v>
      </c>
      <c r="X113" t="s">
        <v>194</v>
      </c>
      <c r="Y113" t="s">
        <v>194</v>
      </c>
      <c r="Z113" t="s">
        <v>1532</v>
      </c>
      <c r="AA113" t="s">
        <v>1533</v>
      </c>
      <c r="AB113" t="s">
        <v>1534</v>
      </c>
      <c r="AC113" t="s">
        <v>892</v>
      </c>
      <c r="AE113">
        <v>7</v>
      </c>
      <c r="AF113" s="1" t="s">
        <v>123</v>
      </c>
      <c r="AX113" s="1" t="s">
        <v>123</v>
      </c>
      <c r="CR113" s="1" t="s">
        <v>123</v>
      </c>
      <c r="DB113" s="1" t="s">
        <v>123</v>
      </c>
      <c r="DL113" s="1" t="s">
        <v>123</v>
      </c>
      <c r="EO113" s="1" t="s">
        <v>123</v>
      </c>
      <c r="EP113" t="s">
        <v>178</v>
      </c>
      <c r="EQ113" t="s">
        <v>132</v>
      </c>
      <c r="FO113" s="1" t="s">
        <v>123</v>
      </c>
      <c r="GW113" t="s">
        <v>1535</v>
      </c>
      <c r="GX113" t="s">
        <v>1536</v>
      </c>
      <c r="GY113" t="s">
        <v>1537</v>
      </c>
      <c r="GZ113" t="s">
        <v>140</v>
      </c>
      <c r="HA113">
        <v>1991</v>
      </c>
      <c r="HB113" t="s">
        <v>141</v>
      </c>
      <c r="HD113" t="s">
        <v>1538</v>
      </c>
      <c r="HE113" t="s">
        <v>1539</v>
      </c>
    </row>
    <row r="114" spans="1:214" x14ac:dyDescent="0.45">
      <c r="A114">
        <v>182</v>
      </c>
      <c r="B114">
        <f>_xlfn.IFNA(VLOOKUP(Analiza[[#This Row],[Zakończono wypełnianie]],Zakończone[],2,0),"BRAK")</f>
        <v>103</v>
      </c>
      <c r="C114">
        <f t="shared" si="3"/>
        <v>33</v>
      </c>
      <c r="D114" t="s">
        <v>1540</v>
      </c>
      <c r="E114" t="s">
        <v>118</v>
      </c>
      <c r="J114" t="s">
        <v>119</v>
      </c>
      <c r="K114" t="s">
        <v>1541</v>
      </c>
      <c r="L114" t="s">
        <v>1542</v>
      </c>
      <c r="M114">
        <v>193</v>
      </c>
      <c r="N114">
        <v>0</v>
      </c>
      <c r="O114" t="s">
        <v>122</v>
      </c>
      <c r="P114" s="1" t="s">
        <v>123</v>
      </c>
      <c r="AF114" s="1" t="s">
        <v>124</v>
      </c>
      <c r="AG114" t="s">
        <v>191</v>
      </c>
      <c r="AH114">
        <v>2013</v>
      </c>
      <c r="AI114" t="s">
        <v>126</v>
      </c>
      <c r="AJ114" t="s">
        <v>1544</v>
      </c>
      <c r="AK114" t="s">
        <v>236</v>
      </c>
      <c r="AL114" t="s">
        <v>236</v>
      </c>
      <c r="AM114" t="s">
        <v>162</v>
      </c>
      <c r="AN114" t="s">
        <v>236</v>
      </c>
      <c r="AO114" t="s">
        <v>236</v>
      </c>
      <c r="AP114">
        <v>1</v>
      </c>
      <c r="AQ114" t="s">
        <v>131</v>
      </c>
      <c r="AR114" t="s">
        <v>302</v>
      </c>
      <c r="AT114" t="s">
        <v>267</v>
      </c>
      <c r="AU114" t="s">
        <v>267</v>
      </c>
      <c r="AV114" t="s">
        <v>157</v>
      </c>
      <c r="AX114" s="1" t="s">
        <v>123</v>
      </c>
      <c r="CR114" s="1" t="s">
        <v>123</v>
      </c>
      <c r="DB114" s="1" t="s">
        <v>123</v>
      </c>
      <c r="DL114" s="1" t="s">
        <v>123</v>
      </c>
      <c r="EO114" s="1" t="s">
        <v>123</v>
      </c>
      <c r="FO114" s="1" t="s">
        <v>123</v>
      </c>
      <c r="GW114" t="s">
        <v>267</v>
      </c>
      <c r="GX114" t="s">
        <v>267</v>
      </c>
      <c r="GY114" t="s">
        <v>267</v>
      </c>
      <c r="GZ114" t="s">
        <v>186</v>
      </c>
      <c r="HA114">
        <v>1989</v>
      </c>
      <c r="HB114" t="s">
        <v>141</v>
      </c>
      <c r="HD114" t="s">
        <v>267</v>
      </c>
      <c r="HE114" t="s">
        <v>267</v>
      </c>
      <c r="HF114" t="s">
        <v>267</v>
      </c>
    </row>
    <row r="115" spans="1:214" x14ac:dyDescent="0.45">
      <c r="A115">
        <v>183</v>
      </c>
      <c r="B115">
        <f>_xlfn.IFNA(VLOOKUP(Analiza[[#This Row],[Zakończono wypełnianie]],Zakończone[],2,0),"BRAK")</f>
        <v>104</v>
      </c>
      <c r="C115">
        <f t="shared" si="3"/>
        <v>32</v>
      </c>
      <c r="D115" t="s">
        <v>1545</v>
      </c>
      <c r="E115" t="s">
        <v>118</v>
      </c>
      <c r="J115" t="s">
        <v>119</v>
      </c>
      <c r="K115" t="s">
        <v>1546</v>
      </c>
      <c r="L115" t="s">
        <v>1547</v>
      </c>
      <c r="M115">
        <v>1556</v>
      </c>
      <c r="N115">
        <v>0</v>
      </c>
      <c r="O115" t="s">
        <v>122</v>
      </c>
      <c r="P115" s="1" t="s">
        <v>123</v>
      </c>
      <c r="AF115" s="1" t="s">
        <v>124</v>
      </c>
      <c r="AG115" t="s">
        <v>191</v>
      </c>
      <c r="AH115">
        <v>2018</v>
      </c>
      <c r="AI115" t="s">
        <v>126</v>
      </c>
      <c r="AJ115" t="s">
        <v>192</v>
      </c>
      <c r="AK115" t="s">
        <v>150</v>
      </c>
      <c r="AL115" t="s">
        <v>162</v>
      </c>
      <c r="AM115" t="s">
        <v>150</v>
      </c>
      <c r="AN115" t="s">
        <v>162</v>
      </c>
      <c r="AO115" t="s">
        <v>169</v>
      </c>
      <c r="AP115" t="s">
        <v>237</v>
      </c>
      <c r="AQ115" t="s">
        <v>153</v>
      </c>
      <c r="AR115" t="s">
        <v>209</v>
      </c>
      <c r="AS115" t="s">
        <v>1548</v>
      </c>
      <c r="AT115" t="s">
        <v>1549</v>
      </c>
      <c r="AU115" t="s">
        <v>1550</v>
      </c>
      <c r="AV115" t="s">
        <v>230</v>
      </c>
      <c r="AX115" s="1" t="s">
        <v>123</v>
      </c>
      <c r="CR115" s="1" t="s">
        <v>123</v>
      </c>
      <c r="DB115" s="1" t="s">
        <v>123</v>
      </c>
      <c r="DL115" s="1" t="s">
        <v>123</v>
      </c>
      <c r="EO115" s="1" t="s">
        <v>123</v>
      </c>
      <c r="FO115" s="1" t="s">
        <v>123</v>
      </c>
      <c r="GW115" t="s">
        <v>1551</v>
      </c>
      <c r="GX115" t="s">
        <v>1552</v>
      </c>
      <c r="GY115" t="s">
        <v>1553</v>
      </c>
      <c r="GZ115" t="s">
        <v>186</v>
      </c>
      <c r="HA115">
        <v>1994</v>
      </c>
      <c r="HB115" t="s">
        <v>483</v>
      </c>
      <c r="HD115" t="s">
        <v>1554</v>
      </c>
    </row>
    <row r="116" spans="1:214" x14ac:dyDescent="0.45">
      <c r="A116">
        <v>184</v>
      </c>
      <c r="B116">
        <f>_xlfn.IFNA(VLOOKUP(Analiza[[#This Row],[Zakończono wypełnianie]],Zakończone[],2,0),"BRAK")</f>
        <v>105</v>
      </c>
      <c r="C116">
        <f t="shared" si="3"/>
        <v>33</v>
      </c>
      <c r="D116" t="s">
        <v>1555</v>
      </c>
      <c r="E116" t="s">
        <v>118</v>
      </c>
      <c r="J116" t="s">
        <v>119</v>
      </c>
      <c r="K116" t="s">
        <v>1556</v>
      </c>
      <c r="L116" t="s">
        <v>1557</v>
      </c>
      <c r="M116">
        <v>1119</v>
      </c>
      <c r="N116">
        <v>0</v>
      </c>
      <c r="O116" t="s">
        <v>122</v>
      </c>
      <c r="P116" s="1" t="s">
        <v>123</v>
      </c>
      <c r="AF116" s="1" t="s">
        <v>124</v>
      </c>
      <c r="AG116" t="s">
        <v>191</v>
      </c>
      <c r="AH116">
        <v>1997</v>
      </c>
      <c r="AI116" t="s">
        <v>126</v>
      </c>
      <c r="AJ116" t="s">
        <v>1558</v>
      </c>
      <c r="AK116" t="s">
        <v>150</v>
      </c>
      <c r="AL116" t="s">
        <v>150</v>
      </c>
      <c r="AM116" t="s">
        <v>150</v>
      </c>
      <c r="AN116" t="s">
        <v>150</v>
      </c>
      <c r="AO116" t="s">
        <v>150</v>
      </c>
      <c r="AP116" t="s">
        <v>1559</v>
      </c>
      <c r="AQ116" t="s">
        <v>132</v>
      </c>
      <c r="AR116" t="s">
        <v>132</v>
      </c>
      <c r="AS116" t="s">
        <v>1560</v>
      </c>
      <c r="AT116" t="s">
        <v>1561</v>
      </c>
      <c r="AU116" t="s">
        <v>1562</v>
      </c>
      <c r="AV116" t="s">
        <v>172</v>
      </c>
      <c r="AX116" s="1" t="s">
        <v>123</v>
      </c>
      <c r="CR116" s="1" t="s">
        <v>123</v>
      </c>
      <c r="DB116" s="1" t="s">
        <v>123</v>
      </c>
      <c r="DL116" s="1" t="s">
        <v>123</v>
      </c>
      <c r="EO116" s="1" t="s">
        <v>123</v>
      </c>
      <c r="FO116" s="1" t="s">
        <v>123</v>
      </c>
      <c r="GW116" t="s">
        <v>1563</v>
      </c>
      <c r="GX116" t="s">
        <v>1564</v>
      </c>
      <c r="GY116" t="s">
        <v>1565</v>
      </c>
      <c r="GZ116" t="s">
        <v>186</v>
      </c>
      <c r="HA116">
        <v>1972</v>
      </c>
      <c r="HB116" t="s">
        <v>483</v>
      </c>
      <c r="HD116" t="s">
        <v>1566</v>
      </c>
      <c r="HE116" t="s">
        <v>142</v>
      </c>
    </row>
    <row r="117" spans="1:214" x14ac:dyDescent="0.45">
      <c r="A117">
        <v>185</v>
      </c>
      <c r="B117" t="str">
        <f>_xlfn.IFNA(VLOOKUP(Analiza[[#This Row],[Zakończono wypełnianie]],Zakończone[],2,0),"BRAK")</f>
        <v>BRAK</v>
      </c>
      <c r="C117">
        <f t="shared" si="3"/>
        <v>24</v>
      </c>
      <c r="D117" t="s">
        <v>1142</v>
      </c>
      <c r="E117" t="s">
        <v>118</v>
      </c>
      <c r="J117" t="s">
        <v>286</v>
      </c>
      <c r="K117" t="s">
        <v>1567</v>
      </c>
      <c r="L117" t="s">
        <v>1567</v>
      </c>
      <c r="M117">
        <v>0</v>
      </c>
      <c r="N117">
        <v>0</v>
      </c>
      <c r="O117" t="s">
        <v>122</v>
      </c>
      <c r="P117" s="1" t="s">
        <v>123</v>
      </c>
      <c r="AF117" s="1" t="s">
        <v>124</v>
      </c>
      <c r="AG117" t="s">
        <v>1503</v>
      </c>
      <c r="AH117">
        <v>2010</v>
      </c>
      <c r="AI117" t="s">
        <v>126</v>
      </c>
      <c r="AJ117" t="s">
        <v>1568</v>
      </c>
      <c r="AK117" t="s">
        <v>128</v>
      </c>
      <c r="AL117" t="s">
        <v>151</v>
      </c>
      <c r="AM117" t="s">
        <v>151</v>
      </c>
      <c r="AN117" t="s">
        <v>128</v>
      </c>
      <c r="AO117" t="s">
        <v>151</v>
      </c>
      <c r="AP117" t="s">
        <v>1569</v>
      </c>
      <c r="AQ117" t="s">
        <v>131</v>
      </c>
      <c r="AR117" t="s">
        <v>302</v>
      </c>
      <c r="AT117" t="s">
        <v>1570</v>
      </c>
      <c r="AU117" t="s">
        <v>532</v>
      </c>
      <c r="AW117" t="s">
        <v>1571</v>
      </c>
      <c r="AX117" s="1" t="s">
        <v>123</v>
      </c>
      <c r="CR117" s="1" t="s">
        <v>123</v>
      </c>
      <c r="DB117" s="1" t="s">
        <v>123</v>
      </c>
      <c r="DL117" s="1" t="s">
        <v>123</v>
      </c>
      <c r="EO117" s="1" t="s">
        <v>123</v>
      </c>
      <c r="FO117" s="1" t="s">
        <v>123</v>
      </c>
    </row>
    <row r="118" spans="1:214" x14ac:dyDescent="0.45">
      <c r="A118">
        <v>187</v>
      </c>
      <c r="B118">
        <f>_xlfn.IFNA(VLOOKUP(Analiza[[#This Row],[Zakończono wypełnianie]],Zakończone[],2,0),"BRAK")</f>
        <v>106</v>
      </c>
      <c r="C118">
        <f t="shared" si="3"/>
        <v>33</v>
      </c>
      <c r="D118" t="s">
        <v>1574</v>
      </c>
      <c r="E118" t="s">
        <v>118</v>
      </c>
      <c r="J118" t="s">
        <v>119</v>
      </c>
      <c r="K118" t="s">
        <v>1575</v>
      </c>
      <c r="L118" t="s">
        <v>1576</v>
      </c>
      <c r="M118">
        <v>701</v>
      </c>
      <c r="N118">
        <v>0</v>
      </c>
      <c r="O118" t="s">
        <v>122</v>
      </c>
      <c r="P118" s="1" t="s">
        <v>123</v>
      </c>
      <c r="AF118" s="1" t="s">
        <v>124</v>
      </c>
      <c r="AG118" t="s">
        <v>191</v>
      </c>
      <c r="AH118" t="s">
        <v>1577</v>
      </c>
      <c r="AI118" t="s">
        <v>126</v>
      </c>
      <c r="AJ118" t="s">
        <v>1578</v>
      </c>
      <c r="AK118" t="s">
        <v>162</v>
      </c>
      <c r="AL118" t="s">
        <v>162</v>
      </c>
      <c r="AM118" t="s">
        <v>151</v>
      </c>
      <c r="AN118" t="s">
        <v>162</v>
      </c>
      <c r="AO118" t="s">
        <v>151</v>
      </c>
      <c r="AP118" t="s">
        <v>530</v>
      </c>
      <c r="AQ118" t="s">
        <v>302</v>
      </c>
      <c r="AR118" t="s">
        <v>302</v>
      </c>
      <c r="AT118" t="s">
        <v>1579</v>
      </c>
      <c r="AU118" t="s">
        <v>1580</v>
      </c>
      <c r="AV118" t="s">
        <v>157</v>
      </c>
      <c r="AW118" t="s">
        <v>1581</v>
      </c>
      <c r="AX118" s="1" t="s">
        <v>123</v>
      </c>
      <c r="CR118" s="1" t="s">
        <v>123</v>
      </c>
      <c r="DB118" s="1" t="s">
        <v>123</v>
      </c>
      <c r="DL118" s="1" t="s">
        <v>123</v>
      </c>
      <c r="EO118" s="1" t="s">
        <v>123</v>
      </c>
      <c r="FO118" s="1" t="s">
        <v>123</v>
      </c>
      <c r="GW118" t="s">
        <v>1582</v>
      </c>
      <c r="GX118" t="s">
        <v>1583</v>
      </c>
      <c r="GY118" t="s">
        <v>1584</v>
      </c>
      <c r="GZ118" t="s">
        <v>140</v>
      </c>
      <c r="HA118">
        <v>1985</v>
      </c>
      <c r="HB118" t="s">
        <v>220</v>
      </c>
      <c r="HD118" t="s">
        <v>1585</v>
      </c>
      <c r="HE118" t="s">
        <v>1586</v>
      </c>
    </row>
    <row r="119" spans="1:214" x14ac:dyDescent="0.45">
      <c r="A119">
        <v>188</v>
      </c>
      <c r="B119">
        <f>_xlfn.IFNA(VLOOKUP(Analiza[[#This Row],[Zakończono wypełnianie]],Zakończone[],2,0),"BRAK")</f>
        <v>107</v>
      </c>
      <c r="C119">
        <f t="shared" si="3"/>
        <v>66</v>
      </c>
      <c r="D119" t="s">
        <v>1587</v>
      </c>
      <c r="E119" t="s">
        <v>118</v>
      </c>
      <c r="J119" t="s">
        <v>119</v>
      </c>
      <c r="K119" t="s">
        <v>1588</v>
      </c>
      <c r="L119" t="s">
        <v>1589</v>
      </c>
      <c r="M119">
        <v>1788</v>
      </c>
      <c r="N119">
        <v>0</v>
      </c>
      <c r="O119" t="s">
        <v>122</v>
      </c>
      <c r="P119" s="1" t="s">
        <v>123</v>
      </c>
      <c r="AF119" s="1" t="s">
        <v>124</v>
      </c>
      <c r="AG119" t="s">
        <v>191</v>
      </c>
      <c r="AH119">
        <v>1983</v>
      </c>
      <c r="AI119" t="s">
        <v>126</v>
      </c>
      <c r="AJ119" t="s">
        <v>1590</v>
      </c>
      <c r="AK119" t="s">
        <v>150</v>
      </c>
      <c r="AL119" t="s">
        <v>150</v>
      </c>
      <c r="AM119" t="s">
        <v>236</v>
      </c>
      <c r="AN119" t="s">
        <v>129</v>
      </c>
      <c r="AO119" t="s">
        <v>162</v>
      </c>
      <c r="AP119">
        <v>36</v>
      </c>
      <c r="AQ119" t="s">
        <v>132</v>
      </c>
      <c r="AR119" t="s">
        <v>132</v>
      </c>
      <c r="AS119" t="s">
        <v>1591</v>
      </c>
      <c r="AT119" t="s">
        <v>1592</v>
      </c>
      <c r="AU119" t="s">
        <v>1593</v>
      </c>
      <c r="AV119" t="s">
        <v>172</v>
      </c>
      <c r="AX119" s="1" t="s">
        <v>159</v>
      </c>
      <c r="AY119">
        <v>3</v>
      </c>
      <c r="AZ119" t="s">
        <v>191</v>
      </c>
      <c r="BA119">
        <v>2019</v>
      </c>
      <c r="BB119" t="s">
        <v>126</v>
      </c>
      <c r="BC119" t="s">
        <v>1594</v>
      </c>
      <c r="BD119" t="s">
        <v>236</v>
      </c>
      <c r="BE119" t="s">
        <v>128</v>
      </c>
      <c r="BF119" t="s">
        <v>162</v>
      </c>
      <c r="BG119" t="s">
        <v>151</v>
      </c>
      <c r="BH119" t="s">
        <v>132</v>
      </c>
      <c r="BI119" t="s">
        <v>1595</v>
      </c>
      <c r="BJ119" t="s">
        <v>1596</v>
      </c>
      <c r="BK119" t="s">
        <v>157</v>
      </c>
      <c r="BN119" t="s">
        <v>173</v>
      </c>
      <c r="CR119" s="1" t="s">
        <v>123</v>
      </c>
      <c r="DB119" s="1" t="s">
        <v>123</v>
      </c>
      <c r="DL119" s="1" t="s">
        <v>123</v>
      </c>
      <c r="EO119" s="1" t="s">
        <v>177</v>
      </c>
      <c r="EP119" t="s">
        <v>178</v>
      </c>
      <c r="EQ119">
        <v>2</v>
      </c>
      <c r="ER119" t="s">
        <v>747</v>
      </c>
      <c r="ES119" t="s">
        <v>236</v>
      </c>
      <c r="ET119" t="s">
        <v>236</v>
      </c>
      <c r="EU119" t="s">
        <v>128</v>
      </c>
      <c r="EV119" t="s">
        <v>178</v>
      </c>
      <c r="EW119" t="s">
        <v>1597</v>
      </c>
      <c r="EX119" t="s">
        <v>1598</v>
      </c>
      <c r="EY119" t="s">
        <v>1206</v>
      </c>
      <c r="EZ119" t="s">
        <v>1599</v>
      </c>
      <c r="FA119" t="s">
        <v>129</v>
      </c>
      <c r="FB119" t="s">
        <v>129</v>
      </c>
      <c r="FC119" t="s">
        <v>236</v>
      </c>
      <c r="FD119" t="s">
        <v>178</v>
      </c>
      <c r="FE119" t="s">
        <v>1600</v>
      </c>
      <c r="FF119" t="s">
        <v>1601</v>
      </c>
      <c r="FG119" t="s">
        <v>173</v>
      </c>
      <c r="FO119" s="1" t="s">
        <v>123</v>
      </c>
      <c r="GW119" t="s">
        <v>1602</v>
      </c>
      <c r="GX119" t="s">
        <v>1603</v>
      </c>
      <c r="GY119" t="s">
        <v>1604</v>
      </c>
      <c r="GZ119" t="s">
        <v>186</v>
      </c>
      <c r="HA119">
        <v>1959</v>
      </c>
      <c r="HB119" t="s">
        <v>483</v>
      </c>
      <c r="HD119" t="s">
        <v>1605</v>
      </c>
      <c r="HE119" t="s">
        <v>1606</v>
      </c>
      <c r="HF119" t="s">
        <v>1607</v>
      </c>
    </row>
    <row r="120" spans="1:214" x14ac:dyDescent="0.45">
      <c r="A120">
        <v>189</v>
      </c>
      <c r="B120">
        <f>_xlfn.IFNA(VLOOKUP(Analiza[[#This Row],[Zakończono wypełnianie]],Zakończone[],2,0),"BRAK")</f>
        <v>108</v>
      </c>
      <c r="C120">
        <f t="shared" si="3"/>
        <v>34</v>
      </c>
      <c r="D120" t="s">
        <v>1352</v>
      </c>
      <c r="E120" t="s">
        <v>118</v>
      </c>
      <c r="J120" t="s">
        <v>119</v>
      </c>
      <c r="K120" t="s">
        <v>1608</v>
      </c>
      <c r="L120" t="s">
        <v>1609</v>
      </c>
      <c r="M120">
        <v>4906</v>
      </c>
      <c r="N120">
        <v>0</v>
      </c>
      <c r="O120" t="s">
        <v>122</v>
      </c>
      <c r="P120" s="1" t="s">
        <v>123</v>
      </c>
      <c r="AF120" s="1" t="s">
        <v>124</v>
      </c>
      <c r="AG120" t="s">
        <v>223</v>
      </c>
      <c r="AH120">
        <v>2009</v>
      </c>
      <c r="AI120" t="s">
        <v>148</v>
      </c>
      <c r="AJ120" t="s">
        <v>554</v>
      </c>
      <c r="AK120" t="s">
        <v>162</v>
      </c>
      <c r="AL120" t="s">
        <v>162</v>
      </c>
      <c r="AM120" t="s">
        <v>162</v>
      </c>
      <c r="AN120" t="s">
        <v>162</v>
      </c>
      <c r="AO120" t="s">
        <v>162</v>
      </c>
      <c r="AP120" t="s">
        <v>1610</v>
      </c>
      <c r="AQ120" t="s">
        <v>302</v>
      </c>
      <c r="AR120" t="s">
        <v>153</v>
      </c>
      <c r="AT120" t="s">
        <v>1611</v>
      </c>
      <c r="AU120" t="s">
        <v>1612</v>
      </c>
      <c r="AW120" t="s">
        <v>1613</v>
      </c>
      <c r="AX120" s="1" t="s">
        <v>123</v>
      </c>
      <c r="CR120" s="1" t="s">
        <v>123</v>
      </c>
      <c r="DB120" s="1" t="s">
        <v>123</v>
      </c>
      <c r="DL120" s="1" t="s">
        <v>123</v>
      </c>
      <c r="EO120" s="1" t="s">
        <v>123</v>
      </c>
      <c r="EP120" t="s">
        <v>180</v>
      </c>
      <c r="EQ120" t="s">
        <v>132</v>
      </c>
      <c r="FO120" s="1" t="s">
        <v>123</v>
      </c>
      <c r="GW120" t="s">
        <v>1614</v>
      </c>
      <c r="GX120" t="s">
        <v>1247</v>
      </c>
      <c r="GY120" t="s">
        <v>1247</v>
      </c>
      <c r="GZ120" t="s">
        <v>140</v>
      </c>
      <c r="HA120">
        <v>1983</v>
      </c>
      <c r="HB120" t="s">
        <v>220</v>
      </c>
      <c r="HD120" t="s">
        <v>1615</v>
      </c>
      <c r="HE120" t="s">
        <v>1615</v>
      </c>
    </row>
    <row r="121" spans="1:214" x14ac:dyDescent="0.45">
      <c r="A121">
        <v>191</v>
      </c>
      <c r="B121">
        <f>_xlfn.IFNA(VLOOKUP(Analiza[[#This Row],[Zakończono wypełnianie]],Zakończone[],2,0),"BRAK")</f>
        <v>109</v>
      </c>
      <c r="C121">
        <f t="shared" si="3"/>
        <v>32</v>
      </c>
      <c r="D121" t="s">
        <v>1618</v>
      </c>
      <c r="E121" t="s">
        <v>118</v>
      </c>
      <c r="J121" t="s">
        <v>119</v>
      </c>
      <c r="K121" t="s">
        <v>1619</v>
      </c>
      <c r="L121" t="s">
        <v>1620</v>
      </c>
      <c r="M121">
        <v>1891</v>
      </c>
      <c r="N121">
        <v>0</v>
      </c>
      <c r="O121" t="s">
        <v>122</v>
      </c>
      <c r="P121" s="1" t="s">
        <v>123</v>
      </c>
      <c r="AF121" s="1" t="s">
        <v>124</v>
      </c>
      <c r="AG121" t="s">
        <v>1503</v>
      </c>
      <c r="AH121">
        <v>2000</v>
      </c>
      <c r="AI121" t="s">
        <v>148</v>
      </c>
      <c r="AJ121" t="s">
        <v>1622</v>
      </c>
      <c r="AK121" t="s">
        <v>150</v>
      </c>
      <c r="AL121" t="s">
        <v>150</v>
      </c>
      <c r="AM121" t="s">
        <v>150</v>
      </c>
      <c r="AN121" t="s">
        <v>236</v>
      </c>
      <c r="AO121" t="s">
        <v>162</v>
      </c>
      <c r="AP121" t="s">
        <v>1623</v>
      </c>
      <c r="AQ121" t="s">
        <v>132</v>
      </c>
      <c r="AR121" t="s">
        <v>302</v>
      </c>
      <c r="AS121" t="s">
        <v>1624</v>
      </c>
      <c r="AT121" t="s">
        <v>1625</v>
      </c>
      <c r="AU121" t="s">
        <v>1626</v>
      </c>
      <c r="AV121" t="s">
        <v>172</v>
      </c>
      <c r="AX121" s="1" t="s">
        <v>123</v>
      </c>
      <c r="CR121" s="1" t="s">
        <v>123</v>
      </c>
      <c r="DB121" s="1" t="s">
        <v>123</v>
      </c>
      <c r="DL121" s="1" t="s">
        <v>123</v>
      </c>
      <c r="EO121" s="1" t="s">
        <v>123</v>
      </c>
      <c r="FO121" s="1" t="s">
        <v>123</v>
      </c>
      <c r="GW121" t="s">
        <v>1627</v>
      </c>
      <c r="GX121" t="s">
        <v>1628</v>
      </c>
      <c r="GY121" t="s">
        <v>1629</v>
      </c>
      <c r="GZ121" t="s">
        <v>186</v>
      </c>
      <c r="HA121">
        <v>72</v>
      </c>
      <c r="HB121" t="s">
        <v>1630</v>
      </c>
      <c r="HE121" t="s">
        <v>1631</v>
      </c>
    </row>
    <row r="122" spans="1:214" x14ac:dyDescent="0.45">
      <c r="A122">
        <v>193</v>
      </c>
      <c r="B122">
        <f>_xlfn.IFNA(VLOOKUP(Analiza[[#This Row],[Zakończono wypełnianie]],Zakończone[],2,0),"BRAK")</f>
        <v>110</v>
      </c>
      <c r="C122">
        <f t="shared" si="3"/>
        <v>33</v>
      </c>
      <c r="D122" t="s">
        <v>1131</v>
      </c>
      <c r="E122" t="s">
        <v>118</v>
      </c>
      <c r="J122" t="s">
        <v>119</v>
      </c>
      <c r="K122" t="s">
        <v>1634</v>
      </c>
      <c r="L122" t="s">
        <v>1635</v>
      </c>
      <c r="M122">
        <v>545</v>
      </c>
      <c r="N122">
        <v>0</v>
      </c>
      <c r="O122" t="s">
        <v>122</v>
      </c>
      <c r="P122" s="1" t="s">
        <v>123</v>
      </c>
      <c r="AF122" s="1" t="s">
        <v>124</v>
      </c>
      <c r="AG122" t="s">
        <v>1636</v>
      </c>
      <c r="AH122">
        <v>2001</v>
      </c>
      <c r="AI122" t="s">
        <v>148</v>
      </c>
      <c r="AJ122" t="s">
        <v>1637</v>
      </c>
      <c r="AK122" t="s">
        <v>150</v>
      </c>
      <c r="AL122" t="s">
        <v>150</v>
      </c>
      <c r="AM122" t="s">
        <v>169</v>
      </c>
      <c r="AN122" t="s">
        <v>150</v>
      </c>
      <c r="AO122" t="s">
        <v>169</v>
      </c>
      <c r="AP122" t="s">
        <v>1638</v>
      </c>
      <c r="AQ122" t="s">
        <v>152</v>
      </c>
      <c r="AR122" t="s">
        <v>153</v>
      </c>
      <c r="AS122" t="s">
        <v>1639</v>
      </c>
      <c r="AT122" t="s">
        <v>1640</v>
      </c>
      <c r="AU122" t="s">
        <v>386</v>
      </c>
      <c r="AV122" t="s">
        <v>157</v>
      </c>
      <c r="AX122" s="1" t="s">
        <v>123</v>
      </c>
      <c r="CR122" s="1" t="s">
        <v>123</v>
      </c>
      <c r="DB122" s="1" t="s">
        <v>123</v>
      </c>
      <c r="DL122" s="1" t="s">
        <v>123</v>
      </c>
      <c r="EO122" s="1" t="s">
        <v>123</v>
      </c>
      <c r="FO122" s="1" t="s">
        <v>123</v>
      </c>
      <c r="GW122" t="s">
        <v>1641</v>
      </c>
      <c r="GX122" t="s">
        <v>1642</v>
      </c>
      <c r="GY122" t="s">
        <v>1643</v>
      </c>
      <c r="GZ122" t="s">
        <v>140</v>
      </c>
      <c r="HA122">
        <v>1977</v>
      </c>
      <c r="HB122" t="s">
        <v>141</v>
      </c>
      <c r="HC122" t="s">
        <v>1644</v>
      </c>
      <c r="HD122" t="s">
        <v>1645</v>
      </c>
    </row>
    <row r="123" spans="1:214" x14ac:dyDescent="0.45">
      <c r="A123">
        <v>195</v>
      </c>
      <c r="B123">
        <f>_xlfn.IFNA(VLOOKUP(Analiza[[#This Row],[Zakończono wypełnianie]],Zakończone[],2,0),"BRAK")</f>
        <v>111</v>
      </c>
      <c r="C123">
        <f t="shared" si="3"/>
        <v>32</v>
      </c>
      <c r="D123" t="s">
        <v>1649</v>
      </c>
      <c r="E123" t="s">
        <v>118</v>
      </c>
      <c r="F123" t="s">
        <v>359</v>
      </c>
      <c r="J123" t="s">
        <v>119</v>
      </c>
      <c r="K123" t="s">
        <v>1650</v>
      </c>
      <c r="L123" t="s">
        <v>1651</v>
      </c>
      <c r="M123">
        <v>386</v>
      </c>
      <c r="N123">
        <v>0</v>
      </c>
      <c r="O123" t="s">
        <v>122</v>
      </c>
      <c r="P123" s="1" t="s">
        <v>123</v>
      </c>
      <c r="AF123" s="1" t="s">
        <v>124</v>
      </c>
      <c r="AG123" t="s">
        <v>191</v>
      </c>
      <c r="AH123">
        <v>2016</v>
      </c>
      <c r="AI123" t="s">
        <v>126</v>
      </c>
      <c r="AJ123" t="s">
        <v>1652</v>
      </c>
      <c r="AK123" t="s">
        <v>162</v>
      </c>
      <c r="AL123" t="s">
        <v>151</v>
      </c>
      <c r="AM123" t="s">
        <v>162</v>
      </c>
      <c r="AN123" t="s">
        <v>150</v>
      </c>
      <c r="AO123" t="s">
        <v>236</v>
      </c>
      <c r="AP123" t="s">
        <v>530</v>
      </c>
      <c r="AQ123" t="s">
        <v>153</v>
      </c>
      <c r="AR123" t="s">
        <v>153</v>
      </c>
      <c r="AS123" t="s">
        <v>1653</v>
      </c>
      <c r="AT123" t="s">
        <v>1654</v>
      </c>
      <c r="AU123" t="s">
        <v>1655</v>
      </c>
      <c r="AV123" t="s">
        <v>172</v>
      </c>
      <c r="AX123" s="1" t="s">
        <v>123</v>
      </c>
      <c r="CR123" s="1" t="s">
        <v>123</v>
      </c>
      <c r="DB123" s="1" t="s">
        <v>123</v>
      </c>
      <c r="DL123" s="1" t="s">
        <v>123</v>
      </c>
      <c r="EO123" s="1" t="s">
        <v>123</v>
      </c>
      <c r="EP123" t="s">
        <v>178</v>
      </c>
      <c r="FO123" s="1" t="s">
        <v>123</v>
      </c>
      <c r="GW123" t="s">
        <v>1656</v>
      </c>
      <c r="GX123" t="s">
        <v>1657</v>
      </c>
      <c r="GY123" t="s">
        <v>1658</v>
      </c>
      <c r="GZ123" t="s">
        <v>140</v>
      </c>
      <c r="HA123">
        <v>1993</v>
      </c>
      <c r="HB123" t="s">
        <v>220</v>
      </c>
    </row>
    <row r="124" spans="1:214" x14ac:dyDescent="0.45">
      <c r="A124">
        <v>196</v>
      </c>
      <c r="B124">
        <f>_xlfn.IFNA(VLOOKUP(Analiza[[#This Row],[Zakończono wypełnianie]],Zakończone[],2,0),"BRAK")</f>
        <v>112</v>
      </c>
      <c r="C124">
        <f t="shared" si="3"/>
        <v>54</v>
      </c>
      <c r="D124" t="s">
        <v>1659</v>
      </c>
      <c r="E124" t="s">
        <v>118</v>
      </c>
      <c r="J124" t="s">
        <v>119</v>
      </c>
      <c r="K124" t="s">
        <v>1660</v>
      </c>
      <c r="L124" t="s">
        <v>1661</v>
      </c>
      <c r="M124">
        <v>614</v>
      </c>
      <c r="N124">
        <v>0</v>
      </c>
      <c r="O124" t="s">
        <v>122</v>
      </c>
      <c r="P124" s="1" t="s">
        <v>123</v>
      </c>
      <c r="AF124" s="1" t="s">
        <v>124</v>
      </c>
      <c r="AG124" t="s">
        <v>191</v>
      </c>
      <c r="AH124">
        <v>1991</v>
      </c>
      <c r="AI124" t="s">
        <v>126</v>
      </c>
      <c r="AJ124" t="s">
        <v>1662</v>
      </c>
      <c r="AK124" t="s">
        <v>150</v>
      </c>
      <c r="AL124" t="s">
        <v>150</v>
      </c>
      <c r="AM124" t="s">
        <v>150</v>
      </c>
      <c r="AN124" t="s">
        <v>132</v>
      </c>
      <c r="AO124" t="s">
        <v>132</v>
      </c>
      <c r="AP124" t="s">
        <v>718</v>
      </c>
      <c r="AQ124" t="s">
        <v>132</v>
      </c>
      <c r="AR124" t="s">
        <v>132</v>
      </c>
      <c r="AS124" t="s">
        <v>1663</v>
      </c>
      <c r="AT124" t="s">
        <v>1664</v>
      </c>
      <c r="AU124" t="s">
        <v>1665</v>
      </c>
      <c r="AV124" t="s">
        <v>172</v>
      </c>
      <c r="AX124" s="1" t="s">
        <v>159</v>
      </c>
      <c r="AY124">
        <v>1</v>
      </c>
      <c r="AZ124" t="s">
        <v>191</v>
      </c>
      <c r="BA124">
        <v>2018</v>
      </c>
      <c r="BB124" t="s">
        <v>126</v>
      </c>
      <c r="BC124" t="s">
        <v>1666</v>
      </c>
      <c r="BD124" t="s">
        <v>151</v>
      </c>
      <c r="BE124" t="s">
        <v>151</v>
      </c>
      <c r="BF124" t="s">
        <v>151</v>
      </c>
      <c r="BG124" t="s">
        <v>151</v>
      </c>
      <c r="BH124" t="s">
        <v>151</v>
      </c>
      <c r="BI124">
        <v>1</v>
      </c>
      <c r="BK124" t="s">
        <v>172</v>
      </c>
      <c r="BN124" t="s">
        <v>173</v>
      </c>
      <c r="CR124" s="1" t="s">
        <v>123</v>
      </c>
      <c r="DB124" s="1" t="s">
        <v>123</v>
      </c>
      <c r="DL124" s="1" t="s">
        <v>123</v>
      </c>
      <c r="EO124" s="1" t="s">
        <v>177</v>
      </c>
      <c r="EP124" t="s">
        <v>178</v>
      </c>
      <c r="EQ124">
        <v>1</v>
      </c>
      <c r="ER124" t="s">
        <v>191</v>
      </c>
      <c r="ES124" t="s">
        <v>169</v>
      </c>
      <c r="ET124" t="s">
        <v>169</v>
      </c>
      <c r="EU124" t="s">
        <v>151</v>
      </c>
      <c r="EV124" t="s">
        <v>178</v>
      </c>
      <c r="EW124" t="s">
        <v>1667</v>
      </c>
      <c r="EX124" t="s">
        <v>1668</v>
      </c>
      <c r="EY124" t="s">
        <v>173</v>
      </c>
      <c r="FO124" s="1" t="s">
        <v>123</v>
      </c>
      <c r="GW124" t="s">
        <v>1669</v>
      </c>
      <c r="GX124" t="s">
        <v>1670</v>
      </c>
      <c r="GY124" t="s">
        <v>1671</v>
      </c>
      <c r="GZ124" t="s">
        <v>186</v>
      </c>
      <c r="HA124">
        <v>1966</v>
      </c>
      <c r="HB124" t="s">
        <v>141</v>
      </c>
    </row>
    <row r="125" spans="1:214" x14ac:dyDescent="0.45">
      <c r="A125">
        <v>198</v>
      </c>
      <c r="B125">
        <f>_xlfn.IFNA(VLOOKUP(Analiza[[#This Row],[Zakończono wypełnianie]],Zakończone[],2,0),"BRAK")</f>
        <v>113</v>
      </c>
      <c r="C125">
        <f t="shared" si="3"/>
        <v>31</v>
      </c>
      <c r="D125" t="s">
        <v>1674</v>
      </c>
      <c r="E125" t="s">
        <v>118</v>
      </c>
      <c r="J125" t="s">
        <v>119</v>
      </c>
      <c r="K125" t="s">
        <v>1675</v>
      </c>
      <c r="L125" t="s">
        <v>1676</v>
      </c>
      <c r="M125">
        <v>445</v>
      </c>
      <c r="N125">
        <v>0</v>
      </c>
      <c r="O125" t="s">
        <v>122</v>
      </c>
      <c r="P125" s="1" t="s">
        <v>123</v>
      </c>
      <c r="AF125" s="1" t="s">
        <v>124</v>
      </c>
      <c r="AG125" t="s">
        <v>191</v>
      </c>
      <c r="AH125">
        <v>2014</v>
      </c>
      <c r="AI125" t="s">
        <v>126</v>
      </c>
      <c r="AJ125" t="s">
        <v>192</v>
      </c>
      <c r="AK125" t="s">
        <v>169</v>
      </c>
      <c r="AL125" t="s">
        <v>169</v>
      </c>
      <c r="AM125" t="s">
        <v>162</v>
      </c>
      <c r="AN125" t="s">
        <v>151</v>
      </c>
      <c r="AO125" t="s">
        <v>151</v>
      </c>
      <c r="AP125" t="s">
        <v>237</v>
      </c>
      <c r="AQ125" t="s">
        <v>226</v>
      </c>
      <c r="AR125" t="s">
        <v>1428</v>
      </c>
      <c r="AS125" t="s">
        <v>1677</v>
      </c>
      <c r="AT125" t="s">
        <v>1678</v>
      </c>
      <c r="AU125" t="s">
        <v>1679</v>
      </c>
      <c r="AV125" t="s">
        <v>157</v>
      </c>
      <c r="AX125" s="1" t="s">
        <v>123</v>
      </c>
      <c r="CR125" s="1" t="s">
        <v>123</v>
      </c>
      <c r="DB125" s="1" t="s">
        <v>123</v>
      </c>
      <c r="DL125" s="1" t="s">
        <v>123</v>
      </c>
      <c r="EO125" s="1" t="s">
        <v>123</v>
      </c>
      <c r="FO125" s="1" t="s">
        <v>123</v>
      </c>
      <c r="GW125" t="s">
        <v>532</v>
      </c>
      <c r="GX125" t="s">
        <v>1680</v>
      </c>
      <c r="GY125" t="s">
        <v>1681</v>
      </c>
      <c r="GZ125" t="s">
        <v>186</v>
      </c>
      <c r="HA125">
        <v>1984</v>
      </c>
      <c r="HB125" t="s">
        <v>398</v>
      </c>
    </row>
    <row r="126" spans="1:214" x14ac:dyDescent="0.45">
      <c r="A126">
        <v>200</v>
      </c>
      <c r="B126" t="str">
        <f>_xlfn.IFNA(VLOOKUP(Analiza[[#This Row],[Zakończono wypełnianie]],Zakończone[],2,0),"BRAK")</f>
        <v>BRAK</v>
      </c>
      <c r="C126">
        <f t="shared" si="3"/>
        <v>21</v>
      </c>
      <c r="D126" t="s">
        <v>1684</v>
      </c>
      <c r="E126" t="s">
        <v>118</v>
      </c>
      <c r="F126" t="s">
        <v>1647</v>
      </c>
      <c r="J126" t="s">
        <v>286</v>
      </c>
      <c r="K126" t="s">
        <v>1685</v>
      </c>
      <c r="L126" t="s">
        <v>1685</v>
      </c>
      <c r="M126">
        <v>0</v>
      </c>
      <c r="N126">
        <v>0</v>
      </c>
      <c r="O126" t="s">
        <v>122</v>
      </c>
      <c r="P126" s="1" t="s">
        <v>123</v>
      </c>
      <c r="AF126" s="1" t="s">
        <v>124</v>
      </c>
      <c r="AG126" t="s">
        <v>223</v>
      </c>
      <c r="AH126">
        <v>2000</v>
      </c>
      <c r="AI126" t="s">
        <v>148</v>
      </c>
      <c r="AJ126" t="s">
        <v>1687</v>
      </c>
      <c r="AK126" t="s">
        <v>151</v>
      </c>
      <c r="AL126" t="s">
        <v>151</v>
      </c>
      <c r="AM126" t="s">
        <v>162</v>
      </c>
      <c r="AN126" t="s">
        <v>129</v>
      </c>
      <c r="AO126" t="s">
        <v>129</v>
      </c>
      <c r="AP126" t="s">
        <v>1688</v>
      </c>
      <c r="AQ126" t="s">
        <v>302</v>
      </c>
      <c r="AR126" t="s">
        <v>153</v>
      </c>
      <c r="AS126" t="s">
        <v>1689</v>
      </c>
      <c r="AT126" t="s">
        <v>1690</v>
      </c>
      <c r="AU126" t="s">
        <v>1691</v>
      </c>
      <c r="AV126" t="s">
        <v>157</v>
      </c>
      <c r="AX126" s="1" t="s">
        <v>123</v>
      </c>
      <c r="CR126" s="1" t="s">
        <v>123</v>
      </c>
      <c r="DB126" s="1"/>
      <c r="DL126" s="1"/>
      <c r="EO126" s="1"/>
      <c r="FO126" s="1"/>
    </row>
    <row r="127" spans="1:214" x14ac:dyDescent="0.45">
      <c r="A127">
        <v>202</v>
      </c>
      <c r="B127" t="str">
        <f>_xlfn.IFNA(VLOOKUP(Analiza[[#This Row],[Zakończono wypełnianie]],Zakończone[],2,0),"BRAK")</f>
        <v>BRAK</v>
      </c>
      <c r="C127">
        <f t="shared" si="3"/>
        <v>21</v>
      </c>
      <c r="D127" t="s">
        <v>1694</v>
      </c>
      <c r="E127" t="s">
        <v>118</v>
      </c>
      <c r="J127" t="s">
        <v>286</v>
      </c>
      <c r="K127" t="s">
        <v>1695</v>
      </c>
      <c r="L127" t="s">
        <v>1695</v>
      </c>
      <c r="M127">
        <v>0</v>
      </c>
      <c r="N127">
        <v>0</v>
      </c>
      <c r="O127" t="s">
        <v>122</v>
      </c>
      <c r="P127" s="1" t="s">
        <v>123</v>
      </c>
      <c r="AF127" s="1" t="s">
        <v>124</v>
      </c>
      <c r="AG127" t="s">
        <v>1090</v>
      </c>
      <c r="AH127">
        <v>1990</v>
      </c>
      <c r="AI127" t="s">
        <v>126</v>
      </c>
      <c r="AJ127" t="s">
        <v>1696</v>
      </c>
      <c r="AK127" t="s">
        <v>150</v>
      </c>
      <c r="AL127" t="s">
        <v>162</v>
      </c>
      <c r="AM127" t="s">
        <v>169</v>
      </c>
      <c r="AN127" t="s">
        <v>169</v>
      </c>
      <c r="AO127" t="s">
        <v>169</v>
      </c>
      <c r="AP127" t="s">
        <v>237</v>
      </c>
      <c r="AQ127" t="s">
        <v>194</v>
      </c>
      <c r="AR127" t="s">
        <v>194</v>
      </c>
      <c r="AS127" t="s">
        <v>1697</v>
      </c>
      <c r="AT127" t="s">
        <v>1698</v>
      </c>
      <c r="AU127" t="s">
        <v>1699</v>
      </c>
      <c r="AV127" t="s">
        <v>172</v>
      </c>
      <c r="AW127" t="s">
        <v>1700</v>
      </c>
      <c r="AX127" s="1" t="s">
        <v>123</v>
      </c>
      <c r="CR127" s="1"/>
      <c r="DB127" s="1"/>
      <c r="DL127" s="1"/>
      <c r="EO127" s="1"/>
      <c r="FO127" s="1"/>
    </row>
    <row r="128" spans="1:214" x14ac:dyDescent="0.45">
      <c r="A128">
        <v>203</v>
      </c>
      <c r="B128" t="str">
        <f>_xlfn.IFNA(VLOOKUP(Analiza[[#This Row],[Zakończono wypełnianie]],Zakończone[],2,0),"BRAK")</f>
        <v>BRAK</v>
      </c>
      <c r="C128">
        <f t="shared" si="3"/>
        <v>21</v>
      </c>
      <c r="D128" t="s">
        <v>1701</v>
      </c>
      <c r="E128" t="s">
        <v>118</v>
      </c>
      <c r="J128" t="s">
        <v>286</v>
      </c>
      <c r="K128" t="s">
        <v>1702</v>
      </c>
      <c r="L128" t="s">
        <v>1702</v>
      </c>
      <c r="M128">
        <v>0</v>
      </c>
      <c r="N128">
        <v>0</v>
      </c>
      <c r="O128" t="s">
        <v>122</v>
      </c>
      <c r="P128" s="1" t="s">
        <v>123</v>
      </c>
      <c r="AF128" s="1" t="s">
        <v>124</v>
      </c>
      <c r="AG128" t="s">
        <v>1703</v>
      </c>
      <c r="AH128">
        <v>2011</v>
      </c>
      <c r="AI128" t="s">
        <v>148</v>
      </c>
      <c r="AJ128" t="s">
        <v>554</v>
      </c>
      <c r="AK128" t="s">
        <v>169</v>
      </c>
      <c r="AL128" t="s">
        <v>150</v>
      </c>
      <c r="AM128" t="s">
        <v>169</v>
      </c>
      <c r="AN128" t="s">
        <v>169</v>
      </c>
      <c r="AO128" t="s">
        <v>169</v>
      </c>
      <c r="AP128">
        <v>2</v>
      </c>
      <c r="AQ128" t="s">
        <v>131</v>
      </c>
      <c r="AR128" t="s">
        <v>153</v>
      </c>
      <c r="AS128" t="s">
        <v>1704</v>
      </c>
      <c r="AT128" t="s">
        <v>1705</v>
      </c>
      <c r="AU128" t="s">
        <v>1706</v>
      </c>
      <c r="AV128" t="s">
        <v>157</v>
      </c>
      <c r="AX128" s="1" t="s">
        <v>123</v>
      </c>
      <c r="CR128" s="1" t="s">
        <v>123</v>
      </c>
      <c r="DB128" s="1"/>
      <c r="DL128" s="1"/>
      <c r="EO128" s="1"/>
      <c r="FO128" s="1"/>
    </row>
    <row r="129" spans="1:214" x14ac:dyDescent="0.45">
      <c r="A129">
        <v>205</v>
      </c>
      <c r="B129">
        <f>_xlfn.IFNA(VLOOKUP(Analiza[[#This Row],[Zakończono wypełnianie]],Zakończone[],2,0),"BRAK")</f>
        <v>114</v>
      </c>
      <c r="C129">
        <f t="shared" si="3"/>
        <v>33</v>
      </c>
      <c r="D129" t="s">
        <v>1709</v>
      </c>
      <c r="E129" t="s">
        <v>118</v>
      </c>
      <c r="J129" t="s">
        <v>119</v>
      </c>
      <c r="K129" t="s">
        <v>1710</v>
      </c>
      <c r="L129" t="s">
        <v>1711</v>
      </c>
      <c r="M129">
        <v>588</v>
      </c>
      <c r="N129">
        <v>0</v>
      </c>
      <c r="O129" t="s">
        <v>122</v>
      </c>
      <c r="P129" s="1" t="s">
        <v>123</v>
      </c>
      <c r="AF129" s="1" t="s">
        <v>124</v>
      </c>
      <c r="AG129" t="s">
        <v>1712</v>
      </c>
      <c r="AH129">
        <v>2012</v>
      </c>
      <c r="AI129" t="s">
        <v>148</v>
      </c>
      <c r="AJ129" t="s">
        <v>1713</v>
      </c>
      <c r="AK129" t="s">
        <v>162</v>
      </c>
      <c r="AL129" t="s">
        <v>162</v>
      </c>
      <c r="AM129" t="s">
        <v>169</v>
      </c>
      <c r="AN129" t="s">
        <v>129</v>
      </c>
      <c r="AO129" t="s">
        <v>129</v>
      </c>
      <c r="AP129" t="s">
        <v>1714</v>
      </c>
      <c r="AQ129" t="s">
        <v>131</v>
      </c>
      <c r="AR129" t="s">
        <v>131</v>
      </c>
      <c r="AS129" t="s">
        <v>1715</v>
      </c>
      <c r="AT129" t="s">
        <v>1716</v>
      </c>
      <c r="AU129" t="s">
        <v>1717</v>
      </c>
      <c r="AV129" t="s">
        <v>157</v>
      </c>
      <c r="AX129" s="1" t="s">
        <v>123</v>
      </c>
      <c r="CR129" s="1" t="s">
        <v>123</v>
      </c>
      <c r="DB129" s="1" t="s">
        <v>123</v>
      </c>
      <c r="DL129" s="1" t="s">
        <v>123</v>
      </c>
      <c r="EO129" s="1" t="s">
        <v>123</v>
      </c>
      <c r="FO129" s="1" t="s">
        <v>123</v>
      </c>
      <c r="GW129" t="s">
        <v>1718</v>
      </c>
      <c r="GX129" t="s">
        <v>1719</v>
      </c>
      <c r="GY129" t="s">
        <v>1720</v>
      </c>
      <c r="GZ129" t="s">
        <v>140</v>
      </c>
      <c r="HA129">
        <v>1985</v>
      </c>
      <c r="HB129" t="s">
        <v>246</v>
      </c>
      <c r="HD129" t="s">
        <v>1721</v>
      </c>
      <c r="HE129" t="s">
        <v>532</v>
      </c>
    </row>
    <row r="130" spans="1:214" x14ac:dyDescent="0.45">
      <c r="A130">
        <v>206</v>
      </c>
      <c r="B130" t="str">
        <f>_xlfn.IFNA(VLOOKUP(Analiza[[#This Row],[Zakończono wypełnianie]],Zakończone[],2,0),"BRAK")</f>
        <v>BRAK</v>
      </c>
      <c r="C130">
        <f t="shared" si="3"/>
        <v>30</v>
      </c>
      <c r="D130" t="s">
        <v>1722</v>
      </c>
      <c r="E130" t="s">
        <v>118</v>
      </c>
      <c r="F130" t="s">
        <v>1647</v>
      </c>
      <c r="J130" t="s">
        <v>286</v>
      </c>
      <c r="K130" t="s">
        <v>1723</v>
      </c>
      <c r="L130" t="s">
        <v>1723</v>
      </c>
      <c r="M130">
        <v>0</v>
      </c>
      <c r="N130">
        <v>0</v>
      </c>
      <c r="O130" t="s">
        <v>122</v>
      </c>
      <c r="P130" s="1" t="s">
        <v>123</v>
      </c>
      <c r="AF130" s="1" t="s">
        <v>124</v>
      </c>
      <c r="AG130" t="s">
        <v>1724</v>
      </c>
      <c r="AH130">
        <v>2005</v>
      </c>
      <c r="AI130" t="s">
        <v>148</v>
      </c>
      <c r="AJ130" t="s">
        <v>1725</v>
      </c>
      <c r="AK130" t="s">
        <v>150</v>
      </c>
      <c r="AL130" t="s">
        <v>162</v>
      </c>
      <c r="AM130" t="s">
        <v>162</v>
      </c>
      <c r="AN130" t="s">
        <v>162</v>
      </c>
      <c r="AO130" t="s">
        <v>162</v>
      </c>
      <c r="AP130">
        <v>2</v>
      </c>
      <c r="AQ130" t="s">
        <v>131</v>
      </c>
      <c r="AR130" t="s">
        <v>302</v>
      </c>
      <c r="AS130" t="s">
        <v>1726</v>
      </c>
      <c r="AT130" t="s">
        <v>1727</v>
      </c>
      <c r="AU130" t="s">
        <v>1728</v>
      </c>
      <c r="AV130" t="s">
        <v>157</v>
      </c>
      <c r="AX130" s="1" t="s">
        <v>123</v>
      </c>
      <c r="CR130" s="1" t="s">
        <v>123</v>
      </c>
      <c r="DB130" s="1" t="s">
        <v>123</v>
      </c>
      <c r="DL130" s="1" t="s">
        <v>123</v>
      </c>
      <c r="EO130" s="1" t="s">
        <v>123</v>
      </c>
      <c r="FO130" s="1" t="s">
        <v>123</v>
      </c>
      <c r="GZ130" t="s">
        <v>140</v>
      </c>
      <c r="HA130">
        <v>1981</v>
      </c>
      <c r="HB130" t="s">
        <v>483</v>
      </c>
      <c r="HD130" t="s">
        <v>142</v>
      </c>
      <c r="HE130" t="s">
        <v>180</v>
      </c>
    </row>
    <row r="131" spans="1:214" x14ac:dyDescent="0.45">
      <c r="A131">
        <v>211</v>
      </c>
      <c r="B131">
        <f>_xlfn.IFNA(VLOOKUP(Analiza[[#This Row],[Zakończono wypełnianie]],Zakończone[],2,0),"BRAK")</f>
        <v>115</v>
      </c>
      <c r="C131">
        <f t="shared" ref="C131:C159" si="4">COUNTA(O131:HF131)</f>
        <v>35</v>
      </c>
      <c r="D131" t="s">
        <v>1572</v>
      </c>
      <c r="E131" t="s">
        <v>118</v>
      </c>
      <c r="J131" t="s">
        <v>119</v>
      </c>
      <c r="K131" t="s">
        <v>1738</v>
      </c>
      <c r="L131" t="s">
        <v>1739</v>
      </c>
      <c r="M131">
        <v>1112</v>
      </c>
      <c r="N131">
        <v>0</v>
      </c>
      <c r="O131" t="s">
        <v>122</v>
      </c>
      <c r="P131" s="1" t="s">
        <v>123</v>
      </c>
      <c r="AF131" s="1" t="s">
        <v>124</v>
      </c>
      <c r="AG131" t="s">
        <v>125</v>
      </c>
      <c r="AH131">
        <v>2001</v>
      </c>
      <c r="AI131" t="s">
        <v>126</v>
      </c>
      <c r="AJ131" t="s">
        <v>1339</v>
      </c>
      <c r="AK131" t="s">
        <v>150</v>
      </c>
      <c r="AL131" t="s">
        <v>150</v>
      </c>
      <c r="AM131" t="s">
        <v>150</v>
      </c>
      <c r="AN131" t="s">
        <v>162</v>
      </c>
      <c r="AO131" t="s">
        <v>162</v>
      </c>
      <c r="AP131" t="s">
        <v>1740</v>
      </c>
      <c r="AQ131" t="s">
        <v>131</v>
      </c>
      <c r="AR131" t="s">
        <v>302</v>
      </c>
      <c r="AS131" t="s">
        <v>1741</v>
      </c>
      <c r="AT131" t="s">
        <v>1742</v>
      </c>
      <c r="AU131" t="s">
        <v>1743</v>
      </c>
      <c r="AV131" t="s">
        <v>157</v>
      </c>
      <c r="AW131" t="s">
        <v>1744</v>
      </c>
      <c r="AX131" s="1" t="s">
        <v>123</v>
      </c>
      <c r="CR131" s="1" t="s">
        <v>123</v>
      </c>
      <c r="DB131" s="1" t="s">
        <v>123</v>
      </c>
      <c r="DL131" s="1" t="s">
        <v>123</v>
      </c>
      <c r="EO131" s="1" t="s">
        <v>123</v>
      </c>
      <c r="FO131" s="1" t="s">
        <v>123</v>
      </c>
      <c r="GW131" t="s">
        <v>1745</v>
      </c>
      <c r="GX131" t="s">
        <v>1746</v>
      </c>
      <c r="GY131" t="s">
        <v>1747</v>
      </c>
      <c r="GZ131" t="s">
        <v>186</v>
      </c>
      <c r="HA131">
        <v>1976</v>
      </c>
      <c r="HB131" t="s">
        <v>141</v>
      </c>
      <c r="HD131" t="s">
        <v>1748</v>
      </c>
      <c r="HE131" t="s">
        <v>1749</v>
      </c>
      <c r="HF131" t="s">
        <v>1750</v>
      </c>
    </row>
    <row r="132" spans="1:214" x14ac:dyDescent="0.45">
      <c r="A132">
        <v>212</v>
      </c>
      <c r="B132">
        <f>_xlfn.IFNA(VLOOKUP(Analiza[[#This Row],[Zakończono wypełnianie]],Zakończone[],2,0),"BRAK")</f>
        <v>116</v>
      </c>
      <c r="C132">
        <f t="shared" si="4"/>
        <v>30</v>
      </c>
      <c r="D132" t="s">
        <v>1751</v>
      </c>
      <c r="E132" t="s">
        <v>118</v>
      </c>
      <c r="J132" t="s">
        <v>119</v>
      </c>
      <c r="K132" t="s">
        <v>1752</v>
      </c>
      <c r="L132" t="s">
        <v>1753</v>
      </c>
      <c r="M132">
        <v>625</v>
      </c>
      <c r="N132">
        <v>0</v>
      </c>
      <c r="O132" t="s">
        <v>122</v>
      </c>
      <c r="P132" s="1" t="s">
        <v>123</v>
      </c>
      <c r="AF132" s="1" t="s">
        <v>124</v>
      </c>
      <c r="AG132" t="s">
        <v>191</v>
      </c>
      <c r="AH132">
        <v>2009</v>
      </c>
      <c r="AI132" t="s">
        <v>126</v>
      </c>
      <c r="AJ132" t="s">
        <v>192</v>
      </c>
      <c r="AK132" t="s">
        <v>162</v>
      </c>
      <c r="AL132" t="s">
        <v>150</v>
      </c>
      <c r="AM132" t="s">
        <v>169</v>
      </c>
      <c r="AN132" t="s">
        <v>169</v>
      </c>
      <c r="AO132" t="s">
        <v>169</v>
      </c>
      <c r="AP132" t="s">
        <v>530</v>
      </c>
      <c r="AQ132" t="s">
        <v>226</v>
      </c>
      <c r="AR132" t="s">
        <v>759</v>
      </c>
      <c r="AT132" t="s">
        <v>1754</v>
      </c>
      <c r="AU132" t="s">
        <v>1755</v>
      </c>
      <c r="AW132" t="s">
        <v>1756</v>
      </c>
      <c r="AX132" s="1" t="s">
        <v>123</v>
      </c>
      <c r="CR132" s="1" t="s">
        <v>123</v>
      </c>
      <c r="DB132" s="1" t="s">
        <v>123</v>
      </c>
      <c r="DL132" s="1" t="s">
        <v>123</v>
      </c>
      <c r="EO132" s="1" t="s">
        <v>123</v>
      </c>
      <c r="FO132" s="1" t="s">
        <v>123</v>
      </c>
      <c r="GW132" t="s">
        <v>1757</v>
      </c>
      <c r="GX132" t="s">
        <v>1758</v>
      </c>
      <c r="GY132" t="s">
        <v>1759</v>
      </c>
      <c r="GZ132" t="s">
        <v>186</v>
      </c>
      <c r="HA132">
        <v>1984</v>
      </c>
      <c r="HB132" t="s">
        <v>141</v>
      </c>
    </row>
    <row r="133" spans="1:214" x14ac:dyDescent="0.45">
      <c r="A133">
        <v>214</v>
      </c>
      <c r="B133">
        <f>_xlfn.IFNA(VLOOKUP(Analiza[[#This Row],[Zakończono wypełnianie]],Zakończone[],2,0),"BRAK")</f>
        <v>117</v>
      </c>
      <c r="C133">
        <f t="shared" si="4"/>
        <v>33</v>
      </c>
      <c r="D133" t="s">
        <v>1762</v>
      </c>
      <c r="E133" t="s">
        <v>118</v>
      </c>
      <c r="J133" t="s">
        <v>119</v>
      </c>
      <c r="K133" t="s">
        <v>1763</v>
      </c>
      <c r="L133" t="s">
        <v>1764</v>
      </c>
      <c r="M133">
        <v>336</v>
      </c>
      <c r="N133">
        <v>0</v>
      </c>
      <c r="O133" t="s">
        <v>122</v>
      </c>
      <c r="P133" s="1" t="s">
        <v>123</v>
      </c>
      <c r="AF133" s="1" t="s">
        <v>124</v>
      </c>
      <c r="AG133" t="s">
        <v>191</v>
      </c>
      <c r="AH133">
        <v>2002</v>
      </c>
      <c r="AI133" t="s">
        <v>126</v>
      </c>
      <c r="AJ133" t="s">
        <v>1176</v>
      </c>
      <c r="AK133" t="s">
        <v>129</v>
      </c>
      <c r="AL133" t="s">
        <v>129</v>
      </c>
      <c r="AM133" t="s">
        <v>129</v>
      </c>
      <c r="AN133" t="s">
        <v>129</v>
      </c>
      <c r="AO133" t="s">
        <v>129</v>
      </c>
      <c r="AP133" t="s">
        <v>1765</v>
      </c>
      <c r="AQ133" t="s">
        <v>302</v>
      </c>
      <c r="AR133" t="s">
        <v>226</v>
      </c>
      <c r="AT133" t="s">
        <v>1766</v>
      </c>
      <c r="AU133" t="s">
        <v>386</v>
      </c>
      <c r="AV133" t="s">
        <v>157</v>
      </c>
      <c r="AW133" t="s">
        <v>1767</v>
      </c>
      <c r="AX133" s="1" t="s">
        <v>123</v>
      </c>
      <c r="CR133" s="1" t="s">
        <v>123</v>
      </c>
      <c r="DB133" s="1" t="s">
        <v>123</v>
      </c>
      <c r="DL133" s="1" t="s">
        <v>123</v>
      </c>
      <c r="EO133" s="1" t="s">
        <v>123</v>
      </c>
      <c r="FO133" s="1" t="s">
        <v>123</v>
      </c>
      <c r="GW133" t="s">
        <v>1768</v>
      </c>
      <c r="GX133" t="s">
        <v>1769</v>
      </c>
      <c r="GY133" t="s">
        <v>1769</v>
      </c>
      <c r="GZ133" t="s">
        <v>186</v>
      </c>
      <c r="HA133">
        <v>1977</v>
      </c>
      <c r="HB133" t="s">
        <v>141</v>
      </c>
      <c r="HD133" t="s">
        <v>386</v>
      </c>
      <c r="HE133" t="s">
        <v>386</v>
      </c>
    </row>
    <row r="134" spans="1:214" x14ac:dyDescent="0.45">
      <c r="A134">
        <v>215</v>
      </c>
      <c r="B134">
        <f>_xlfn.IFNA(VLOOKUP(Analiza[[#This Row],[Zakończono wypełnianie]],Zakończone[],2,0),"BRAK")</f>
        <v>118</v>
      </c>
      <c r="C134">
        <f t="shared" si="4"/>
        <v>32</v>
      </c>
      <c r="D134" t="s">
        <v>1131</v>
      </c>
      <c r="E134" t="s">
        <v>118</v>
      </c>
      <c r="J134" t="s">
        <v>119</v>
      </c>
      <c r="K134" t="s">
        <v>1770</v>
      </c>
      <c r="L134" t="s">
        <v>1771</v>
      </c>
      <c r="M134">
        <v>1129</v>
      </c>
      <c r="N134">
        <v>0</v>
      </c>
      <c r="O134" t="s">
        <v>122</v>
      </c>
      <c r="P134" s="1" t="s">
        <v>123</v>
      </c>
      <c r="AF134" s="1" t="s">
        <v>124</v>
      </c>
      <c r="AG134" t="s">
        <v>191</v>
      </c>
      <c r="AH134">
        <v>2014</v>
      </c>
      <c r="AI134" t="s">
        <v>126</v>
      </c>
      <c r="AJ134" t="s">
        <v>1186</v>
      </c>
      <c r="AK134" t="s">
        <v>162</v>
      </c>
      <c r="AL134" t="s">
        <v>150</v>
      </c>
      <c r="AM134" t="s">
        <v>162</v>
      </c>
      <c r="AN134" t="s">
        <v>162</v>
      </c>
      <c r="AO134" t="s">
        <v>150</v>
      </c>
      <c r="AP134">
        <v>1</v>
      </c>
      <c r="AQ134" t="s">
        <v>131</v>
      </c>
      <c r="AR134" t="s">
        <v>153</v>
      </c>
      <c r="AT134" t="s">
        <v>766</v>
      </c>
      <c r="AU134" t="s">
        <v>1772</v>
      </c>
      <c r="AV134" t="s">
        <v>172</v>
      </c>
      <c r="AX134" s="1" t="s">
        <v>123</v>
      </c>
      <c r="CR134" s="1" t="s">
        <v>123</v>
      </c>
      <c r="DB134" s="1" t="s">
        <v>123</v>
      </c>
      <c r="DL134" s="1" t="s">
        <v>123</v>
      </c>
      <c r="EO134" s="1" t="s">
        <v>123</v>
      </c>
      <c r="FO134" s="1" t="s">
        <v>123</v>
      </c>
      <c r="GW134" t="s">
        <v>1773</v>
      </c>
      <c r="GX134" t="s">
        <v>1774</v>
      </c>
      <c r="GY134" t="s">
        <v>1775</v>
      </c>
      <c r="GZ134" t="s">
        <v>140</v>
      </c>
      <c r="HA134">
        <v>1990</v>
      </c>
      <c r="HB134" t="s">
        <v>141</v>
      </c>
      <c r="HD134" t="s">
        <v>1776</v>
      </c>
      <c r="HE134" t="s">
        <v>1777</v>
      </c>
    </row>
    <row r="135" spans="1:214" x14ac:dyDescent="0.45">
      <c r="A135">
        <v>217</v>
      </c>
      <c r="B135">
        <f>_xlfn.IFNA(VLOOKUP(Analiza[[#This Row],[Zakończono wypełnianie]],Zakończone[],2,0),"BRAK")</f>
        <v>119</v>
      </c>
      <c r="C135">
        <f t="shared" si="4"/>
        <v>32</v>
      </c>
      <c r="D135" t="s">
        <v>1780</v>
      </c>
      <c r="E135" t="s">
        <v>118</v>
      </c>
      <c r="F135" t="s">
        <v>1781</v>
      </c>
      <c r="J135" t="s">
        <v>119</v>
      </c>
      <c r="K135" t="s">
        <v>1782</v>
      </c>
      <c r="L135" t="s">
        <v>1783</v>
      </c>
      <c r="M135">
        <v>968</v>
      </c>
      <c r="N135">
        <v>0</v>
      </c>
      <c r="O135" t="s">
        <v>122</v>
      </c>
      <c r="P135" s="1" t="s">
        <v>123</v>
      </c>
      <c r="AF135" s="1" t="s">
        <v>124</v>
      </c>
      <c r="AG135" t="s">
        <v>223</v>
      </c>
      <c r="AH135">
        <v>2011</v>
      </c>
      <c r="AI135" t="s">
        <v>148</v>
      </c>
      <c r="AJ135" t="s">
        <v>1784</v>
      </c>
      <c r="AK135" t="s">
        <v>150</v>
      </c>
      <c r="AL135" t="s">
        <v>162</v>
      </c>
      <c r="AM135" t="s">
        <v>169</v>
      </c>
      <c r="AN135" t="s">
        <v>150</v>
      </c>
      <c r="AO135" t="s">
        <v>150</v>
      </c>
      <c r="AP135">
        <v>2</v>
      </c>
      <c r="AQ135" t="s">
        <v>302</v>
      </c>
      <c r="AR135" t="s">
        <v>153</v>
      </c>
      <c r="AS135" t="s">
        <v>1785</v>
      </c>
      <c r="AT135" t="s">
        <v>1786</v>
      </c>
      <c r="AU135" t="s">
        <v>1787</v>
      </c>
      <c r="AV135" t="s">
        <v>157</v>
      </c>
      <c r="AX135" s="1" t="s">
        <v>123</v>
      </c>
      <c r="CR135" s="1" t="s">
        <v>123</v>
      </c>
      <c r="DB135" s="1" t="s">
        <v>123</v>
      </c>
      <c r="DL135" s="1" t="s">
        <v>123</v>
      </c>
      <c r="EO135" s="1" t="s">
        <v>123</v>
      </c>
      <c r="FO135" s="1" t="s">
        <v>123</v>
      </c>
      <c r="GW135" t="s">
        <v>1788</v>
      </c>
      <c r="GX135" t="s">
        <v>1789</v>
      </c>
      <c r="GY135" t="s">
        <v>1790</v>
      </c>
      <c r="GZ135" t="s">
        <v>140</v>
      </c>
      <c r="HA135">
        <v>1986</v>
      </c>
      <c r="HB135" t="s">
        <v>398</v>
      </c>
      <c r="HD135" t="s">
        <v>1791</v>
      </c>
    </row>
    <row r="136" spans="1:214" x14ac:dyDescent="0.45">
      <c r="A136">
        <v>218</v>
      </c>
      <c r="B136">
        <f>_xlfn.IFNA(VLOOKUP(Analiza[[#This Row],[Zakończono wypełnianie]],Zakończone[],2,0),"BRAK")</f>
        <v>120</v>
      </c>
      <c r="C136">
        <f t="shared" si="4"/>
        <v>31</v>
      </c>
      <c r="D136" t="s">
        <v>1792</v>
      </c>
      <c r="E136" t="s">
        <v>118</v>
      </c>
      <c r="F136" t="s">
        <v>359</v>
      </c>
      <c r="J136" t="s">
        <v>119</v>
      </c>
      <c r="K136" t="s">
        <v>1793</v>
      </c>
      <c r="L136" t="s">
        <v>1794</v>
      </c>
      <c r="M136">
        <v>465</v>
      </c>
      <c r="N136">
        <v>0</v>
      </c>
      <c r="O136" t="s">
        <v>122</v>
      </c>
      <c r="P136" s="1" t="s">
        <v>123</v>
      </c>
      <c r="AF136" s="1" t="s">
        <v>124</v>
      </c>
      <c r="AG136" t="s">
        <v>191</v>
      </c>
      <c r="AH136">
        <v>2016</v>
      </c>
      <c r="AI136" t="s">
        <v>126</v>
      </c>
      <c r="AJ136" t="s">
        <v>1795</v>
      </c>
      <c r="AK136" t="s">
        <v>236</v>
      </c>
      <c r="AL136" t="s">
        <v>236</v>
      </c>
      <c r="AM136" t="s">
        <v>129</v>
      </c>
      <c r="AN136" t="s">
        <v>129</v>
      </c>
      <c r="AO136" t="s">
        <v>129</v>
      </c>
      <c r="AP136">
        <v>34</v>
      </c>
      <c r="AQ136" t="s">
        <v>152</v>
      </c>
      <c r="AR136" t="s">
        <v>152</v>
      </c>
      <c r="AS136" t="s">
        <v>1796</v>
      </c>
      <c r="AT136" t="s">
        <v>1797</v>
      </c>
      <c r="AU136" t="s">
        <v>1798</v>
      </c>
      <c r="AV136" t="s">
        <v>157</v>
      </c>
      <c r="AX136" s="1" t="s">
        <v>123</v>
      </c>
      <c r="CR136" s="1" t="s">
        <v>123</v>
      </c>
      <c r="DB136" s="1" t="s">
        <v>123</v>
      </c>
      <c r="DL136" s="1" t="s">
        <v>123</v>
      </c>
      <c r="EO136" s="1" t="s">
        <v>123</v>
      </c>
      <c r="FO136" s="1" t="s">
        <v>123</v>
      </c>
      <c r="GW136" t="s">
        <v>1799</v>
      </c>
      <c r="GX136" t="s">
        <v>1800</v>
      </c>
      <c r="GY136" t="s">
        <v>1801</v>
      </c>
      <c r="GZ136" t="s">
        <v>140</v>
      </c>
      <c r="HA136">
        <v>2006</v>
      </c>
      <c r="HB136" t="s">
        <v>483</v>
      </c>
    </row>
    <row r="137" spans="1:214" x14ac:dyDescent="0.45">
      <c r="A137">
        <v>219</v>
      </c>
      <c r="B137" t="str">
        <f>_xlfn.IFNA(VLOOKUP(Analiza[[#This Row],[Zakończono wypełnianie]],Zakończone[],2,0),"BRAK")</f>
        <v>BRAK</v>
      </c>
      <c r="C137">
        <f t="shared" si="4"/>
        <v>20</v>
      </c>
      <c r="D137" t="s">
        <v>1802</v>
      </c>
      <c r="E137" t="s">
        <v>118</v>
      </c>
      <c r="F137" t="s">
        <v>359</v>
      </c>
      <c r="J137" t="s">
        <v>286</v>
      </c>
      <c r="K137" t="s">
        <v>1803</v>
      </c>
      <c r="L137" t="s">
        <v>1803</v>
      </c>
      <c r="M137">
        <v>0</v>
      </c>
      <c r="N137">
        <v>0</v>
      </c>
      <c r="O137" t="s">
        <v>122</v>
      </c>
      <c r="P137" s="1" t="s">
        <v>123</v>
      </c>
      <c r="AF137" s="1" t="s">
        <v>124</v>
      </c>
      <c r="AG137" t="s">
        <v>191</v>
      </c>
      <c r="AH137">
        <v>2016</v>
      </c>
      <c r="AI137" t="s">
        <v>126</v>
      </c>
      <c r="AJ137" t="s">
        <v>1795</v>
      </c>
      <c r="AK137" t="s">
        <v>236</v>
      </c>
      <c r="AL137" t="s">
        <v>236</v>
      </c>
      <c r="AM137" t="s">
        <v>151</v>
      </c>
      <c r="AN137" t="s">
        <v>129</v>
      </c>
      <c r="AO137" t="s">
        <v>132</v>
      </c>
      <c r="AP137" t="s">
        <v>1804</v>
      </c>
      <c r="AQ137" t="s">
        <v>131</v>
      </c>
      <c r="AR137" t="s">
        <v>132</v>
      </c>
      <c r="AS137" t="s">
        <v>1805</v>
      </c>
      <c r="AT137" t="s">
        <v>1806</v>
      </c>
      <c r="AU137" t="s">
        <v>1807</v>
      </c>
      <c r="AV137" t="s">
        <v>157</v>
      </c>
      <c r="AX137" s="1" t="s">
        <v>123</v>
      </c>
      <c r="CR137" s="1"/>
      <c r="DB137" s="1"/>
      <c r="DL137" s="1"/>
      <c r="EO137" s="1"/>
      <c r="FO137" s="1"/>
    </row>
    <row r="138" spans="1:214" x14ac:dyDescent="0.45">
      <c r="A138">
        <v>220</v>
      </c>
      <c r="B138">
        <f>_xlfn.IFNA(VLOOKUP(Analiza[[#This Row],[Zakończono wypełnianie]],Zakończone[],2,0),"BRAK")</f>
        <v>121</v>
      </c>
      <c r="C138">
        <f t="shared" si="4"/>
        <v>34</v>
      </c>
      <c r="D138" t="s">
        <v>1336</v>
      </c>
      <c r="E138" t="s">
        <v>118</v>
      </c>
      <c r="J138" t="s">
        <v>119</v>
      </c>
      <c r="K138" t="s">
        <v>1808</v>
      </c>
      <c r="L138" t="s">
        <v>1809</v>
      </c>
      <c r="M138">
        <v>2379</v>
      </c>
      <c r="N138">
        <v>0</v>
      </c>
      <c r="O138" t="s">
        <v>122</v>
      </c>
      <c r="P138" s="1" t="s">
        <v>123</v>
      </c>
      <c r="AF138" s="1" t="s">
        <v>124</v>
      </c>
      <c r="AG138" t="s">
        <v>223</v>
      </c>
      <c r="AH138">
        <v>2012</v>
      </c>
      <c r="AI138" t="s">
        <v>148</v>
      </c>
      <c r="AJ138" t="s">
        <v>1810</v>
      </c>
      <c r="AK138" t="s">
        <v>150</v>
      </c>
      <c r="AL138" t="s">
        <v>162</v>
      </c>
      <c r="AM138" t="s">
        <v>150</v>
      </c>
      <c r="AN138" t="s">
        <v>162</v>
      </c>
      <c r="AO138" t="s">
        <v>150</v>
      </c>
      <c r="AP138" t="s">
        <v>237</v>
      </c>
      <c r="AQ138" t="s">
        <v>132</v>
      </c>
      <c r="AR138" t="s">
        <v>132</v>
      </c>
      <c r="AS138" t="s">
        <v>1811</v>
      </c>
      <c r="AT138" t="s">
        <v>1812</v>
      </c>
      <c r="AU138" t="s">
        <v>1813</v>
      </c>
      <c r="AV138" t="s">
        <v>230</v>
      </c>
      <c r="AW138" t="s">
        <v>1814</v>
      </c>
      <c r="AX138" s="1" t="s">
        <v>123</v>
      </c>
      <c r="CR138" s="1" t="s">
        <v>123</v>
      </c>
      <c r="DB138" s="1" t="s">
        <v>123</v>
      </c>
      <c r="DL138" s="1" t="s">
        <v>123</v>
      </c>
      <c r="EO138" s="1" t="s">
        <v>123</v>
      </c>
      <c r="FO138" s="1" t="s">
        <v>123</v>
      </c>
      <c r="GW138" t="s">
        <v>1815</v>
      </c>
      <c r="GX138" t="s">
        <v>1816</v>
      </c>
      <c r="GY138" t="s">
        <v>1817</v>
      </c>
      <c r="GZ138" t="s">
        <v>140</v>
      </c>
      <c r="HA138">
        <v>1986</v>
      </c>
      <c r="HB138" t="s">
        <v>246</v>
      </c>
      <c r="HD138" t="s">
        <v>1818</v>
      </c>
      <c r="HE138" t="s">
        <v>1819</v>
      </c>
    </row>
    <row r="139" spans="1:214" x14ac:dyDescent="0.45">
      <c r="A139">
        <v>221</v>
      </c>
      <c r="B139" t="str">
        <f>_xlfn.IFNA(VLOOKUP(Analiza[[#This Row],[Zakończono wypełnianie]],Zakończone[],2,0),"BRAK")</f>
        <v>BRAK</v>
      </c>
      <c r="C139">
        <f t="shared" si="4"/>
        <v>23</v>
      </c>
      <c r="D139" t="s">
        <v>1352</v>
      </c>
      <c r="E139" t="s">
        <v>118</v>
      </c>
      <c r="J139" t="s">
        <v>286</v>
      </c>
      <c r="K139" t="s">
        <v>1820</v>
      </c>
      <c r="L139" t="s">
        <v>1820</v>
      </c>
      <c r="M139">
        <v>0</v>
      </c>
      <c r="N139">
        <v>0</v>
      </c>
      <c r="O139" t="s">
        <v>122</v>
      </c>
      <c r="P139" s="1" t="s">
        <v>416</v>
      </c>
      <c r="Q139" t="s">
        <v>223</v>
      </c>
      <c r="R139" t="s">
        <v>148</v>
      </c>
      <c r="S139" t="s">
        <v>1495</v>
      </c>
      <c r="T139" t="s">
        <v>128</v>
      </c>
      <c r="U139" t="s">
        <v>236</v>
      </c>
      <c r="V139" t="s">
        <v>129</v>
      </c>
      <c r="W139" t="s">
        <v>1821</v>
      </c>
      <c r="X139" t="s">
        <v>943</v>
      </c>
      <c r="Y139" t="s">
        <v>194</v>
      </c>
      <c r="Z139" t="s">
        <v>1822</v>
      </c>
      <c r="AA139" t="s">
        <v>1823</v>
      </c>
      <c r="AB139" t="s">
        <v>1824</v>
      </c>
      <c r="AC139" t="s">
        <v>892</v>
      </c>
      <c r="AE139">
        <v>5</v>
      </c>
      <c r="AF139" s="1" t="s">
        <v>123</v>
      </c>
      <c r="AX139" s="1" t="s">
        <v>123</v>
      </c>
      <c r="CR139" s="1" t="s">
        <v>123</v>
      </c>
      <c r="DB139" s="1" t="s">
        <v>123</v>
      </c>
      <c r="DL139" s="1" t="s">
        <v>123</v>
      </c>
      <c r="EO139" s="1" t="s">
        <v>123</v>
      </c>
      <c r="FO139" s="1" t="s">
        <v>123</v>
      </c>
    </row>
    <row r="140" spans="1:214" x14ac:dyDescent="0.45">
      <c r="A140">
        <v>223</v>
      </c>
      <c r="B140">
        <f>_xlfn.IFNA(VLOOKUP(Analiza[[#This Row],[Zakończono wypełnianie]],Zakończone[],2,0),"BRAK")</f>
        <v>122</v>
      </c>
      <c r="C140">
        <f t="shared" si="4"/>
        <v>41</v>
      </c>
      <c r="D140" t="s">
        <v>1827</v>
      </c>
      <c r="E140" t="s">
        <v>118</v>
      </c>
      <c r="J140" t="s">
        <v>119</v>
      </c>
      <c r="K140" t="s">
        <v>1828</v>
      </c>
      <c r="L140" t="s">
        <v>1829</v>
      </c>
      <c r="M140">
        <v>673</v>
      </c>
      <c r="N140">
        <v>0</v>
      </c>
      <c r="O140" t="s">
        <v>122</v>
      </c>
      <c r="P140" s="1" t="s">
        <v>123</v>
      </c>
      <c r="AF140" s="1" t="s">
        <v>124</v>
      </c>
      <c r="AG140" t="s">
        <v>223</v>
      </c>
      <c r="AH140">
        <v>2005</v>
      </c>
      <c r="AI140" t="s">
        <v>148</v>
      </c>
      <c r="AJ140" t="s">
        <v>1831</v>
      </c>
      <c r="AK140" t="s">
        <v>162</v>
      </c>
      <c r="AL140" t="s">
        <v>169</v>
      </c>
      <c r="AM140" t="s">
        <v>169</v>
      </c>
      <c r="AN140" t="s">
        <v>128</v>
      </c>
      <c r="AO140" t="s">
        <v>162</v>
      </c>
      <c r="AP140" t="s">
        <v>237</v>
      </c>
      <c r="AQ140" t="s">
        <v>302</v>
      </c>
      <c r="AR140" t="s">
        <v>153</v>
      </c>
      <c r="AS140" t="s">
        <v>1832</v>
      </c>
      <c r="AT140" t="s">
        <v>1833</v>
      </c>
      <c r="AU140" t="s">
        <v>1834</v>
      </c>
      <c r="AW140" t="s">
        <v>158</v>
      </c>
      <c r="AX140" s="1" t="s">
        <v>123</v>
      </c>
      <c r="CR140" s="1" t="s">
        <v>123</v>
      </c>
      <c r="DB140" s="1" t="s">
        <v>214</v>
      </c>
      <c r="DC140" t="s">
        <v>191</v>
      </c>
      <c r="DD140" t="s">
        <v>2277</v>
      </c>
      <c r="DE140" t="s">
        <v>150</v>
      </c>
      <c r="DF140" t="s">
        <v>150</v>
      </c>
      <c r="DG140" t="s">
        <v>151</v>
      </c>
      <c r="DH140" t="s">
        <v>150</v>
      </c>
      <c r="DI140" t="s">
        <v>169</v>
      </c>
      <c r="DJ140" t="s">
        <v>169</v>
      </c>
      <c r="DK140" t="s">
        <v>1836</v>
      </c>
      <c r="DL140" s="1" t="s">
        <v>123</v>
      </c>
      <c r="EO140" s="1" t="s">
        <v>123</v>
      </c>
      <c r="FO140" s="1" t="s">
        <v>123</v>
      </c>
      <c r="GW140" t="s">
        <v>1837</v>
      </c>
      <c r="GX140" t="s">
        <v>1838</v>
      </c>
      <c r="GY140" t="s">
        <v>1839</v>
      </c>
      <c r="GZ140" t="s">
        <v>140</v>
      </c>
      <c r="HA140">
        <v>1981</v>
      </c>
      <c r="HB140" t="s">
        <v>141</v>
      </c>
      <c r="HD140" t="s">
        <v>1840</v>
      </c>
    </row>
    <row r="141" spans="1:214" x14ac:dyDescent="0.45">
      <c r="A141">
        <v>227</v>
      </c>
      <c r="B141">
        <f>_xlfn.IFNA(VLOOKUP(Analiza[[#This Row],[Zakończono wypełnianie]],Zakończone[],2,0),"BRAK")</f>
        <v>123</v>
      </c>
      <c r="C141">
        <f t="shared" si="4"/>
        <v>33</v>
      </c>
      <c r="D141" t="s">
        <v>1845</v>
      </c>
      <c r="E141" t="s">
        <v>118</v>
      </c>
      <c r="J141" t="s">
        <v>119</v>
      </c>
      <c r="K141" t="s">
        <v>1846</v>
      </c>
      <c r="L141" t="s">
        <v>1847</v>
      </c>
      <c r="M141">
        <v>790</v>
      </c>
      <c r="N141">
        <v>0</v>
      </c>
      <c r="O141" t="s">
        <v>122</v>
      </c>
      <c r="P141" s="1" t="s">
        <v>123</v>
      </c>
      <c r="AF141" s="1" t="s">
        <v>124</v>
      </c>
      <c r="AG141" t="s">
        <v>223</v>
      </c>
      <c r="AH141">
        <v>2018</v>
      </c>
      <c r="AI141" t="s">
        <v>148</v>
      </c>
      <c r="AJ141" t="s">
        <v>461</v>
      </c>
      <c r="AK141" t="s">
        <v>162</v>
      </c>
      <c r="AL141" t="s">
        <v>162</v>
      </c>
      <c r="AM141" t="s">
        <v>150</v>
      </c>
      <c r="AN141" t="s">
        <v>169</v>
      </c>
      <c r="AO141" t="s">
        <v>132</v>
      </c>
      <c r="AP141" t="s">
        <v>1848</v>
      </c>
      <c r="AQ141" t="s">
        <v>302</v>
      </c>
      <c r="AR141" t="s">
        <v>132</v>
      </c>
      <c r="AS141" t="s">
        <v>1849</v>
      </c>
      <c r="AT141" t="s">
        <v>1850</v>
      </c>
      <c r="AU141" t="s">
        <v>1851</v>
      </c>
      <c r="AV141" t="s">
        <v>157</v>
      </c>
      <c r="AX141" s="1" t="s">
        <v>123</v>
      </c>
      <c r="CR141" s="1" t="s">
        <v>123</v>
      </c>
      <c r="DB141" s="1" t="s">
        <v>123</v>
      </c>
      <c r="DL141" s="1" t="s">
        <v>123</v>
      </c>
      <c r="EO141" s="1" t="s">
        <v>123</v>
      </c>
      <c r="FO141" s="1" t="s">
        <v>123</v>
      </c>
      <c r="GW141" t="s">
        <v>1852</v>
      </c>
      <c r="GX141" t="s">
        <v>1853</v>
      </c>
      <c r="GY141" t="s">
        <v>1854</v>
      </c>
      <c r="GZ141" t="s">
        <v>140</v>
      </c>
      <c r="HA141">
        <v>1994</v>
      </c>
      <c r="HB141" t="s">
        <v>141</v>
      </c>
      <c r="HC141" t="s">
        <v>1855</v>
      </c>
      <c r="HD141" t="s">
        <v>1856</v>
      </c>
    </row>
    <row r="142" spans="1:214" x14ac:dyDescent="0.45">
      <c r="A142">
        <v>231</v>
      </c>
      <c r="B142">
        <f>_xlfn.IFNA(VLOOKUP(Analiza[[#This Row],[Zakończono wypełnianie]],Zakończone[],2,0),"BRAK")</f>
        <v>124</v>
      </c>
      <c r="C142">
        <f t="shared" si="4"/>
        <v>31</v>
      </c>
      <c r="D142" t="s">
        <v>1864</v>
      </c>
      <c r="E142" t="s">
        <v>118</v>
      </c>
      <c r="F142" t="s">
        <v>359</v>
      </c>
      <c r="J142" t="s">
        <v>119</v>
      </c>
      <c r="K142" t="s">
        <v>1865</v>
      </c>
      <c r="L142" t="s">
        <v>1866</v>
      </c>
      <c r="M142">
        <v>607</v>
      </c>
      <c r="N142">
        <v>0</v>
      </c>
      <c r="O142" t="s">
        <v>122</v>
      </c>
      <c r="P142" s="1" t="s">
        <v>123</v>
      </c>
      <c r="AF142" s="1" t="s">
        <v>124</v>
      </c>
      <c r="AG142" t="s">
        <v>191</v>
      </c>
      <c r="AH142">
        <v>2015</v>
      </c>
      <c r="AI142" t="s">
        <v>148</v>
      </c>
      <c r="AJ142" t="s">
        <v>1867</v>
      </c>
      <c r="AK142" t="s">
        <v>162</v>
      </c>
      <c r="AL142" t="s">
        <v>150</v>
      </c>
      <c r="AM142" t="s">
        <v>169</v>
      </c>
      <c r="AN142" t="s">
        <v>151</v>
      </c>
      <c r="AO142" t="s">
        <v>162</v>
      </c>
      <c r="AP142" t="s">
        <v>1868</v>
      </c>
      <c r="AQ142" t="s">
        <v>153</v>
      </c>
      <c r="AR142" t="s">
        <v>226</v>
      </c>
      <c r="AS142" t="s">
        <v>1869</v>
      </c>
      <c r="AT142" t="s">
        <v>1870</v>
      </c>
      <c r="AU142" t="s">
        <v>1871</v>
      </c>
      <c r="AV142" t="s">
        <v>172</v>
      </c>
      <c r="AX142" s="1" t="s">
        <v>123</v>
      </c>
      <c r="CR142" s="1" t="s">
        <v>123</v>
      </c>
      <c r="DB142" s="1" t="s">
        <v>123</v>
      </c>
      <c r="DL142" s="1" t="s">
        <v>123</v>
      </c>
      <c r="EO142" s="1" t="s">
        <v>123</v>
      </c>
      <c r="FO142" s="1" t="s">
        <v>123</v>
      </c>
      <c r="GW142" t="s">
        <v>276</v>
      </c>
      <c r="GX142" t="s">
        <v>1872</v>
      </c>
      <c r="GY142" t="s">
        <v>1873</v>
      </c>
      <c r="GZ142" t="s">
        <v>186</v>
      </c>
      <c r="HA142">
        <v>1991</v>
      </c>
      <c r="HB142" t="s">
        <v>398</v>
      </c>
    </row>
    <row r="143" spans="1:214" x14ac:dyDescent="0.45">
      <c r="A143">
        <v>232</v>
      </c>
      <c r="B143" t="str">
        <f>_xlfn.IFNA(VLOOKUP(Analiza[[#This Row],[Zakończono wypełnianie]],Zakończone[],2,0),"BRAK")</f>
        <v>BRAK</v>
      </c>
      <c r="C143">
        <f t="shared" si="4"/>
        <v>22</v>
      </c>
      <c r="D143" t="s">
        <v>1874</v>
      </c>
      <c r="E143" t="s">
        <v>118</v>
      </c>
      <c r="J143" t="s">
        <v>286</v>
      </c>
      <c r="K143" t="s">
        <v>1875</v>
      </c>
      <c r="L143" t="s">
        <v>1875</v>
      </c>
      <c r="M143">
        <v>0</v>
      </c>
      <c r="N143">
        <v>0</v>
      </c>
      <c r="O143" t="s">
        <v>122</v>
      </c>
      <c r="P143" s="1" t="s">
        <v>416</v>
      </c>
      <c r="Q143" t="s">
        <v>223</v>
      </c>
      <c r="R143" t="s">
        <v>148</v>
      </c>
      <c r="S143" t="s">
        <v>1876</v>
      </c>
      <c r="T143" t="s">
        <v>129</v>
      </c>
      <c r="U143" t="s">
        <v>236</v>
      </c>
      <c r="V143" t="s">
        <v>151</v>
      </c>
      <c r="W143" t="s">
        <v>1877</v>
      </c>
      <c r="X143" t="s">
        <v>302</v>
      </c>
      <c r="Y143" t="s">
        <v>153</v>
      </c>
      <c r="AA143" t="s">
        <v>1878</v>
      </c>
      <c r="AB143" t="s">
        <v>1879</v>
      </c>
      <c r="AC143" t="s">
        <v>157</v>
      </c>
      <c r="AE143">
        <v>3</v>
      </c>
      <c r="AF143" s="1" t="s">
        <v>123</v>
      </c>
      <c r="AX143" s="1" t="s">
        <v>123</v>
      </c>
      <c r="CR143" s="1" t="s">
        <v>123</v>
      </c>
      <c r="DB143" s="1" t="s">
        <v>123</v>
      </c>
      <c r="DL143" s="1" t="s">
        <v>123</v>
      </c>
      <c r="EO143" s="1" t="s">
        <v>123</v>
      </c>
      <c r="FO143" s="1" t="s">
        <v>123</v>
      </c>
    </row>
    <row r="144" spans="1:214" x14ac:dyDescent="0.45">
      <c r="A144">
        <v>233</v>
      </c>
      <c r="B144">
        <f>_xlfn.IFNA(VLOOKUP(Analiza[[#This Row],[Zakończono wypełnianie]],Zakończone[],2,0),"BRAK")</f>
        <v>125</v>
      </c>
      <c r="C144">
        <f t="shared" si="4"/>
        <v>44</v>
      </c>
      <c r="D144" t="s">
        <v>1880</v>
      </c>
      <c r="E144" t="s">
        <v>118</v>
      </c>
      <c r="F144" t="s">
        <v>359</v>
      </c>
      <c r="J144" t="s">
        <v>119</v>
      </c>
      <c r="K144" t="s">
        <v>1881</v>
      </c>
      <c r="L144" t="s">
        <v>1882</v>
      </c>
      <c r="M144">
        <v>627</v>
      </c>
      <c r="N144">
        <v>0</v>
      </c>
      <c r="O144" t="s">
        <v>122</v>
      </c>
      <c r="P144" s="1" t="s">
        <v>123</v>
      </c>
      <c r="AF144" s="1" t="s">
        <v>124</v>
      </c>
      <c r="AG144" t="s">
        <v>125</v>
      </c>
      <c r="AH144">
        <v>2011</v>
      </c>
      <c r="AI144" t="s">
        <v>126</v>
      </c>
      <c r="AJ144" t="s">
        <v>1883</v>
      </c>
      <c r="AK144" t="s">
        <v>169</v>
      </c>
      <c r="AL144" t="s">
        <v>169</v>
      </c>
      <c r="AM144" t="s">
        <v>169</v>
      </c>
      <c r="AN144" t="s">
        <v>151</v>
      </c>
      <c r="AO144" t="s">
        <v>150</v>
      </c>
      <c r="AP144" t="s">
        <v>1884</v>
      </c>
      <c r="AQ144" t="s">
        <v>131</v>
      </c>
      <c r="AR144" t="s">
        <v>153</v>
      </c>
      <c r="AS144" t="s">
        <v>1885</v>
      </c>
      <c r="AT144" t="s">
        <v>1886</v>
      </c>
      <c r="AU144" t="s">
        <v>1887</v>
      </c>
      <c r="AV144" t="s">
        <v>157</v>
      </c>
      <c r="AW144" t="s">
        <v>1888</v>
      </c>
      <c r="AX144" s="1" t="s">
        <v>123</v>
      </c>
      <c r="CR144" s="1" t="s">
        <v>123</v>
      </c>
      <c r="DB144" s="1" t="s">
        <v>123</v>
      </c>
      <c r="DL144" s="1" t="s">
        <v>123</v>
      </c>
      <c r="EO144" s="1" t="s">
        <v>177</v>
      </c>
      <c r="EP144" t="s">
        <v>180</v>
      </c>
      <c r="EQ144" t="s">
        <v>132</v>
      </c>
      <c r="ER144" t="s">
        <v>1889</v>
      </c>
      <c r="ES144" t="s">
        <v>132</v>
      </c>
      <c r="ET144" t="s">
        <v>132</v>
      </c>
      <c r="EU144" t="s">
        <v>132</v>
      </c>
      <c r="EV144" t="s">
        <v>180</v>
      </c>
      <c r="EW144" t="s">
        <v>1889</v>
      </c>
      <c r="EX144" t="s">
        <v>1889</v>
      </c>
      <c r="EY144" t="s">
        <v>173</v>
      </c>
      <c r="FO144" s="1" t="s">
        <v>123</v>
      </c>
      <c r="GW144" t="s">
        <v>1889</v>
      </c>
      <c r="GX144" t="s">
        <v>1889</v>
      </c>
      <c r="GY144" t="s">
        <v>1889</v>
      </c>
      <c r="GZ144" t="s">
        <v>140</v>
      </c>
      <c r="HA144">
        <v>1987</v>
      </c>
      <c r="HB144" t="s">
        <v>220</v>
      </c>
      <c r="HD144" t="s">
        <v>1889</v>
      </c>
      <c r="HE144" t="s">
        <v>1889</v>
      </c>
    </row>
    <row r="145" spans="1:214" x14ac:dyDescent="0.45">
      <c r="A145">
        <v>234</v>
      </c>
      <c r="B145">
        <f>_xlfn.IFNA(VLOOKUP(Analiza[[#This Row],[Zakończono wypełnianie]],Zakończone[],2,0),"BRAK")</f>
        <v>126</v>
      </c>
      <c r="C145">
        <f t="shared" si="4"/>
        <v>30</v>
      </c>
      <c r="D145" t="s">
        <v>1890</v>
      </c>
      <c r="E145" t="s">
        <v>118</v>
      </c>
      <c r="J145" t="s">
        <v>119</v>
      </c>
      <c r="K145" t="s">
        <v>1891</v>
      </c>
      <c r="L145" t="s">
        <v>1892</v>
      </c>
      <c r="M145">
        <v>680</v>
      </c>
      <c r="N145">
        <v>0</v>
      </c>
      <c r="O145" t="s">
        <v>122</v>
      </c>
      <c r="P145" s="1" t="s">
        <v>123</v>
      </c>
      <c r="AF145" s="1" t="s">
        <v>124</v>
      </c>
      <c r="AG145" t="s">
        <v>191</v>
      </c>
      <c r="AH145">
        <v>2016</v>
      </c>
      <c r="AI145" t="s">
        <v>126</v>
      </c>
      <c r="AJ145" t="s">
        <v>1893</v>
      </c>
      <c r="AK145" t="s">
        <v>150</v>
      </c>
      <c r="AL145" t="s">
        <v>150</v>
      </c>
      <c r="AM145" t="s">
        <v>150</v>
      </c>
      <c r="AN145" t="s">
        <v>128</v>
      </c>
      <c r="AO145" t="s">
        <v>150</v>
      </c>
      <c r="AP145" t="s">
        <v>530</v>
      </c>
      <c r="AQ145" t="s">
        <v>302</v>
      </c>
      <c r="AR145" t="s">
        <v>226</v>
      </c>
      <c r="AT145" t="s">
        <v>1894</v>
      </c>
      <c r="AU145" t="s">
        <v>1895</v>
      </c>
      <c r="AV145" t="s">
        <v>157</v>
      </c>
      <c r="AX145" s="1" t="s">
        <v>123</v>
      </c>
      <c r="CR145" s="1" t="s">
        <v>123</v>
      </c>
      <c r="DB145" s="1" t="s">
        <v>123</v>
      </c>
      <c r="DL145" s="1" t="s">
        <v>123</v>
      </c>
      <c r="EO145" s="1" t="s">
        <v>123</v>
      </c>
      <c r="FO145" s="1" t="s">
        <v>123</v>
      </c>
      <c r="GW145" t="s">
        <v>1896</v>
      </c>
      <c r="GX145" t="s">
        <v>1897</v>
      </c>
      <c r="GY145" t="s">
        <v>1898</v>
      </c>
      <c r="GZ145" t="s">
        <v>140</v>
      </c>
      <c r="HA145">
        <v>1991</v>
      </c>
      <c r="HB145" t="s">
        <v>398</v>
      </c>
    </row>
    <row r="146" spans="1:214" x14ac:dyDescent="0.45">
      <c r="A146">
        <v>235</v>
      </c>
      <c r="B146">
        <f>_xlfn.IFNA(VLOOKUP(Analiza[[#This Row],[Zakończono wypełnianie]],Zakończone[],2,0),"BRAK")</f>
        <v>127</v>
      </c>
      <c r="C146">
        <f t="shared" si="4"/>
        <v>33</v>
      </c>
      <c r="D146" t="s">
        <v>1899</v>
      </c>
      <c r="E146" t="s">
        <v>118</v>
      </c>
      <c r="F146" t="s">
        <v>359</v>
      </c>
      <c r="J146" t="s">
        <v>119</v>
      </c>
      <c r="K146" t="s">
        <v>1900</v>
      </c>
      <c r="L146" t="s">
        <v>1901</v>
      </c>
      <c r="M146">
        <v>650</v>
      </c>
      <c r="N146">
        <v>0</v>
      </c>
      <c r="O146" t="s">
        <v>122</v>
      </c>
      <c r="P146" s="1" t="s">
        <v>123</v>
      </c>
      <c r="AF146" s="1" t="s">
        <v>124</v>
      </c>
      <c r="AG146" t="s">
        <v>223</v>
      </c>
      <c r="AH146">
        <v>2009</v>
      </c>
      <c r="AI146" t="s">
        <v>148</v>
      </c>
      <c r="AJ146" t="s">
        <v>1666</v>
      </c>
      <c r="AK146" t="s">
        <v>162</v>
      </c>
      <c r="AL146" t="s">
        <v>151</v>
      </c>
      <c r="AM146" t="s">
        <v>236</v>
      </c>
      <c r="AN146" t="s">
        <v>236</v>
      </c>
      <c r="AO146" t="s">
        <v>128</v>
      </c>
      <c r="AP146">
        <v>9</v>
      </c>
      <c r="AQ146" t="s">
        <v>131</v>
      </c>
      <c r="AR146" t="s">
        <v>153</v>
      </c>
      <c r="AS146" t="s">
        <v>1902</v>
      </c>
      <c r="AT146" t="s">
        <v>1903</v>
      </c>
      <c r="AU146" t="s">
        <v>1904</v>
      </c>
      <c r="AW146" t="s">
        <v>1905</v>
      </c>
      <c r="AX146" s="1" t="s">
        <v>123</v>
      </c>
      <c r="CR146" s="1" t="s">
        <v>123</v>
      </c>
      <c r="DB146" s="1" t="s">
        <v>123</v>
      </c>
      <c r="DL146" s="1" t="s">
        <v>123</v>
      </c>
      <c r="EO146" s="1" t="s">
        <v>123</v>
      </c>
      <c r="FO146" s="1" t="s">
        <v>123</v>
      </c>
      <c r="GW146" t="s">
        <v>1906</v>
      </c>
      <c r="GX146" t="s">
        <v>1907</v>
      </c>
      <c r="GY146" t="s">
        <v>1908</v>
      </c>
      <c r="GZ146" t="s">
        <v>140</v>
      </c>
      <c r="HA146">
        <v>1985</v>
      </c>
      <c r="HB146" t="s">
        <v>141</v>
      </c>
      <c r="HD146" t="s">
        <v>142</v>
      </c>
      <c r="HE146" t="s">
        <v>1909</v>
      </c>
    </row>
    <row r="147" spans="1:214" x14ac:dyDescent="0.45">
      <c r="A147">
        <v>236</v>
      </c>
      <c r="B147">
        <f>_xlfn.IFNA(VLOOKUP(Analiza[[#This Row],[Zakończono wypełnianie]],Zakończone[],2,0),"BRAK")</f>
        <v>128</v>
      </c>
      <c r="C147">
        <f t="shared" si="4"/>
        <v>34</v>
      </c>
      <c r="D147" t="s">
        <v>1910</v>
      </c>
      <c r="E147" t="s">
        <v>118</v>
      </c>
      <c r="F147" t="s">
        <v>1911</v>
      </c>
      <c r="J147" t="s">
        <v>119</v>
      </c>
      <c r="K147" t="s">
        <v>1912</v>
      </c>
      <c r="L147" t="s">
        <v>1913</v>
      </c>
      <c r="M147">
        <v>1026</v>
      </c>
      <c r="N147">
        <v>0</v>
      </c>
      <c r="O147" t="s">
        <v>122</v>
      </c>
      <c r="P147" s="1" t="s">
        <v>123</v>
      </c>
      <c r="AF147" s="1" t="s">
        <v>124</v>
      </c>
      <c r="AG147" t="s">
        <v>191</v>
      </c>
      <c r="AH147">
        <v>2011</v>
      </c>
      <c r="AI147" t="s">
        <v>126</v>
      </c>
      <c r="AJ147" t="s">
        <v>1914</v>
      </c>
      <c r="AK147" t="s">
        <v>150</v>
      </c>
      <c r="AL147" t="s">
        <v>162</v>
      </c>
      <c r="AM147" t="s">
        <v>150</v>
      </c>
      <c r="AN147" t="s">
        <v>151</v>
      </c>
      <c r="AO147" t="s">
        <v>169</v>
      </c>
      <c r="AP147" t="s">
        <v>1362</v>
      </c>
      <c r="AQ147" t="s">
        <v>131</v>
      </c>
      <c r="AR147" t="s">
        <v>759</v>
      </c>
      <c r="AS147" t="s">
        <v>1915</v>
      </c>
      <c r="AT147" t="s">
        <v>1916</v>
      </c>
      <c r="AU147" t="s">
        <v>1917</v>
      </c>
      <c r="AW147" t="s">
        <v>1918</v>
      </c>
      <c r="AX147" s="1" t="s">
        <v>123</v>
      </c>
      <c r="CR147" s="1" t="s">
        <v>123</v>
      </c>
      <c r="DB147" s="1" t="s">
        <v>123</v>
      </c>
      <c r="DL147" s="1" t="s">
        <v>123</v>
      </c>
      <c r="EO147" s="1" t="s">
        <v>123</v>
      </c>
      <c r="FO147" s="1" t="s">
        <v>123</v>
      </c>
      <c r="GW147" t="s">
        <v>1919</v>
      </c>
      <c r="GX147" t="s">
        <v>1920</v>
      </c>
      <c r="GY147" t="s">
        <v>1921</v>
      </c>
      <c r="GZ147" t="s">
        <v>140</v>
      </c>
      <c r="HA147">
        <v>1987</v>
      </c>
      <c r="HB147" t="s">
        <v>220</v>
      </c>
      <c r="HD147" t="s">
        <v>1922</v>
      </c>
      <c r="HE147" t="s">
        <v>1923</v>
      </c>
      <c r="HF147" t="s">
        <v>1924</v>
      </c>
    </row>
    <row r="148" spans="1:214" x14ac:dyDescent="0.45">
      <c r="A148">
        <v>238</v>
      </c>
      <c r="B148">
        <f>_xlfn.IFNA(VLOOKUP(Analiza[[#This Row],[Zakończono wypełnianie]],Zakończone[],2,0),"BRAK")</f>
        <v>129</v>
      </c>
      <c r="C148">
        <f t="shared" si="4"/>
        <v>32</v>
      </c>
      <c r="D148" t="s">
        <v>1142</v>
      </c>
      <c r="E148" t="s">
        <v>118</v>
      </c>
      <c r="F148" t="s">
        <v>1927</v>
      </c>
      <c r="J148" t="s">
        <v>119</v>
      </c>
      <c r="K148" t="s">
        <v>1928</v>
      </c>
      <c r="L148" t="s">
        <v>1929</v>
      </c>
      <c r="M148">
        <v>1449</v>
      </c>
      <c r="N148">
        <v>0</v>
      </c>
      <c r="O148" t="s">
        <v>122</v>
      </c>
      <c r="P148" s="1" t="s">
        <v>123</v>
      </c>
      <c r="AF148" s="1" t="s">
        <v>124</v>
      </c>
      <c r="AG148" t="s">
        <v>2270</v>
      </c>
      <c r="AH148">
        <v>2007</v>
      </c>
      <c r="AI148" t="s">
        <v>126</v>
      </c>
      <c r="AJ148" t="s">
        <v>1931</v>
      </c>
      <c r="AK148" t="s">
        <v>162</v>
      </c>
      <c r="AL148" t="s">
        <v>162</v>
      </c>
      <c r="AM148" t="s">
        <v>169</v>
      </c>
      <c r="AN148" t="s">
        <v>169</v>
      </c>
      <c r="AO148" t="s">
        <v>169</v>
      </c>
      <c r="AP148" t="s">
        <v>1932</v>
      </c>
      <c r="AQ148" t="s">
        <v>302</v>
      </c>
      <c r="AR148" t="s">
        <v>153</v>
      </c>
      <c r="AS148" t="s">
        <v>1933</v>
      </c>
      <c r="AT148" t="s">
        <v>1934</v>
      </c>
      <c r="AU148" t="s">
        <v>1935</v>
      </c>
      <c r="AW148" t="s">
        <v>1936</v>
      </c>
      <c r="AX148" s="1" t="s">
        <v>123</v>
      </c>
      <c r="CR148" s="1" t="s">
        <v>123</v>
      </c>
      <c r="DB148" s="1" t="s">
        <v>123</v>
      </c>
      <c r="DL148" s="1" t="s">
        <v>123</v>
      </c>
      <c r="EO148" s="1" t="s">
        <v>123</v>
      </c>
      <c r="FO148" s="1" t="s">
        <v>123</v>
      </c>
      <c r="GW148" t="s">
        <v>1937</v>
      </c>
      <c r="GX148" t="s">
        <v>1938</v>
      </c>
      <c r="GY148" t="s">
        <v>1939</v>
      </c>
      <c r="GZ148" t="s">
        <v>186</v>
      </c>
      <c r="HA148">
        <v>2007</v>
      </c>
      <c r="HB148" t="s">
        <v>398</v>
      </c>
      <c r="HD148" t="s">
        <v>1940</v>
      </c>
    </row>
    <row r="149" spans="1:214" x14ac:dyDescent="0.45">
      <c r="A149">
        <v>240</v>
      </c>
      <c r="B149" t="str">
        <f>_xlfn.IFNA(VLOOKUP(Analiza[[#This Row],[Zakończono wypełnianie]],Zakończone[],2,0),"BRAK")</f>
        <v>BRAK</v>
      </c>
      <c r="C149">
        <f t="shared" si="4"/>
        <v>20</v>
      </c>
      <c r="D149" t="s">
        <v>1943</v>
      </c>
      <c r="E149" t="s">
        <v>118</v>
      </c>
      <c r="J149" t="s">
        <v>286</v>
      </c>
      <c r="K149" t="s">
        <v>1944</v>
      </c>
      <c r="L149" t="s">
        <v>1944</v>
      </c>
      <c r="M149">
        <v>0</v>
      </c>
      <c r="N149">
        <v>0</v>
      </c>
      <c r="O149" t="s">
        <v>122</v>
      </c>
      <c r="P149" s="1" t="s">
        <v>123</v>
      </c>
      <c r="AF149" s="1" t="s">
        <v>124</v>
      </c>
      <c r="AG149" t="s">
        <v>191</v>
      </c>
      <c r="AH149">
        <v>1967</v>
      </c>
      <c r="AI149" t="s">
        <v>126</v>
      </c>
      <c r="AJ149" t="s">
        <v>1945</v>
      </c>
      <c r="AK149" t="s">
        <v>150</v>
      </c>
      <c r="AL149" t="s">
        <v>150</v>
      </c>
      <c r="AM149" t="s">
        <v>132</v>
      </c>
      <c r="AN149" t="s">
        <v>150</v>
      </c>
      <c r="AO149" t="s">
        <v>150</v>
      </c>
      <c r="AP149">
        <v>1</v>
      </c>
      <c r="AQ149" t="s">
        <v>302</v>
      </c>
      <c r="AR149" t="s">
        <v>153</v>
      </c>
      <c r="AS149" t="s">
        <v>1946</v>
      </c>
      <c r="AT149" t="s">
        <v>1947</v>
      </c>
      <c r="AU149" t="s">
        <v>1948</v>
      </c>
      <c r="AV149" t="s">
        <v>157</v>
      </c>
      <c r="AX149" s="1" t="s">
        <v>123</v>
      </c>
      <c r="CR149" s="1"/>
      <c r="DB149" s="1"/>
      <c r="DL149" s="1"/>
      <c r="EO149" s="1"/>
      <c r="FO149" s="1"/>
    </row>
    <row r="150" spans="1:214" x14ac:dyDescent="0.45">
      <c r="A150">
        <v>243</v>
      </c>
      <c r="B150">
        <f>_xlfn.IFNA(VLOOKUP(Analiza[[#This Row],[Zakończono wypełnianie]],Zakończone[],2,0),"BRAK")</f>
        <v>130</v>
      </c>
      <c r="C150">
        <f t="shared" si="4"/>
        <v>33</v>
      </c>
      <c r="D150" t="s">
        <v>1951</v>
      </c>
      <c r="E150" t="s">
        <v>118</v>
      </c>
      <c r="J150" t="s">
        <v>119</v>
      </c>
      <c r="K150" t="s">
        <v>1952</v>
      </c>
      <c r="L150" t="s">
        <v>1953</v>
      </c>
      <c r="M150">
        <v>942</v>
      </c>
      <c r="N150">
        <v>0</v>
      </c>
      <c r="O150" t="s">
        <v>122</v>
      </c>
      <c r="P150" s="1" t="s">
        <v>123</v>
      </c>
      <c r="AF150" s="1" t="s">
        <v>124</v>
      </c>
      <c r="AG150" t="s">
        <v>223</v>
      </c>
      <c r="AH150">
        <v>2012</v>
      </c>
      <c r="AI150" t="s">
        <v>148</v>
      </c>
      <c r="AJ150" t="s">
        <v>161</v>
      </c>
      <c r="AK150" t="s">
        <v>128</v>
      </c>
      <c r="AL150" t="s">
        <v>162</v>
      </c>
      <c r="AM150" t="s">
        <v>128</v>
      </c>
      <c r="AN150" t="s">
        <v>128</v>
      </c>
      <c r="AO150" t="s">
        <v>236</v>
      </c>
      <c r="AP150" t="s">
        <v>530</v>
      </c>
      <c r="AQ150" t="s">
        <v>302</v>
      </c>
      <c r="AR150" t="s">
        <v>131</v>
      </c>
      <c r="AS150" t="s">
        <v>1955</v>
      </c>
      <c r="AT150" t="s">
        <v>1956</v>
      </c>
      <c r="AU150" t="s">
        <v>1957</v>
      </c>
      <c r="AV150" t="s">
        <v>157</v>
      </c>
      <c r="AX150" s="1" t="s">
        <v>123</v>
      </c>
      <c r="CR150" s="1" t="s">
        <v>123</v>
      </c>
      <c r="DB150" s="1" t="s">
        <v>123</v>
      </c>
      <c r="DL150" s="1" t="s">
        <v>123</v>
      </c>
      <c r="EO150" s="1" t="s">
        <v>123</v>
      </c>
      <c r="FO150" s="1" t="s">
        <v>123</v>
      </c>
      <c r="GW150" t="s">
        <v>1958</v>
      </c>
      <c r="GX150" t="s">
        <v>1959</v>
      </c>
      <c r="GY150" t="s">
        <v>1960</v>
      </c>
      <c r="GZ150" t="s">
        <v>140</v>
      </c>
      <c r="HA150">
        <v>1986</v>
      </c>
      <c r="HB150" t="s">
        <v>1630</v>
      </c>
      <c r="HD150" t="s">
        <v>1961</v>
      </c>
      <c r="HE150" t="s">
        <v>142</v>
      </c>
    </row>
    <row r="151" spans="1:214" x14ac:dyDescent="0.45">
      <c r="A151">
        <v>244</v>
      </c>
      <c r="B151" t="str">
        <f>_xlfn.IFNA(VLOOKUP(Analiza[[#This Row],[Zakończono wypełnianie]],Zakończone[],2,0),"BRAK")</f>
        <v>BRAK</v>
      </c>
      <c r="C151">
        <f t="shared" si="4"/>
        <v>24</v>
      </c>
      <c r="D151" t="s">
        <v>1336</v>
      </c>
      <c r="E151" t="s">
        <v>118</v>
      </c>
      <c r="J151" t="s">
        <v>286</v>
      </c>
      <c r="K151" t="s">
        <v>1962</v>
      </c>
      <c r="L151" t="s">
        <v>1962</v>
      </c>
      <c r="M151">
        <v>0</v>
      </c>
      <c r="N151">
        <v>0</v>
      </c>
      <c r="O151" t="s">
        <v>122</v>
      </c>
      <c r="P151" s="1" t="s">
        <v>123</v>
      </c>
      <c r="AF151" s="1" t="s">
        <v>124</v>
      </c>
      <c r="AG151" t="s">
        <v>1963</v>
      </c>
      <c r="AH151">
        <v>2006</v>
      </c>
      <c r="AI151" t="s">
        <v>126</v>
      </c>
      <c r="AJ151" t="s">
        <v>192</v>
      </c>
      <c r="AK151" t="s">
        <v>150</v>
      </c>
      <c r="AL151" t="s">
        <v>150</v>
      </c>
      <c r="AM151" t="s">
        <v>162</v>
      </c>
      <c r="AN151" t="s">
        <v>150</v>
      </c>
      <c r="AO151" t="s">
        <v>150</v>
      </c>
      <c r="AP151" t="s">
        <v>237</v>
      </c>
      <c r="AQ151" t="s">
        <v>226</v>
      </c>
      <c r="AR151" t="s">
        <v>759</v>
      </c>
      <c r="AT151" t="s">
        <v>1964</v>
      </c>
      <c r="AU151" t="s">
        <v>1539</v>
      </c>
      <c r="AV151" t="s">
        <v>230</v>
      </c>
      <c r="AX151" s="1" t="s">
        <v>123</v>
      </c>
      <c r="CR151" s="1" t="s">
        <v>123</v>
      </c>
      <c r="DB151" s="1" t="s">
        <v>123</v>
      </c>
      <c r="DL151" s="1" t="s">
        <v>123</v>
      </c>
      <c r="EO151" s="1" t="s">
        <v>123</v>
      </c>
      <c r="FO151" s="1" t="s">
        <v>123</v>
      </c>
    </row>
    <row r="152" spans="1:214" x14ac:dyDescent="0.45">
      <c r="A152">
        <v>245</v>
      </c>
      <c r="B152">
        <f>_xlfn.IFNA(VLOOKUP(Analiza[[#This Row],[Zakończono wypełnianie]],Zakończone[],2,0),"BRAK")</f>
        <v>131</v>
      </c>
      <c r="C152">
        <f t="shared" si="4"/>
        <v>32</v>
      </c>
      <c r="D152" t="s">
        <v>1965</v>
      </c>
      <c r="E152" t="s">
        <v>118</v>
      </c>
      <c r="F152" t="s">
        <v>1966</v>
      </c>
      <c r="J152" t="s">
        <v>119</v>
      </c>
      <c r="K152" t="s">
        <v>1967</v>
      </c>
      <c r="L152" t="s">
        <v>1968</v>
      </c>
      <c r="M152">
        <v>504</v>
      </c>
      <c r="N152">
        <v>0</v>
      </c>
      <c r="O152" t="s">
        <v>122</v>
      </c>
      <c r="P152" s="1" t="s">
        <v>123</v>
      </c>
      <c r="AF152" s="1" t="s">
        <v>124</v>
      </c>
      <c r="AG152" t="s">
        <v>191</v>
      </c>
      <c r="AH152">
        <v>2003</v>
      </c>
      <c r="AI152" t="s">
        <v>126</v>
      </c>
      <c r="AJ152" t="s">
        <v>127</v>
      </c>
      <c r="AK152" t="s">
        <v>150</v>
      </c>
      <c r="AL152" t="s">
        <v>150</v>
      </c>
      <c r="AM152" t="s">
        <v>162</v>
      </c>
      <c r="AN152" t="s">
        <v>151</v>
      </c>
      <c r="AO152" t="s">
        <v>151</v>
      </c>
      <c r="AP152" t="s">
        <v>237</v>
      </c>
      <c r="AQ152" t="s">
        <v>152</v>
      </c>
      <c r="AR152" t="s">
        <v>131</v>
      </c>
      <c r="AS152" t="s">
        <v>1969</v>
      </c>
      <c r="AT152" t="s">
        <v>1970</v>
      </c>
      <c r="AU152" t="s">
        <v>1971</v>
      </c>
      <c r="AV152" t="s">
        <v>157</v>
      </c>
      <c r="AW152" t="s">
        <v>1972</v>
      </c>
      <c r="AX152" s="1" t="s">
        <v>123</v>
      </c>
      <c r="CR152" s="1" t="s">
        <v>123</v>
      </c>
      <c r="DB152" s="1" t="s">
        <v>123</v>
      </c>
      <c r="DL152" s="1" t="s">
        <v>123</v>
      </c>
      <c r="EO152" s="1" t="s">
        <v>123</v>
      </c>
      <c r="FO152" s="1" t="s">
        <v>123</v>
      </c>
      <c r="GW152" t="s">
        <v>1973</v>
      </c>
      <c r="GX152" t="s">
        <v>1363</v>
      </c>
      <c r="GY152" t="s">
        <v>1974</v>
      </c>
      <c r="GZ152" t="s">
        <v>140</v>
      </c>
      <c r="HA152">
        <v>1979</v>
      </c>
      <c r="HB152" t="s">
        <v>141</v>
      </c>
    </row>
    <row r="153" spans="1:214" x14ac:dyDescent="0.45">
      <c r="A153">
        <v>248</v>
      </c>
      <c r="B153">
        <f>_xlfn.IFNA(VLOOKUP(Analiza[[#This Row],[Zakończono wypełnianie]],Zakończone[],2,0),"BRAK")</f>
        <v>133</v>
      </c>
      <c r="C153">
        <f t="shared" si="4"/>
        <v>30</v>
      </c>
      <c r="D153" t="s">
        <v>1142</v>
      </c>
      <c r="E153" t="s">
        <v>118</v>
      </c>
      <c r="J153" t="s">
        <v>119</v>
      </c>
      <c r="K153" t="s">
        <v>1979</v>
      </c>
      <c r="L153" t="s">
        <v>1980</v>
      </c>
      <c r="M153">
        <v>1026</v>
      </c>
      <c r="N153">
        <v>0</v>
      </c>
      <c r="O153" t="s">
        <v>122</v>
      </c>
      <c r="P153" s="1" t="s">
        <v>416</v>
      </c>
      <c r="Q153" t="s">
        <v>813</v>
      </c>
      <c r="R153" t="s">
        <v>148</v>
      </c>
      <c r="S153" t="s">
        <v>1982</v>
      </c>
      <c r="T153" t="s">
        <v>162</v>
      </c>
      <c r="U153" t="s">
        <v>162</v>
      </c>
      <c r="V153" t="s">
        <v>150</v>
      </c>
      <c r="W153" t="s">
        <v>1983</v>
      </c>
      <c r="X153" t="s">
        <v>1984</v>
      </c>
      <c r="Y153" t="s">
        <v>194</v>
      </c>
      <c r="Z153" t="s">
        <v>1985</v>
      </c>
      <c r="AA153" t="s">
        <v>1986</v>
      </c>
      <c r="AB153" t="s">
        <v>1987</v>
      </c>
      <c r="AC153" t="s">
        <v>157</v>
      </c>
      <c r="AE153">
        <v>4</v>
      </c>
      <c r="AF153" s="1" t="s">
        <v>123</v>
      </c>
      <c r="AX153" s="1" t="s">
        <v>123</v>
      </c>
      <c r="CR153" s="1" t="s">
        <v>123</v>
      </c>
      <c r="DB153" s="1" t="s">
        <v>123</v>
      </c>
      <c r="DL153" s="1" t="s">
        <v>123</v>
      </c>
      <c r="EO153" s="1" t="s">
        <v>123</v>
      </c>
      <c r="FO153" s="1" t="s">
        <v>123</v>
      </c>
      <c r="GW153" t="s">
        <v>1988</v>
      </c>
      <c r="GX153" t="s">
        <v>1989</v>
      </c>
      <c r="GY153" t="s">
        <v>1990</v>
      </c>
      <c r="GZ153" t="s">
        <v>186</v>
      </c>
      <c r="HA153">
        <v>1992</v>
      </c>
      <c r="HB153" t="s">
        <v>246</v>
      </c>
      <c r="HD153" t="s">
        <v>1991</v>
      </c>
    </row>
    <row r="154" spans="1:214" x14ac:dyDescent="0.45">
      <c r="A154">
        <v>253</v>
      </c>
      <c r="B154" t="str">
        <f>_xlfn.IFNA(VLOOKUP(Analiza[[#This Row],[Zakończono wypełnianie]],Zakończone[],2,0),"BRAK")</f>
        <v>BRAK</v>
      </c>
      <c r="C154">
        <f t="shared" si="4"/>
        <v>17</v>
      </c>
      <c r="D154" t="s">
        <v>2000</v>
      </c>
      <c r="E154" t="s">
        <v>118</v>
      </c>
      <c r="F154" t="s">
        <v>359</v>
      </c>
      <c r="J154" t="s">
        <v>286</v>
      </c>
      <c r="K154" t="s">
        <v>2001</v>
      </c>
      <c r="L154" t="s">
        <v>2001</v>
      </c>
      <c r="M154">
        <v>0</v>
      </c>
      <c r="N154">
        <v>0</v>
      </c>
      <c r="O154" t="s">
        <v>122</v>
      </c>
      <c r="P154" s="1" t="s">
        <v>416</v>
      </c>
      <c r="Q154" t="s">
        <v>2002</v>
      </c>
      <c r="R154" t="s">
        <v>148</v>
      </c>
      <c r="S154" t="s">
        <v>2003</v>
      </c>
      <c r="T154" t="s">
        <v>236</v>
      </c>
      <c r="U154" t="s">
        <v>236</v>
      </c>
      <c r="V154" t="s">
        <v>236</v>
      </c>
      <c r="W154" t="s">
        <v>2004</v>
      </c>
      <c r="X154" t="s">
        <v>302</v>
      </c>
      <c r="Y154" t="s">
        <v>153</v>
      </c>
      <c r="Z154" t="s">
        <v>2005</v>
      </c>
      <c r="AA154" t="s">
        <v>2006</v>
      </c>
      <c r="AB154" t="s">
        <v>2007</v>
      </c>
      <c r="AC154" t="s">
        <v>172</v>
      </c>
      <c r="AE154">
        <v>6</v>
      </c>
      <c r="AF154" s="1" t="s">
        <v>124</v>
      </c>
      <c r="AX154" s="1"/>
      <c r="CR154" s="1"/>
      <c r="DB154" s="1"/>
      <c r="DL154" s="1"/>
      <c r="EO154" s="1"/>
      <c r="FO154" s="1"/>
    </row>
    <row r="155" spans="1:214" x14ac:dyDescent="0.45">
      <c r="A155">
        <v>257</v>
      </c>
      <c r="B155">
        <f>_xlfn.IFNA(VLOOKUP(Analiza[[#This Row],[Zakończono wypełnianie]],Zakończone[],2,0),"BRAK")</f>
        <v>134</v>
      </c>
      <c r="C155">
        <f t="shared" si="4"/>
        <v>61</v>
      </c>
      <c r="D155" t="s">
        <v>2014</v>
      </c>
      <c r="E155" t="s">
        <v>118</v>
      </c>
      <c r="J155" t="s">
        <v>119</v>
      </c>
      <c r="K155" t="s">
        <v>2015</v>
      </c>
      <c r="L155" t="s">
        <v>2016</v>
      </c>
      <c r="M155">
        <v>1430</v>
      </c>
      <c r="N155">
        <v>0</v>
      </c>
      <c r="O155" t="s">
        <v>122</v>
      </c>
      <c r="P155" s="1" t="s">
        <v>123</v>
      </c>
      <c r="AF155" s="1" t="s">
        <v>124</v>
      </c>
      <c r="AG155" t="s">
        <v>191</v>
      </c>
      <c r="AH155">
        <v>1989</v>
      </c>
      <c r="AI155" t="s">
        <v>126</v>
      </c>
      <c r="AJ155" t="s">
        <v>2017</v>
      </c>
      <c r="AK155" t="s">
        <v>150</v>
      </c>
      <c r="AL155" t="s">
        <v>150</v>
      </c>
      <c r="AM155" t="s">
        <v>162</v>
      </c>
      <c r="AN155" t="s">
        <v>162</v>
      </c>
      <c r="AO155" t="s">
        <v>162</v>
      </c>
      <c r="AP155">
        <v>0</v>
      </c>
      <c r="AQ155" t="s">
        <v>226</v>
      </c>
      <c r="AR155" t="s">
        <v>226</v>
      </c>
      <c r="AS155" t="s">
        <v>2018</v>
      </c>
      <c r="AT155" t="s">
        <v>1229</v>
      </c>
      <c r="AU155" t="s">
        <v>1229</v>
      </c>
      <c r="AV155" t="s">
        <v>157</v>
      </c>
      <c r="AW155" t="s">
        <v>1271</v>
      </c>
      <c r="AX155" s="1" t="s">
        <v>159</v>
      </c>
      <c r="AY155">
        <v>1</v>
      </c>
      <c r="AZ155" t="s">
        <v>191</v>
      </c>
      <c r="BA155">
        <v>2016</v>
      </c>
      <c r="BB155" t="s">
        <v>126</v>
      </c>
      <c r="BC155" t="s">
        <v>2019</v>
      </c>
      <c r="BD155" t="s">
        <v>150</v>
      </c>
      <c r="BE155" t="s">
        <v>150</v>
      </c>
      <c r="BF155" t="s">
        <v>151</v>
      </c>
      <c r="BG155" t="s">
        <v>128</v>
      </c>
      <c r="BH155" t="s">
        <v>162</v>
      </c>
      <c r="BI155" t="s">
        <v>2020</v>
      </c>
      <c r="BJ155" t="s">
        <v>2021</v>
      </c>
      <c r="BK155" t="s">
        <v>157</v>
      </c>
      <c r="BN155" t="s">
        <v>173</v>
      </c>
      <c r="CR155" s="1" t="s">
        <v>123</v>
      </c>
      <c r="DB155" s="1" t="s">
        <v>123</v>
      </c>
      <c r="DL155" s="1" t="s">
        <v>123</v>
      </c>
      <c r="EO155" s="1" t="s">
        <v>123</v>
      </c>
      <c r="FO155" s="1" t="s">
        <v>2022</v>
      </c>
      <c r="FP155" t="s">
        <v>2023</v>
      </c>
      <c r="FQ155" t="s">
        <v>2024</v>
      </c>
      <c r="FR155">
        <v>1</v>
      </c>
      <c r="FS155" t="s">
        <v>191</v>
      </c>
      <c r="FT155" t="s">
        <v>150</v>
      </c>
      <c r="FU155" t="s">
        <v>150</v>
      </c>
      <c r="FV155" t="s">
        <v>150</v>
      </c>
      <c r="FW155" t="s">
        <v>150</v>
      </c>
      <c r="FX155" t="s">
        <v>150</v>
      </c>
      <c r="FY155" t="s">
        <v>150</v>
      </c>
      <c r="FZ155" t="s">
        <v>150</v>
      </c>
      <c r="GB155" t="s">
        <v>2025</v>
      </c>
      <c r="GC155" t="s">
        <v>173</v>
      </c>
      <c r="GW155" t="s">
        <v>1229</v>
      </c>
      <c r="GX155" t="s">
        <v>1229</v>
      </c>
      <c r="GY155" t="s">
        <v>1229</v>
      </c>
      <c r="GZ155" t="s">
        <v>186</v>
      </c>
      <c r="HA155">
        <v>1965</v>
      </c>
      <c r="HB155" t="s">
        <v>220</v>
      </c>
      <c r="HD155" t="s">
        <v>2026</v>
      </c>
      <c r="HF155" t="s">
        <v>2027</v>
      </c>
    </row>
    <row r="156" spans="1:214" x14ac:dyDescent="0.45">
      <c r="A156">
        <v>258</v>
      </c>
      <c r="B156">
        <f>_xlfn.IFNA(VLOOKUP(Analiza[[#This Row],[Zakończono wypełnianie]],Zakończone[],2,0),"BRAK")</f>
        <v>135</v>
      </c>
      <c r="C156">
        <f t="shared" si="4"/>
        <v>55</v>
      </c>
      <c r="D156" t="s">
        <v>2014</v>
      </c>
      <c r="E156" t="s">
        <v>118</v>
      </c>
      <c r="J156" t="s">
        <v>119</v>
      </c>
      <c r="K156" t="s">
        <v>2028</v>
      </c>
      <c r="L156" t="s">
        <v>2029</v>
      </c>
      <c r="M156">
        <v>721</v>
      </c>
      <c r="N156">
        <v>0</v>
      </c>
      <c r="O156" t="s">
        <v>122</v>
      </c>
      <c r="P156" s="1" t="s">
        <v>123</v>
      </c>
      <c r="AF156" s="1" t="s">
        <v>124</v>
      </c>
      <c r="AG156" t="s">
        <v>234</v>
      </c>
      <c r="AH156">
        <v>1985</v>
      </c>
      <c r="AI156" t="s">
        <v>148</v>
      </c>
      <c r="AJ156" t="s">
        <v>2030</v>
      </c>
      <c r="AK156" t="s">
        <v>169</v>
      </c>
      <c r="AL156" t="s">
        <v>169</v>
      </c>
      <c r="AM156" t="s">
        <v>150</v>
      </c>
      <c r="AN156" t="s">
        <v>128</v>
      </c>
      <c r="AO156" t="s">
        <v>128</v>
      </c>
      <c r="AP156">
        <v>4</v>
      </c>
      <c r="AQ156" t="s">
        <v>131</v>
      </c>
      <c r="AR156" t="s">
        <v>131</v>
      </c>
      <c r="AS156" t="s">
        <v>2031</v>
      </c>
      <c r="AT156" t="s">
        <v>1229</v>
      </c>
      <c r="AU156" t="s">
        <v>1229</v>
      </c>
      <c r="AV156" t="s">
        <v>157</v>
      </c>
      <c r="AW156" t="s">
        <v>2032</v>
      </c>
      <c r="AX156" s="1" t="s">
        <v>123</v>
      </c>
      <c r="CR156" s="1" t="s">
        <v>123</v>
      </c>
      <c r="DB156" s="1" t="s">
        <v>123</v>
      </c>
      <c r="DL156" s="1" t="s">
        <v>174</v>
      </c>
      <c r="DM156" t="s">
        <v>394</v>
      </c>
      <c r="DQ156" t="s">
        <v>234</v>
      </c>
      <c r="DR156" t="s">
        <v>162</v>
      </c>
      <c r="DS156" t="s">
        <v>162</v>
      </c>
      <c r="DT156" t="s">
        <v>162</v>
      </c>
      <c r="DU156" t="s">
        <v>132</v>
      </c>
      <c r="DV156" t="s">
        <v>132</v>
      </c>
      <c r="DW156" t="s">
        <v>132</v>
      </c>
      <c r="DX156" t="s">
        <v>162</v>
      </c>
      <c r="DY156">
        <v>20</v>
      </c>
      <c r="DZ156">
        <v>60</v>
      </c>
      <c r="EA156">
        <v>0</v>
      </c>
      <c r="EB156">
        <v>0</v>
      </c>
      <c r="EC156">
        <v>0</v>
      </c>
      <c r="ED156">
        <v>20</v>
      </c>
      <c r="EE156">
        <v>0</v>
      </c>
      <c r="EG156">
        <v>20</v>
      </c>
      <c r="EH156">
        <v>60</v>
      </c>
      <c r="EI156">
        <v>0</v>
      </c>
      <c r="EJ156">
        <v>0</v>
      </c>
      <c r="EK156">
        <v>0</v>
      </c>
      <c r="EL156">
        <v>20</v>
      </c>
      <c r="EM156">
        <v>0</v>
      </c>
      <c r="EO156" s="1" t="s">
        <v>123</v>
      </c>
      <c r="FO156" s="1" t="s">
        <v>123</v>
      </c>
      <c r="GW156" t="s">
        <v>2033</v>
      </c>
      <c r="GX156" t="s">
        <v>1229</v>
      </c>
      <c r="GY156" t="s">
        <v>1229</v>
      </c>
      <c r="GZ156" t="s">
        <v>186</v>
      </c>
      <c r="HA156">
        <v>1961</v>
      </c>
      <c r="HB156" t="s">
        <v>141</v>
      </c>
    </row>
    <row r="157" spans="1:214" x14ac:dyDescent="0.45">
      <c r="A157">
        <v>259</v>
      </c>
      <c r="B157">
        <f>_xlfn.IFNA(VLOOKUP(Analiza[[#This Row],[Zakończono wypełnianie]],Zakończone[],2,0),"BRAK")</f>
        <v>136</v>
      </c>
      <c r="C157">
        <f t="shared" si="4"/>
        <v>72</v>
      </c>
      <c r="D157" t="s">
        <v>2014</v>
      </c>
      <c r="E157" t="s">
        <v>118</v>
      </c>
      <c r="J157" t="s">
        <v>119</v>
      </c>
      <c r="K157" t="s">
        <v>2034</v>
      </c>
      <c r="L157" t="s">
        <v>2035</v>
      </c>
      <c r="M157">
        <v>1151</v>
      </c>
      <c r="N157">
        <v>0</v>
      </c>
      <c r="O157" t="s">
        <v>122</v>
      </c>
      <c r="P157" s="1" t="s">
        <v>123</v>
      </c>
      <c r="AF157" s="1" t="s">
        <v>124</v>
      </c>
      <c r="AG157" t="s">
        <v>223</v>
      </c>
      <c r="AH157">
        <v>1987</v>
      </c>
      <c r="AI157" t="s">
        <v>148</v>
      </c>
      <c r="AJ157" t="s">
        <v>554</v>
      </c>
      <c r="AK157" t="s">
        <v>132</v>
      </c>
      <c r="AL157" t="s">
        <v>132</v>
      </c>
      <c r="AM157" t="s">
        <v>132</v>
      </c>
      <c r="AN157" t="s">
        <v>132</v>
      </c>
      <c r="AO157" t="s">
        <v>132</v>
      </c>
      <c r="AP157" t="s">
        <v>2036</v>
      </c>
      <c r="AQ157" t="s">
        <v>132</v>
      </c>
      <c r="AR157" t="s">
        <v>132</v>
      </c>
      <c r="AT157" t="s">
        <v>1229</v>
      </c>
      <c r="AU157" t="s">
        <v>1229</v>
      </c>
      <c r="AV157" t="s">
        <v>157</v>
      </c>
      <c r="AW157" t="s">
        <v>2037</v>
      </c>
      <c r="AX157" s="1" t="s">
        <v>159</v>
      </c>
      <c r="AY157">
        <v>3</v>
      </c>
      <c r="AZ157" t="s">
        <v>191</v>
      </c>
      <c r="BA157">
        <v>2020</v>
      </c>
      <c r="BB157" t="s">
        <v>126</v>
      </c>
      <c r="BC157" t="s">
        <v>2038</v>
      </c>
      <c r="BD157" t="s">
        <v>150</v>
      </c>
      <c r="BE157" t="s">
        <v>162</v>
      </c>
      <c r="BF157" t="s">
        <v>169</v>
      </c>
      <c r="BG157" t="s">
        <v>150</v>
      </c>
      <c r="BH157" t="s">
        <v>132</v>
      </c>
      <c r="BI157" t="s">
        <v>2039</v>
      </c>
      <c r="BJ157" t="s">
        <v>2040</v>
      </c>
      <c r="BK157" t="s">
        <v>157</v>
      </c>
      <c r="BN157" t="s">
        <v>166</v>
      </c>
      <c r="BO157" t="s">
        <v>191</v>
      </c>
      <c r="BP157">
        <v>2013</v>
      </c>
      <c r="BQ157" t="s">
        <v>126</v>
      </c>
      <c r="BR157" t="s">
        <v>1867</v>
      </c>
      <c r="BS157" t="s">
        <v>162</v>
      </c>
      <c r="BT157" t="s">
        <v>150</v>
      </c>
      <c r="BU157" t="s">
        <v>162</v>
      </c>
      <c r="BV157" t="s">
        <v>162</v>
      </c>
      <c r="BW157" t="s">
        <v>162</v>
      </c>
      <c r="BX157" t="s">
        <v>237</v>
      </c>
      <c r="BZ157" t="s">
        <v>157</v>
      </c>
      <c r="CB157" t="s">
        <v>2041</v>
      </c>
      <c r="CC157" t="s">
        <v>238</v>
      </c>
      <c r="CD157" t="s">
        <v>191</v>
      </c>
      <c r="CE157">
        <v>2016</v>
      </c>
      <c r="CF157" t="s">
        <v>126</v>
      </c>
      <c r="CG157" t="s">
        <v>2042</v>
      </c>
      <c r="CH157" t="s">
        <v>151</v>
      </c>
      <c r="CI157" t="s">
        <v>162</v>
      </c>
      <c r="CJ157" t="s">
        <v>150</v>
      </c>
      <c r="CK157" t="s">
        <v>169</v>
      </c>
      <c r="CL157" t="s">
        <v>150</v>
      </c>
      <c r="CM157" t="s">
        <v>237</v>
      </c>
      <c r="CN157" t="s">
        <v>2043</v>
      </c>
      <c r="CO157" t="s">
        <v>157</v>
      </c>
      <c r="CR157" s="1" t="s">
        <v>123</v>
      </c>
      <c r="DB157" s="1" t="s">
        <v>123</v>
      </c>
      <c r="DL157" s="1" t="s">
        <v>123</v>
      </c>
      <c r="EO157" s="1" t="s">
        <v>123</v>
      </c>
      <c r="FO157" s="1" t="s">
        <v>123</v>
      </c>
      <c r="GW157" t="s">
        <v>1229</v>
      </c>
      <c r="GX157" t="s">
        <v>1229</v>
      </c>
      <c r="GY157" t="s">
        <v>1229</v>
      </c>
      <c r="GZ157" t="s">
        <v>186</v>
      </c>
      <c r="HA157">
        <v>1962</v>
      </c>
      <c r="HB157" t="s">
        <v>141</v>
      </c>
      <c r="HE157" t="s">
        <v>2044</v>
      </c>
      <c r="HF157" t="s">
        <v>2045</v>
      </c>
    </row>
    <row r="158" spans="1:214" x14ac:dyDescent="0.45">
      <c r="A158">
        <v>260</v>
      </c>
      <c r="B158">
        <f>_xlfn.IFNA(VLOOKUP(Analiza[[#This Row],[Zakończono wypełnianie]],Zakończone[],2,0),"BRAK")</f>
        <v>137</v>
      </c>
      <c r="C158">
        <f t="shared" si="4"/>
        <v>66</v>
      </c>
      <c r="D158" t="s">
        <v>2014</v>
      </c>
      <c r="E158" t="s">
        <v>118</v>
      </c>
      <c r="J158" t="s">
        <v>119</v>
      </c>
      <c r="K158" t="s">
        <v>2046</v>
      </c>
      <c r="L158" t="s">
        <v>2047</v>
      </c>
      <c r="M158">
        <v>707</v>
      </c>
      <c r="N158">
        <v>0</v>
      </c>
      <c r="O158" t="s">
        <v>122</v>
      </c>
      <c r="P158" s="1" t="s">
        <v>123</v>
      </c>
      <c r="AF158" s="1" t="s">
        <v>124</v>
      </c>
      <c r="AG158" t="s">
        <v>191</v>
      </c>
      <c r="AH158">
        <v>1985</v>
      </c>
      <c r="AI158" t="s">
        <v>126</v>
      </c>
      <c r="AJ158" t="s">
        <v>2017</v>
      </c>
      <c r="AK158" t="s">
        <v>150</v>
      </c>
      <c r="AL158" t="s">
        <v>150</v>
      </c>
      <c r="AM158" t="s">
        <v>151</v>
      </c>
      <c r="AN158" t="s">
        <v>236</v>
      </c>
      <c r="AO158" t="s">
        <v>150</v>
      </c>
      <c r="AP158" t="s">
        <v>237</v>
      </c>
      <c r="AQ158" t="s">
        <v>152</v>
      </c>
      <c r="AR158" t="s">
        <v>759</v>
      </c>
      <c r="AS158" t="s">
        <v>2048</v>
      </c>
      <c r="AT158" t="s">
        <v>1229</v>
      </c>
      <c r="AU158" t="s">
        <v>1229</v>
      </c>
      <c r="AV158" t="s">
        <v>157</v>
      </c>
      <c r="AW158" t="s">
        <v>2032</v>
      </c>
      <c r="AX158" s="1" t="s">
        <v>159</v>
      </c>
      <c r="AY158">
        <v>1</v>
      </c>
      <c r="AZ158" t="s">
        <v>191</v>
      </c>
      <c r="BA158">
        <v>2018</v>
      </c>
      <c r="BB158" t="s">
        <v>126</v>
      </c>
      <c r="BC158" t="s">
        <v>2049</v>
      </c>
      <c r="BD158" t="s">
        <v>151</v>
      </c>
      <c r="BE158" t="s">
        <v>151</v>
      </c>
      <c r="BF158" t="s">
        <v>128</v>
      </c>
      <c r="BG158" t="s">
        <v>162</v>
      </c>
      <c r="BH158" t="s">
        <v>132</v>
      </c>
      <c r="BI158">
        <v>12</v>
      </c>
      <c r="BJ158" t="s">
        <v>2050</v>
      </c>
      <c r="BK158" t="s">
        <v>157</v>
      </c>
      <c r="BN158" t="s">
        <v>173</v>
      </c>
      <c r="CR158" s="1" t="s">
        <v>123</v>
      </c>
      <c r="DB158" s="1" t="s">
        <v>123</v>
      </c>
      <c r="DL158" s="1" t="s">
        <v>123</v>
      </c>
      <c r="EO158" s="1" t="s">
        <v>177</v>
      </c>
      <c r="EP158" t="s">
        <v>178</v>
      </c>
      <c r="EQ158">
        <v>2</v>
      </c>
      <c r="ER158" t="s">
        <v>191</v>
      </c>
      <c r="ES158" t="s">
        <v>151</v>
      </c>
      <c r="ET158" t="s">
        <v>162</v>
      </c>
      <c r="EU158" t="s">
        <v>151</v>
      </c>
      <c r="EV158" t="s">
        <v>178</v>
      </c>
      <c r="EW158" t="s">
        <v>2051</v>
      </c>
      <c r="EX158" t="s">
        <v>2052</v>
      </c>
      <c r="EY158" t="s">
        <v>1206</v>
      </c>
      <c r="EZ158" t="s">
        <v>223</v>
      </c>
      <c r="FA158" t="s">
        <v>162</v>
      </c>
      <c r="FB158" t="s">
        <v>162</v>
      </c>
      <c r="FC158" t="s">
        <v>151</v>
      </c>
      <c r="FD158" t="s">
        <v>178</v>
      </c>
      <c r="FE158" t="s">
        <v>2053</v>
      </c>
      <c r="FF158" t="s">
        <v>2054</v>
      </c>
      <c r="FG158" t="s">
        <v>173</v>
      </c>
      <c r="FO158" s="1" t="s">
        <v>123</v>
      </c>
      <c r="GW158" t="s">
        <v>1229</v>
      </c>
      <c r="GX158" t="s">
        <v>1229</v>
      </c>
      <c r="GY158" t="s">
        <v>1229</v>
      </c>
      <c r="GZ158" t="s">
        <v>186</v>
      </c>
      <c r="HA158">
        <v>1959</v>
      </c>
      <c r="HB158" t="s">
        <v>141</v>
      </c>
      <c r="HD158" t="s">
        <v>2055</v>
      </c>
      <c r="HF158" t="s">
        <v>2056</v>
      </c>
    </row>
    <row r="159" spans="1:214" x14ac:dyDescent="0.45">
      <c r="A159">
        <v>261</v>
      </c>
      <c r="B159">
        <f>_xlfn.IFNA(VLOOKUP(Analiza[[#This Row],[Zakończono wypełnianie]],Zakończone[],2,0),"BRAK")</f>
        <v>138</v>
      </c>
      <c r="C159">
        <f t="shared" si="4"/>
        <v>61</v>
      </c>
      <c r="D159" t="s">
        <v>2014</v>
      </c>
      <c r="E159" t="s">
        <v>118</v>
      </c>
      <c r="J159" t="s">
        <v>119</v>
      </c>
      <c r="K159" t="s">
        <v>2057</v>
      </c>
      <c r="L159" t="s">
        <v>2058</v>
      </c>
      <c r="M159">
        <v>616</v>
      </c>
      <c r="N159">
        <v>0</v>
      </c>
      <c r="O159" t="s">
        <v>122</v>
      </c>
      <c r="P159" s="1" t="s">
        <v>123</v>
      </c>
      <c r="AF159" s="1" t="s">
        <v>124</v>
      </c>
      <c r="AG159" t="s">
        <v>223</v>
      </c>
      <c r="AH159">
        <v>1992</v>
      </c>
      <c r="AI159" t="s">
        <v>148</v>
      </c>
      <c r="AJ159" t="s">
        <v>2059</v>
      </c>
      <c r="AK159" t="s">
        <v>150</v>
      </c>
      <c r="AL159" t="s">
        <v>169</v>
      </c>
      <c r="AM159" t="s">
        <v>150</v>
      </c>
      <c r="AN159" t="s">
        <v>151</v>
      </c>
      <c r="AO159" t="s">
        <v>162</v>
      </c>
      <c r="AP159">
        <v>0</v>
      </c>
      <c r="AQ159" t="s">
        <v>131</v>
      </c>
      <c r="AR159" t="s">
        <v>302</v>
      </c>
      <c r="AS159" t="s">
        <v>2060</v>
      </c>
      <c r="AT159" t="s">
        <v>1229</v>
      </c>
      <c r="AU159" t="s">
        <v>1229</v>
      </c>
      <c r="AV159" t="s">
        <v>157</v>
      </c>
      <c r="AW159" t="s">
        <v>2032</v>
      </c>
      <c r="AX159" s="1" t="s">
        <v>159</v>
      </c>
      <c r="AY159">
        <v>1</v>
      </c>
      <c r="AZ159" t="s">
        <v>445</v>
      </c>
      <c r="BA159">
        <v>2019</v>
      </c>
      <c r="BB159" t="s">
        <v>148</v>
      </c>
      <c r="BC159" t="s">
        <v>461</v>
      </c>
      <c r="BD159" t="s">
        <v>169</v>
      </c>
      <c r="BE159" t="s">
        <v>169</v>
      </c>
      <c r="BF159" t="s">
        <v>169</v>
      </c>
      <c r="BG159" t="s">
        <v>169</v>
      </c>
      <c r="BH159" t="s">
        <v>132</v>
      </c>
      <c r="BI159" t="s">
        <v>2020</v>
      </c>
      <c r="BJ159" t="s">
        <v>2061</v>
      </c>
      <c r="BK159" t="s">
        <v>157</v>
      </c>
      <c r="BM159" t="s">
        <v>2062</v>
      </c>
      <c r="BN159" t="s">
        <v>173</v>
      </c>
      <c r="CR159" s="1" t="s">
        <v>123</v>
      </c>
      <c r="DB159" s="1" t="s">
        <v>123</v>
      </c>
      <c r="DL159" s="1" t="s">
        <v>123</v>
      </c>
      <c r="EO159" s="1" t="s">
        <v>123</v>
      </c>
      <c r="FO159" s="1" t="s">
        <v>2022</v>
      </c>
      <c r="FP159" t="s">
        <v>2023</v>
      </c>
      <c r="FQ159" t="s">
        <v>2063</v>
      </c>
      <c r="FR159">
        <v>1</v>
      </c>
      <c r="FS159" t="s">
        <v>191</v>
      </c>
      <c r="FT159" t="s">
        <v>150</v>
      </c>
      <c r="FU159" t="s">
        <v>150</v>
      </c>
      <c r="FV159" t="s">
        <v>169</v>
      </c>
      <c r="FW159" t="s">
        <v>169</v>
      </c>
      <c r="FX159" t="s">
        <v>132</v>
      </c>
      <c r="FY159" t="s">
        <v>132</v>
      </c>
      <c r="FZ159" t="s">
        <v>169</v>
      </c>
      <c r="GC159" t="s">
        <v>173</v>
      </c>
      <c r="GW159" t="s">
        <v>1229</v>
      </c>
      <c r="GX159" t="s">
        <v>1229</v>
      </c>
      <c r="GY159" t="s">
        <v>1229</v>
      </c>
      <c r="GZ159" t="s">
        <v>186</v>
      </c>
      <c r="HA159">
        <v>1968</v>
      </c>
      <c r="HB159" t="s">
        <v>220</v>
      </c>
      <c r="HD159" t="s">
        <v>2055</v>
      </c>
      <c r="HF159" t="s">
        <v>2064</v>
      </c>
    </row>
    <row r="160" spans="1:214" ht="14.65" thickBot="1" x14ac:dyDescent="0.5">
      <c r="O160" s="6">
        <f t="shared" ref="O160:AX160" si="5">COUNTA((O3:O159))</f>
        <v>157</v>
      </c>
      <c r="P160" s="6">
        <f t="shared" si="5"/>
        <v>157</v>
      </c>
      <c r="Q160" s="1">
        <f t="shared" si="5"/>
        <v>21</v>
      </c>
      <c r="R160" s="1">
        <f t="shared" si="5"/>
        <v>21</v>
      </c>
      <c r="S160" s="1">
        <f t="shared" si="5"/>
        <v>21</v>
      </c>
      <c r="T160" s="1">
        <f t="shared" si="5"/>
        <v>21</v>
      </c>
      <c r="U160" s="1">
        <f t="shared" si="5"/>
        <v>21</v>
      </c>
      <c r="V160" s="1">
        <f t="shared" si="5"/>
        <v>21</v>
      </c>
      <c r="W160" s="1">
        <f t="shared" si="5"/>
        <v>21</v>
      </c>
      <c r="X160" s="1">
        <f t="shared" si="5"/>
        <v>21</v>
      </c>
      <c r="Y160" s="1">
        <f t="shared" si="5"/>
        <v>21</v>
      </c>
      <c r="Z160" s="1">
        <f t="shared" si="5"/>
        <v>15</v>
      </c>
      <c r="AA160" s="1">
        <f t="shared" si="5"/>
        <v>21</v>
      </c>
      <c r="AB160" s="1">
        <f t="shared" si="5"/>
        <v>21</v>
      </c>
      <c r="AC160" s="1">
        <f t="shared" si="5"/>
        <v>20</v>
      </c>
      <c r="AD160" s="1">
        <f t="shared" si="5"/>
        <v>2</v>
      </c>
      <c r="AE160" s="1">
        <f t="shared" si="5"/>
        <v>21</v>
      </c>
      <c r="AF160" s="6">
        <f t="shared" si="5"/>
        <v>157</v>
      </c>
      <c r="AG160" s="1">
        <f t="shared" si="5"/>
        <v>134</v>
      </c>
      <c r="AH160" s="1">
        <f t="shared" si="5"/>
        <v>132</v>
      </c>
      <c r="AI160" s="1">
        <f t="shared" si="5"/>
        <v>134</v>
      </c>
      <c r="AJ160" s="1">
        <f t="shared" si="5"/>
        <v>134</v>
      </c>
      <c r="AK160" s="1">
        <f t="shared" si="5"/>
        <v>134</v>
      </c>
      <c r="AL160" s="1">
        <f t="shared" si="5"/>
        <v>134</v>
      </c>
      <c r="AM160" s="1">
        <f t="shared" si="5"/>
        <v>134</v>
      </c>
      <c r="AN160" s="1">
        <f t="shared" si="5"/>
        <v>134</v>
      </c>
      <c r="AO160" s="1">
        <f t="shared" si="5"/>
        <v>134</v>
      </c>
      <c r="AP160" s="1">
        <f t="shared" si="5"/>
        <v>134</v>
      </c>
      <c r="AQ160" s="1">
        <f t="shared" si="5"/>
        <v>133</v>
      </c>
      <c r="AR160" s="1">
        <f t="shared" si="5"/>
        <v>133</v>
      </c>
      <c r="AS160" s="1">
        <f t="shared" si="5"/>
        <v>106</v>
      </c>
      <c r="AT160" s="1">
        <f t="shared" si="5"/>
        <v>133</v>
      </c>
      <c r="AU160" s="1">
        <f t="shared" si="5"/>
        <v>132</v>
      </c>
      <c r="AV160" s="1">
        <f t="shared" si="5"/>
        <v>119</v>
      </c>
      <c r="AW160" s="1">
        <f t="shared" si="5"/>
        <v>42</v>
      </c>
      <c r="AX160" s="6">
        <f t="shared" si="5"/>
        <v>154</v>
      </c>
      <c r="AY160" s="1">
        <f t="shared" ref="AY160:CQ160" si="6">COUNTA((AY3:AY159))</f>
        <v>18</v>
      </c>
      <c r="AZ160" s="1">
        <f t="shared" si="6"/>
        <v>18</v>
      </c>
      <c r="BA160" s="1">
        <f t="shared" si="6"/>
        <v>18</v>
      </c>
      <c r="BB160" s="1">
        <f t="shared" si="6"/>
        <v>18</v>
      </c>
      <c r="BC160" s="1">
        <f t="shared" si="6"/>
        <v>18</v>
      </c>
      <c r="BD160" s="1">
        <f t="shared" si="6"/>
        <v>18</v>
      </c>
      <c r="BE160" s="1">
        <f t="shared" si="6"/>
        <v>18</v>
      </c>
      <c r="BF160" s="1">
        <f t="shared" si="6"/>
        <v>18</v>
      </c>
      <c r="BG160" s="1">
        <f t="shared" si="6"/>
        <v>18</v>
      </c>
      <c r="BH160" s="1">
        <f t="shared" si="6"/>
        <v>18</v>
      </c>
      <c r="BI160" s="1">
        <f t="shared" si="6"/>
        <v>18</v>
      </c>
      <c r="BJ160" s="1">
        <f t="shared" si="6"/>
        <v>16</v>
      </c>
      <c r="BK160" s="1">
        <f t="shared" si="6"/>
        <v>18</v>
      </c>
      <c r="BL160" s="1">
        <f t="shared" si="6"/>
        <v>1</v>
      </c>
      <c r="BM160" s="1">
        <f t="shared" si="6"/>
        <v>8</v>
      </c>
      <c r="BN160" s="1">
        <f t="shared" si="6"/>
        <v>18</v>
      </c>
      <c r="BO160" s="1">
        <f t="shared" si="6"/>
        <v>6</v>
      </c>
      <c r="BP160" s="1">
        <f t="shared" si="6"/>
        <v>6</v>
      </c>
      <c r="BQ160" s="1">
        <f t="shared" si="6"/>
        <v>6</v>
      </c>
      <c r="BR160" s="1">
        <f t="shared" si="6"/>
        <v>6</v>
      </c>
      <c r="BS160" s="1">
        <f t="shared" si="6"/>
        <v>6</v>
      </c>
      <c r="BT160" s="1">
        <f t="shared" si="6"/>
        <v>6</v>
      </c>
      <c r="BU160" s="1">
        <f t="shared" si="6"/>
        <v>6</v>
      </c>
      <c r="BV160" s="1">
        <f t="shared" si="6"/>
        <v>6</v>
      </c>
      <c r="BW160" s="1">
        <f t="shared" si="6"/>
        <v>6</v>
      </c>
      <c r="BX160" s="1">
        <f t="shared" si="6"/>
        <v>6</v>
      </c>
      <c r="BY160" s="1">
        <f t="shared" si="6"/>
        <v>4</v>
      </c>
      <c r="BZ160" s="1">
        <f t="shared" si="6"/>
        <v>6</v>
      </c>
      <c r="CA160" s="1">
        <f t="shared" si="6"/>
        <v>0</v>
      </c>
      <c r="CB160" s="1">
        <f t="shared" si="6"/>
        <v>3</v>
      </c>
      <c r="CC160" s="1">
        <f t="shared" si="6"/>
        <v>6</v>
      </c>
      <c r="CD160" s="1">
        <f t="shared" si="6"/>
        <v>2</v>
      </c>
      <c r="CE160" s="1">
        <f t="shared" si="6"/>
        <v>2</v>
      </c>
      <c r="CF160" s="1">
        <f t="shared" si="6"/>
        <v>2</v>
      </c>
      <c r="CG160" s="1">
        <f t="shared" si="6"/>
        <v>2</v>
      </c>
      <c r="CH160" s="1">
        <f t="shared" si="6"/>
        <v>2</v>
      </c>
      <c r="CI160" s="1">
        <f t="shared" si="6"/>
        <v>2</v>
      </c>
      <c r="CJ160" s="1">
        <f t="shared" si="6"/>
        <v>2</v>
      </c>
      <c r="CK160" s="1">
        <f t="shared" si="6"/>
        <v>2</v>
      </c>
      <c r="CL160" s="1">
        <f t="shared" si="6"/>
        <v>2</v>
      </c>
      <c r="CM160" s="1">
        <f t="shared" si="6"/>
        <v>2</v>
      </c>
      <c r="CN160" s="1">
        <f t="shared" si="6"/>
        <v>2</v>
      </c>
      <c r="CO160" s="1">
        <f t="shared" si="6"/>
        <v>2</v>
      </c>
      <c r="CP160" s="1">
        <f t="shared" si="6"/>
        <v>0</v>
      </c>
      <c r="CQ160" s="1">
        <f t="shared" si="6"/>
        <v>1</v>
      </c>
      <c r="CR160" s="6">
        <f>COUNTA((CR3:CR159))</f>
        <v>150</v>
      </c>
      <c r="DB160" s="6">
        <f>COUNTA((DB3:DB159))</f>
        <v>148</v>
      </c>
      <c r="DL160" s="6">
        <f>COUNTA((DL3:DL159))</f>
        <v>148</v>
      </c>
      <c r="EO160" s="6">
        <f>COUNTA((EO3:EO159))</f>
        <v>147</v>
      </c>
      <c r="FO160" s="6">
        <f>COUNTA((FO3:FO159))</f>
        <v>144</v>
      </c>
      <c r="GZ160" s="6">
        <f t="shared" ref="GZ160:HF160" si="7">COUNTA((GZ3:GZ159))</f>
        <v>135</v>
      </c>
      <c r="HA160" s="6">
        <f t="shared" si="7"/>
        <v>135</v>
      </c>
      <c r="HB160" s="6">
        <f t="shared" si="7"/>
        <v>135</v>
      </c>
      <c r="HC160" s="6">
        <f t="shared" si="7"/>
        <v>7</v>
      </c>
      <c r="HD160" s="6">
        <f t="shared" si="7"/>
        <v>86</v>
      </c>
      <c r="HE160" s="6">
        <f t="shared" si="7"/>
        <v>54</v>
      </c>
      <c r="HF160" s="6">
        <f t="shared" si="7"/>
        <v>12</v>
      </c>
    </row>
    <row r="161" spans="2:210" ht="15" thickTop="1" thickBot="1" x14ac:dyDescent="0.5">
      <c r="B161" s="20" t="s">
        <v>2292</v>
      </c>
      <c r="O161" s="7">
        <f>COUNTIF(Analiza[Czy jesteś osobą pełnoletnią?],"*"&amp;"Tak"&amp;"*")</f>
        <v>157</v>
      </c>
      <c r="P161" s="7">
        <f>COUNTIF(Analiza[Czy jesteś studentem uczelni wyższej?],"*"&amp;"Tak"&amp;"*")</f>
        <v>21</v>
      </c>
      <c r="Q161" s="8"/>
      <c r="R161" s="8"/>
      <c r="S161" s="8"/>
      <c r="T161" s="8"/>
      <c r="U161" s="8"/>
      <c r="V161" s="8"/>
      <c r="W161" s="8"/>
      <c r="X161" s="8"/>
      <c r="Y161" s="8"/>
      <c r="Z161" s="8"/>
      <c r="AA161" s="8"/>
      <c r="AB161" s="8"/>
      <c r="AC161" s="8"/>
      <c r="AD161" s="8"/>
      <c r="AE161" s="8"/>
      <c r="AF161" s="7">
        <f>COUNTIF(Analiza[Czy jesteś absolwentem uczelni wyższej?],"*"&amp;"Tak"&amp;"*")</f>
        <v>135</v>
      </c>
      <c r="AG161" s="8"/>
      <c r="AH161" s="8"/>
      <c r="AI161" s="8"/>
      <c r="AJ161" s="8"/>
      <c r="AK161" s="8"/>
      <c r="AL161" s="8"/>
      <c r="AM161" s="8"/>
      <c r="AN161" s="8"/>
      <c r="AO161" s="8"/>
      <c r="AP161" s="8"/>
      <c r="AQ161" s="8"/>
      <c r="AR161" s="8"/>
      <c r="AS161" s="8"/>
      <c r="AT161" s="8"/>
      <c r="AU161" s="8"/>
      <c r="AV161" s="8"/>
      <c r="AW161" s="8"/>
      <c r="AX161" s="7">
        <f>COUNTIF(Analiza[Czy jesteś rodzicem / opiekunem absolwenta uczelni wyższej?],"*"&amp;"Tak"&amp;"*")</f>
        <v>18</v>
      </c>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7">
        <f>COUNTIF(Analiza[Czy jesteś aktualnie pracownikiem administracyjnym uczelni wyższej?],"*"&amp;"Tak"&amp;"*")</f>
        <v>4</v>
      </c>
      <c r="CS161" s="8"/>
      <c r="CT161" s="8"/>
      <c r="CU161" s="8"/>
      <c r="CV161" s="8"/>
      <c r="CW161" s="8"/>
      <c r="CX161" s="8"/>
      <c r="CY161" s="8"/>
      <c r="CZ161" s="8"/>
      <c r="DA161" s="8"/>
      <c r="DB161" s="7">
        <f>COUNTIF(Analiza[Czy jesteś aktualnie pracownikiem naukowym lub dydaktycznym uczelni wyższej?],"*"&amp;"Tak"&amp;"*")</f>
        <v>17</v>
      </c>
      <c r="DC161" s="8"/>
      <c r="DD161" s="8"/>
      <c r="DE161" s="8"/>
      <c r="DF161" s="8"/>
      <c r="DG161" s="8"/>
      <c r="DH161" s="8"/>
      <c r="DI161" s="8"/>
      <c r="DJ161" s="8"/>
      <c r="DK161" s="8"/>
      <c r="DL161" s="7">
        <f>COUNTIF(Analiza[Czy jesteś przedstawicielem władz uczelni z grupy rektorów, prorektorów, dziekanów, prodziekanów, członków senatu lub członków rady uczelni?],"*"&amp;"Tak"&amp;"*")</f>
        <v>6</v>
      </c>
      <c r="DM161" s="8"/>
      <c r="DN161" s="8"/>
      <c r="DO161" s="8"/>
      <c r="DP161" s="8"/>
      <c r="DQ161" s="8"/>
      <c r="DR161" s="8"/>
      <c r="DS161" s="8"/>
      <c r="DT161" s="8"/>
      <c r="DU161" s="8"/>
      <c r="DV161" s="8"/>
      <c r="DW161" s="8"/>
      <c r="DX161" s="8"/>
      <c r="DY161" s="8"/>
      <c r="DZ161" s="8"/>
      <c r="EA161" s="8"/>
      <c r="EB161" s="8"/>
      <c r="EC161" s="8"/>
      <c r="ED161" s="8"/>
      <c r="EE161" s="8"/>
      <c r="EF161" s="8"/>
      <c r="EG161" s="8"/>
      <c r="EH161" s="8"/>
      <c r="EI161" s="8"/>
      <c r="EJ161" s="8"/>
      <c r="EK161" s="8"/>
      <c r="EL161" s="8"/>
      <c r="EM161" s="8"/>
      <c r="EN161" s="8"/>
      <c r="EO161" s="7">
        <f>COUNTIF(Analiza[Czy jesteś przedstawicielem firmy, w której są zatrudniani absolwenci uczelni wyższych (tytuł licencjata, magistra lub wyższy)?],"*"&amp;"Tak"&amp;"*")</f>
        <v>21</v>
      </c>
      <c r="EP161" s="8"/>
      <c r="EQ161" s="8"/>
      <c r="ER161" s="8"/>
      <c r="ES161" s="8"/>
      <c r="ET161" s="8"/>
      <c r="EU161" s="8"/>
      <c r="EV161" s="8"/>
      <c r="EW161" s="8"/>
      <c r="EX161" s="8"/>
      <c r="EY161" s="8"/>
      <c r="EZ161" s="8"/>
      <c r="FA161" s="8"/>
      <c r="FB161" s="8"/>
      <c r="FC161" s="8"/>
      <c r="FD161" s="8"/>
      <c r="FE161" s="8"/>
      <c r="FF161" s="8"/>
      <c r="FG161" s="8"/>
      <c r="FH161" s="8"/>
      <c r="FI161" s="8"/>
      <c r="FJ161" s="8"/>
      <c r="FK161" s="8"/>
      <c r="FL161" s="8"/>
      <c r="FM161" s="8"/>
      <c r="FN161" s="8"/>
      <c r="FO161" s="7">
        <f>COUNTIF(Analiza[Czy jesteś przedstawicielem władz samorządowych lub centralnych Rzeczypospolitej Polskiej?],"*"&amp;"Tak"&amp;"*")</f>
        <v>2</v>
      </c>
      <c r="FP161" s="7">
        <f>COUNTIF(Analiza[Proszę wskaż jaki poziom władzy samorządowej lub centralnej reprezentujesz.],"*"&amp;"Tak"&amp;"*")</f>
        <v>0</v>
      </c>
      <c r="FQ161" s="7">
        <f>COUNTIF(Analiza[Proszę o podanie nazwy organu władzy jaki reprezentujesz.],"*"&amp;"Tak"&amp;"*")</f>
        <v>0</v>
      </c>
      <c r="FR161" s="7">
        <f>COUNTIF(Analiza[Ile uczelni będziesz oceniać?26],"*"&amp;"Tak"&amp;"*")</f>
        <v>0</v>
      </c>
      <c r="FS161" s="7">
        <f>COUNTIF(Analiza[Jak się nazywa uczelnia, którą ocenisz?],"*"&amp;"Tak"&amp;"*")</f>
        <v>0</v>
      </c>
      <c r="FT161" s="7">
        <f>COUNTIF(Analiza[Efekty działań ocenianej uczelni na rzesz jakości edukacji są zgodne ze strategią rozwoju w regionie.],"*"&amp;"Tak"&amp;"*")</f>
        <v>0</v>
      </c>
      <c r="FU161" s="7">
        <f>COUNTIF(Analiza[Wartość wykształcenia zdobywanego przez studentów na ocenianej uczelni jest wysoka.27],"*"&amp;"Tak"&amp;"*")</f>
        <v>0</v>
      </c>
      <c r="FV161" s="7">
        <f>COUNTIF(Analiza[Zdobyte przez studentów ocenianej uczelni wykształcenie miało/ma pozytywny wpływ na ich zarobki.28],"*"&amp;"Tak"&amp;"*")</f>
        <v>0</v>
      </c>
      <c r="FW161" s="7">
        <f>COUNTIF(Analiza[Efekty działań ocenianej uczelni na rzecz jakości edukacji mają dobry wpływ na rozwój regionu.29],"*"&amp;"Tak"&amp;"*")</f>
        <v>0</v>
      </c>
      <c r="FX161" s="7">
        <f>COUNTIF(Analiza[Efekty działań ocenianej uczelni na rzecz jakości edukacji mają dobry wpływ na rozwój Polski.30],"*"&amp;"Tak"&amp;"*")</f>
        <v>0</v>
      </c>
      <c r="FY161" s="7">
        <f>COUNTIF(Analiza[Współpraca ocenianej uczelni z biznesem ma pozytywne efekty dla rozwoju regionu / kraju.31],"*"&amp;"Tak"&amp;"*")</f>
        <v>0</v>
      </c>
      <c r="FZ161" s="7">
        <f>COUNTIF(Analiza[Ogólny poziom mojej satysfakcji z jakości usług edukacyjnych ocenianej uczelni jest wysoki.32],"*"&amp;"Tak"&amp;"*")</f>
        <v>0</v>
      </c>
      <c r="GA161" s="7">
        <f>COUNTIF(Analiza[Pole dodatkowe33],"*"&amp;"Tak"&amp;"*")</f>
        <v>0</v>
      </c>
      <c r="GB161" s="7">
        <f>COUNTIF(Analiza[Jakie inne efekty pracy ocenianej uczelni technicznej dostrzegasz obecnie?],"*"&amp;"Tak"&amp;"*")</f>
        <v>0</v>
      </c>
      <c r="GC161" s="7">
        <f>COUNTIF(Analiza[Czy będziesz oceniać drugą uczelnię?],"*"&amp;"Tak"&amp;"*")</f>
        <v>0</v>
      </c>
      <c r="GD161" s="7">
        <f>COUNTIF(Analiza[Jak się nazywa uczelnia, którą ocenisz?34],"*"&amp;"Tak"&amp;"*")</f>
        <v>0</v>
      </c>
      <c r="GE161" s="7">
        <f>COUNTIF(Analiza[Efekty działań ocenianej uczelni na rzesz jakości edukacji są zgodne ze strategią rozwoju w regionie.35],"*"&amp;"Tak"&amp;"*")</f>
        <v>0</v>
      </c>
      <c r="GF161" s="7">
        <f>COUNTIF(Analiza[Wartość wykształcenia zdobywanego przez studentów na ocenianej uczelni jest wysoka.36],"*"&amp;"Tak"&amp;"*")</f>
        <v>0</v>
      </c>
      <c r="GG161" s="7">
        <f>COUNTIF(Analiza[Zdobyte przez studentów ocenianej uczelni wykształcenie miało/ma pozytywny wpływ na ich zarobki.37],"*"&amp;"Tak"&amp;"*")</f>
        <v>0</v>
      </c>
      <c r="GH161" s="7">
        <f>COUNTIF(Analiza[Efekty działań ocenianej uczelni na rzecz jakości edukacji mają dobry wpływ na rozwój regionu.38],"*"&amp;"Tak"&amp;"*")</f>
        <v>0</v>
      </c>
      <c r="GI161" s="7">
        <f>COUNTIF(Analiza[Efekty działań ocenianej uczelni na rzecz jakości edukacji mają dobry wpływ na rozwój Polski.39],"*"&amp;"Tak"&amp;"*")</f>
        <v>0</v>
      </c>
      <c r="GJ161" s="7">
        <f>COUNTIF(Analiza[Współpraca ocenianej uczelni z biznesem ma pozytywne efekty dla rozwoju regionu / kraju.40],"*"&amp;"Tak"&amp;"*")</f>
        <v>0</v>
      </c>
      <c r="GK161" s="7">
        <f>COUNTIF(Analiza[Ogólny poziom mojej satysfakcji z jakości usług edukacyjnych ocenianej uczelni jest wysoki.41],"*"&amp;"Tak"&amp;"*")</f>
        <v>0</v>
      </c>
      <c r="GL161" s="7">
        <f>COUNTIF(Analiza[Jakie inne efekty pracy ocenianej uczelni dostrzegasz obecnie?],"*"&amp;"Tak"&amp;"*")</f>
        <v>0</v>
      </c>
      <c r="GM161" s="7">
        <f>COUNTIF(Analiza[Czy będziesz oceniać trzecią uczelnię?],"*"&amp;"Tak"&amp;"*")</f>
        <v>0</v>
      </c>
      <c r="GN161" s="7">
        <f>COUNTIF(Analiza[Jak się nazywa uczelnia, którą ocenisz?42],"*"&amp;"Tak"&amp;"*")</f>
        <v>0</v>
      </c>
      <c r="GO161" s="7">
        <f>COUNTIF(Analiza[Efekty działań ocenianej uczelni na rzesz jakości edukacji są zgodne ze strategią rozwoju w regionie.43],"*"&amp;"Tak"&amp;"*")</f>
        <v>0</v>
      </c>
      <c r="GP161" s="7">
        <f>COUNTIF(Analiza[Wartość wykształcenia zdobywanego przez studentów na ocenianej uczelni jest wysoka.44],"*"&amp;"Tak"&amp;"*")</f>
        <v>0</v>
      </c>
      <c r="GQ161" s="7">
        <f>COUNTIF(Analiza[Zdobyte przez studentów ocenianej uczelni wykształcenie miało/ma pozytywny wpływ na ich zarobki.45],"*"&amp;"Tak"&amp;"*")</f>
        <v>0</v>
      </c>
      <c r="GR161" s="7">
        <f>COUNTIF(Analiza[Efekty działań ocenianej uczelni na rzecz jakości edukacji mają dobry wpływ na rozwój regionu.46],"*"&amp;"Tak"&amp;"*")</f>
        <v>0</v>
      </c>
      <c r="GS161" s="7">
        <f>COUNTIF(Analiza[Efekty działań ocenianej uczelni na rzecz jakości edukacji mają dobry wpływ na rozwój Polski.47],"*"&amp;"Tak"&amp;"*")</f>
        <v>0</v>
      </c>
      <c r="GT161" s="7">
        <f>COUNTIF(Analiza[Współpraca ocenianej uczelni z biznesem ma pozytywne efekty dla rozwoju regionu / kraju.48],"*"&amp;"Tak"&amp;"*")</f>
        <v>0</v>
      </c>
      <c r="GU161" s="7">
        <f>COUNTIF(Analiza[Ogólny poziom mojej satysfakcji z jakości usług edukacyjnych ocenianej uczelni jest wysoki.49],"*"&amp;"Tak"&amp;"*")</f>
        <v>0</v>
      </c>
      <c r="GV161" s="7">
        <f>COUNTIF(Analiza[Jakie inne efekty pracy ocenianej uczelni dostrzegasz obecnie?50],"*"&amp;"Tak"&amp;"*")</f>
        <v>0</v>
      </c>
      <c r="GW161" s="7">
        <f>COUNTIF(Analiza[Jakie, Twoim zdaniem, elementy decydują o tym, że uczelnie są lepsze lub gorsze.],"*"&amp;"Tak"&amp;"*")</f>
        <v>5</v>
      </c>
      <c r="GX161" s="7">
        <f>COUNTIF(Analiza[Kolumna51],"*"&amp;"Tak"&amp;"*")</f>
        <v>10</v>
      </c>
      <c r="GY161" s="7">
        <f>COUNTIF(Analiza[Kolumna52],"*"&amp;"Tak"&amp;"*")</f>
        <v>3</v>
      </c>
      <c r="GZ161" s="7">
        <f>COUNTIF(Analiza[Płeć],"*"&amp;"Mężczyzna"&amp;"*")</f>
        <v>68</v>
      </c>
      <c r="HA161" s="7">
        <f>COUNTIF(Analiza[Rok urodzenia],"*"&amp;"Tak"&amp;"*")</f>
        <v>0</v>
      </c>
      <c r="HB161" s="7">
        <f>COUNTIF(Analiza[Z jakiej wielkości miejscowości pochodzisz? (dotyczy miejscowości, w której się wychowałaś/eś],"*"&amp;"Tak"&amp;"*")</f>
        <v>0</v>
      </c>
    </row>
    <row r="162" spans="2:210" ht="15" thickTop="1" thickBot="1" x14ac:dyDescent="0.5">
      <c r="B162" s="20" t="s">
        <v>2293</v>
      </c>
      <c r="O162" s="7">
        <f>COUNTIF(Analiza[Czy jesteś osobą pełnoletnią?],"*"&amp;"Nie"&amp;"*")</f>
        <v>0</v>
      </c>
      <c r="P162" s="7">
        <f>COUNTIF(Analiza[Czy jesteś studentem uczelni wyższej?],"*"&amp;"Nie (przejście"&amp;"*")</f>
        <v>136</v>
      </c>
      <c r="Q162" s="8"/>
      <c r="R162" s="8"/>
      <c r="S162" s="8"/>
      <c r="T162" s="8"/>
      <c r="U162" s="8"/>
      <c r="V162" s="8"/>
      <c r="W162" s="8"/>
      <c r="X162" s="8"/>
      <c r="Y162" s="8"/>
      <c r="Z162" s="8"/>
      <c r="AA162" s="8"/>
      <c r="AB162" s="8"/>
      <c r="AC162" s="8"/>
      <c r="AD162" s="8"/>
      <c r="AE162" s="8"/>
      <c r="AF162" s="7">
        <f>COUNTIF(Analiza[Czy jesteś absolwentem uczelni wyższej?],"*"&amp;"Nie (przejście"&amp;"*")</f>
        <v>22</v>
      </c>
      <c r="AG162" s="8"/>
      <c r="AH162" s="8"/>
      <c r="AI162" s="8"/>
      <c r="AJ162" s="8"/>
      <c r="AK162" s="8"/>
      <c r="AL162" s="8"/>
      <c r="AM162" s="8"/>
      <c r="AN162" s="8"/>
      <c r="AO162" s="8"/>
      <c r="AP162" s="8"/>
      <c r="AQ162" s="8"/>
      <c r="AR162" s="8"/>
      <c r="AS162" s="8"/>
      <c r="AT162" s="8"/>
      <c r="AU162" s="8"/>
      <c r="AV162" s="8"/>
      <c r="AW162" s="8"/>
      <c r="AX162" s="7">
        <f>COUNTIF(Analiza[Czy jesteś rodzicem / opiekunem absolwenta uczelni wyższej?],"*"&amp;"Nie (przejście"&amp;"*")</f>
        <v>136</v>
      </c>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7">
        <f>COUNTIF(Analiza[Czy jesteś aktualnie pracownikiem administracyjnym uczelni wyższej?],"*"&amp;"Nie (przejście"&amp;"*")</f>
        <v>146</v>
      </c>
      <c r="CS162" s="8"/>
      <c r="CT162" s="8"/>
      <c r="CU162" s="8"/>
      <c r="CV162" s="8"/>
      <c r="CW162" s="8"/>
      <c r="CX162" s="8"/>
      <c r="CY162" s="8"/>
      <c r="CZ162" s="8"/>
      <c r="DA162" s="8"/>
      <c r="DB162" s="7">
        <f>COUNTIF(Analiza[Czy jesteś aktualnie pracownikiem naukowym lub dydaktycznym uczelni wyższej?],"*"&amp;"Nie (przejście"&amp;"*")</f>
        <v>131</v>
      </c>
      <c r="DC162" s="8"/>
      <c r="DD162" s="8"/>
      <c r="DE162" s="8"/>
      <c r="DF162" s="8"/>
      <c r="DG162" s="8"/>
      <c r="DH162" s="8"/>
      <c r="DI162" s="8"/>
      <c r="DJ162" s="8"/>
      <c r="DK162" s="8"/>
      <c r="DL162" s="7">
        <f>COUNTIF(Analiza[Czy jesteś przedstawicielem władz uczelni z grupy rektorów, prorektorów, dziekanów, prodziekanów, członków senatu lub członków rady uczelni?],"*"&amp;"Nie (przejście"&amp;"*")</f>
        <v>142</v>
      </c>
      <c r="DM162" s="8"/>
      <c r="DN162" s="8"/>
      <c r="DO162" s="8"/>
      <c r="DP162" s="8"/>
      <c r="DQ162" s="8"/>
      <c r="DR162" s="8"/>
      <c r="DS162" s="8"/>
      <c r="DT162" s="8"/>
      <c r="DU162" s="8"/>
      <c r="DV162" s="8"/>
      <c r="DW162" s="8"/>
      <c r="DX162" s="8"/>
      <c r="DY162" s="8"/>
      <c r="DZ162" s="8"/>
      <c r="EA162" s="8"/>
      <c r="EB162" s="8"/>
      <c r="EC162" s="8"/>
      <c r="ED162" s="8"/>
      <c r="EE162" s="8"/>
      <c r="EF162" s="8"/>
      <c r="EG162" s="8"/>
      <c r="EH162" s="8"/>
      <c r="EI162" s="8"/>
      <c r="EJ162" s="8"/>
      <c r="EK162" s="8"/>
      <c r="EL162" s="8"/>
      <c r="EM162" s="8"/>
      <c r="EN162" s="8"/>
      <c r="EO162" s="7">
        <f>COUNTIF(Analiza[Czy jesteś przedstawicielem firmy, w której są zatrudniani absolwenci uczelni wyższych (tytuł licencjata, magistra lub wyższy)?],"*"&amp;"Nie (przejście"&amp;"*")</f>
        <v>126</v>
      </c>
      <c r="EP162" s="8"/>
      <c r="EQ162" s="8"/>
      <c r="ER162" s="8"/>
      <c r="ES162" s="8"/>
      <c r="ET162" s="8"/>
      <c r="EU162" s="8"/>
      <c r="EV162" s="8"/>
      <c r="EW162" s="8"/>
      <c r="EX162" s="8"/>
      <c r="EY162" s="8"/>
      <c r="EZ162" s="8"/>
      <c r="FA162" s="8"/>
      <c r="FB162" s="8"/>
      <c r="FC162" s="8"/>
      <c r="FD162" s="8"/>
      <c r="FE162" s="8"/>
      <c r="FF162" s="8"/>
      <c r="FG162" s="8"/>
      <c r="FH162" s="8"/>
      <c r="FI162" s="8"/>
      <c r="FJ162" s="8"/>
      <c r="FK162" s="8"/>
      <c r="FL162" s="8"/>
      <c r="FM162" s="8"/>
      <c r="FN162" s="8"/>
      <c r="FO162" s="7">
        <f>COUNTIF(Analiza[Czy jesteś przedstawicielem władz samorządowych lub centralnych Rzeczypospolitej Polskiej?],"*"&amp;"Nie (przejście"&amp;"*")</f>
        <v>142</v>
      </c>
      <c r="FP162" s="7">
        <f>COUNTIF(Analiza[Proszę wskaż jaki poziom władzy samorządowej lub centralnej reprezentujesz.],"*"&amp;"Nie (przejście"&amp;"*")</f>
        <v>0</v>
      </c>
      <c r="FQ162" s="7">
        <f>COUNTIF(Analiza[Proszę o podanie nazwy organu władzy jaki reprezentujesz.],"*"&amp;"Nie (przejście"&amp;"*")</f>
        <v>0</v>
      </c>
      <c r="FR162" s="7">
        <f>COUNTIF(Analiza[Ile uczelni będziesz oceniać?26],"*"&amp;"Nie (przejście"&amp;"*")</f>
        <v>0</v>
      </c>
      <c r="FS162" s="7">
        <f>COUNTIF(Analiza[Jak się nazywa uczelnia, którą ocenisz?],"*"&amp;"Nie (przejście"&amp;"*")</f>
        <v>0</v>
      </c>
      <c r="FT162" s="7">
        <f>COUNTIF(Analiza[Efekty działań ocenianej uczelni na rzesz jakości edukacji są zgodne ze strategią rozwoju w regionie.],"*"&amp;"Nie (przejście"&amp;"*")</f>
        <v>0</v>
      </c>
      <c r="FU162" s="7">
        <f>COUNTIF(Analiza[Wartość wykształcenia zdobywanego przez studentów na ocenianej uczelni jest wysoka.27],"*"&amp;"Nie (przejście"&amp;"*")</f>
        <v>0</v>
      </c>
      <c r="FV162" s="7">
        <f>COUNTIF(Analiza[Zdobyte przez studentów ocenianej uczelni wykształcenie miało/ma pozytywny wpływ na ich zarobki.28],"*"&amp;"Nie (przejście"&amp;"*")</f>
        <v>0</v>
      </c>
      <c r="FW162" s="7">
        <f>COUNTIF(Analiza[Efekty działań ocenianej uczelni na rzecz jakości edukacji mają dobry wpływ na rozwój regionu.29],"*"&amp;"Nie (przejście"&amp;"*")</f>
        <v>0</v>
      </c>
      <c r="FX162" s="7">
        <f>COUNTIF(Analiza[Efekty działań ocenianej uczelni na rzecz jakości edukacji mają dobry wpływ na rozwój Polski.30],"*"&amp;"Nie (przejście"&amp;"*")</f>
        <v>0</v>
      </c>
      <c r="FY162" s="7">
        <f>COUNTIF(Analiza[Współpraca ocenianej uczelni z biznesem ma pozytywne efekty dla rozwoju regionu / kraju.31],"*"&amp;"Nie (przejście"&amp;"*")</f>
        <v>0</v>
      </c>
      <c r="FZ162" s="7">
        <f>COUNTIF(Analiza[Ogólny poziom mojej satysfakcji z jakości usług edukacyjnych ocenianej uczelni jest wysoki.32],"*"&amp;"Nie (przejście"&amp;"*")</f>
        <v>0</v>
      </c>
      <c r="GA162" s="7">
        <f>COUNTIF(Analiza[Pole dodatkowe33],"*"&amp;"Nie (przejście"&amp;"*")</f>
        <v>0</v>
      </c>
      <c r="GB162" s="7">
        <f>COUNTIF(Analiza[Jakie inne efekty pracy ocenianej uczelni technicznej dostrzegasz obecnie?],"*"&amp;"Nie (przejście"&amp;"*")</f>
        <v>0</v>
      </c>
      <c r="GC162" s="7">
        <f>COUNTIF(Analiza[Czy będziesz oceniać drugą uczelnię?],"*"&amp;"Nie (przejście"&amp;"*")</f>
        <v>2</v>
      </c>
      <c r="GD162" s="7">
        <f>COUNTIF(Analiza[Jak się nazywa uczelnia, którą ocenisz?34],"*"&amp;"Nie (przejście"&amp;"*")</f>
        <v>0</v>
      </c>
      <c r="GE162" s="7">
        <f>COUNTIF(Analiza[Efekty działań ocenianej uczelni na rzesz jakości edukacji są zgodne ze strategią rozwoju w regionie.35],"*"&amp;"Nie (przejście"&amp;"*")</f>
        <v>0</v>
      </c>
      <c r="GF162" s="7">
        <f>COUNTIF(Analiza[Wartość wykształcenia zdobywanego przez studentów na ocenianej uczelni jest wysoka.36],"*"&amp;"Nie (przejście"&amp;"*")</f>
        <v>0</v>
      </c>
      <c r="GG162" s="7">
        <f>COUNTIF(Analiza[Zdobyte przez studentów ocenianej uczelni wykształcenie miało/ma pozytywny wpływ na ich zarobki.37],"*"&amp;"Nie (przejście"&amp;"*")</f>
        <v>0</v>
      </c>
      <c r="GH162" s="7">
        <f>COUNTIF(Analiza[Efekty działań ocenianej uczelni na rzecz jakości edukacji mają dobry wpływ na rozwój regionu.38],"*"&amp;"Nie (przejście"&amp;"*")</f>
        <v>0</v>
      </c>
      <c r="GI162" s="7">
        <f>COUNTIF(Analiza[Efekty działań ocenianej uczelni na rzecz jakości edukacji mają dobry wpływ na rozwój Polski.39],"*"&amp;"Nie (przejście"&amp;"*")</f>
        <v>0</v>
      </c>
      <c r="GJ162" s="7">
        <f>COUNTIF(Analiza[Współpraca ocenianej uczelni z biznesem ma pozytywne efekty dla rozwoju regionu / kraju.40],"*"&amp;"Nie (przejście"&amp;"*")</f>
        <v>0</v>
      </c>
      <c r="GK162" s="7">
        <f>COUNTIF(Analiza[Ogólny poziom mojej satysfakcji z jakości usług edukacyjnych ocenianej uczelni jest wysoki.41],"*"&amp;"Nie (przejście"&amp;"*")</f>
        <v>0</v>
      </c>
      <c r="GL162" s="7">
        <f>COUNTIF(Analiza[Jakie inne efekty pracy ocenianej uczelni dostrzegasz obecnie?],"*"&amp;"Nie (przejście"&amp;"*")</f>
        <v>0</v>
      </c>
      <c r="GM162" s="7">
        <f>COUNTIF(Analiza[Czy będziesz oceniać trzecią uczelnię?],"*"&amp;"Nie (przejście"&amp;"*")</f>
        <v>0</v>
      </c>
      <c r="GN162" s="7">
        <f>COUNTIF(Analiza[Jak się nazywa uczelnia, którą ocenisz?42],"*"&amp;"Nie (przejście"&amp;"*")</f>
        <v>0</v>
      </c>
      <c r="GO162" s="7">
        <f>COUNTIF(Analiza[Efekty działań ocenianej uczelni na rzesz jakości edukacji są zgodne ze strategią rozwoju w regionie.43],"*"&amp;"Nie (przejście"&amp;"*")</f>
        <v>0</v>
      </c>
      <c r="GP162" s="7">
        <f>COUNTIF(Analiza[Wartość wykształcenia zdobywanego przez studentów na ocenianej uczelni jest wysoka.44],"*"&amp;"Nie (przejście"&amp;"*")</f>
        <v>0</v>
      </c>
      <c r="GQ162" s="7">
        <f>COUNTIF(Analiza[Zdobyte przez studentów ocenianej uczelni wykształcenie miało/ma pozytywny wpływ na ich zarobki.45],"*"&amp;"Nie (przejście"&amp;"*")</f>
        <v>0</v>
      </c>
      <c r="GR162" s="7">
        <f>COUNTIF(Analiza[Efekty działań ocenianej uczelni na rzecz jakości edukacji mają dobry wpływ na rozwój regionu.46],"*"&amp;"Nie (przejście"&amp;"*")</f>
        <v>0</v>
      </c>
      <c r="GS162" s="7">
        <f>COUNTIF(Analiza[Efekty działań ocenianej uczelni na rzecz jakości edukacji mają dobry wpływ na rozwój Polski.47],"*"&amp;"Nie (przejście"&amp;"*")</f>
        <v>0</v>
      </c>
      <c r="GT162" s="7">
        <f>COUNTIF(Analiza[Współpraca ocenianej uczelni z biznesem ma pozytywne efekty dla rozwoju regionu / kraju.48],"*"&amp;"Nie (przejście"&amp;"*")</f>
        <v>0</v>
      </c>
      <c r="GU162" s="7">
        <f>COUNTIF(Analiza[Ogólny poziom mojej satysfakcji z jakości usług edukacyjnych ocenianej uczelni jest wysoki.49],"*"&amp;"Nie (przejście"&amp;"*")</f>
        <v>0</v>
      </c>
      <c r="GV162" s="7">
        <f>COUNTIF(Analiza[Jakie inne efekty pracy ocenianej uczelni dostrzegasz obecnie?50],"*"&amp;"Nie (przejście"&amp;"*")</f>
        <v>0</v>
      </c>
      <c r="GW162" s="7">
        <f>COUNTIF(Analiza[Jakie, Twoim zdaniem, elementy decydują o tym, że uczelnie są lepsze lub gorsze.],"*"&amp;"Nie (przejście"&amp;"*")</f>
        <v>0</v>
      </c>
      <c r="GX162" s="7">
        <f>COUNTIF(Analiza[Kolumna51],"*"&amp;"Nie (przejście"&amp;"*")</f>
        <v>0</v>
      </c>
      <c r="GY162" s="7">
        <f>COUNTIF(Analiza[Kolumna52],"*"&amp;"Nie (przejście"&amp;"*")</f>
        <v>0</v>
      </c>
      <c r="GZ162" s="7">
        <f>COUNTIF(Analiza[Płeć],"*"&amp;"Kobieta"&amp;"*")</f>
        <v>67</v>
      </c>
      <c r="HA162" s="7">
        <f>COUNTIF(Analiza[Rok urodzenia],"*"&amp;"Nie (przejście"&amp;"*")</f>
        <v>0</v>
      </c>
      <c r="HB162" s="7">
        <f>COUNTIF(Analiza[Z jakiej wielkości miejscowości pochodzisz? (dotyczy miejscowości, w której się wychowałaś/eś],"*"&amp;"Nie (przejście"&amp;"*")</f>
        <v>0</v>
      </c>
    </row>
    <row r="163" spans="2:210" ht="14.65" thickTop="1" x14ac:dyDescent="0.45">
      <c r="B163" s="20" t="s">
        <v>2294</v>
      </c>
      <c r="O163" s="7">
        <f>COUNTBLANK(Analiza[Czy jesteś osobą pełnoletnią?])</f>
        <v>0</v>
      </c>
      <c r="P163" s="7">
        <f>COUNTBLANK(Analiza[Czy jesteś studentem uczelni wyższej?])</f>
        <v>0</v>
      </c>
      <c r="Q163" s="8"/>
      <c r="R163" s="8"/>
      <c r="S163" s="8"/>
      <c r="T163" s="8"/>
      <c r="U163" s="8"/>
      <c r="V163" s="8"/>
      <c r="W163" s="8"/>
      <c r="X163" s="8"/>
      <c r="Y163" s="8"/>
      <c r="Z163" s="8"/>
      <c r="AA163" s="8"/>
      <c r="AB163" s="8"/>
      <c r="AC163" s="8"/>
      <c r="AD163" s="8"/>
      <c r="AE163" s="8"/>
      <c r="AF163" s="7">
        <f>COUNTBLANK(Analiza[Czy jesteś absolwentem uczelni wyższej?])</f>
        <v>0</v>
      </c>
      <c r="AG163" s="8"/>
      <c r="AH163" s="8"/>
      <c r="AI163" s="8"/>
      <c r="AJ163" s="8"/>
      <c r="AK163" s="8"/>
      <c r="AL163" s="8"/>
      <c r="AM163" s="8"/>
      <c r="AN163" s="8"/>
      <c r="AO163" s="8"/>
      <c r="AP163" s="8"/>
      <c r="AQ163" s="8"/>
      <c r="AR163" s="8"/>
      <c r="AS163" s="8"/>
      <c r="AT163" s="8"/>
      <c r="AU163" s="8"/>
      <c r="AV163" s="8"/>
      <c r="AW163" s="8"/>
      <c r="AX163" s="7">
        <f>COUNTBLANK(Analiza[Czy jesteś rodzicem / opiekunem absolwenta uczelni wyższej?])</f>
        <v>3</v>
      </c>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7">
        <f>COUNTBLANK(Analiza[Czy jesteś aktualnie pracownikiem administracyjnym uczelni wyższej?])</f>
        <v>7</v>
      </c>
      <c r="CS163" s="8"/>
      <c r="CT163" s="8"/>
      <c r="CU163" s="8"/>
      <c r="CV163" s="8"/>
      <c r="CW163" s="8"/>
      <c r="CX163" s="8"/>
      <c r="CY163" s="8"/>
      <c r="CZ163" s="8"/>
      <c r="DA163" s="8"/>
      <c r="DB163" s="7">
        <f>COUNTBLANK(Analiza[Czy jesteś aktualnie pracownikiem naukowym lub dydaktycznym uczelni wyższej?])</f>
        <v>9</v>
      </c>
      <c r="DC163" s="8"/>
      <c r="DD163" s="8"/>
      <c r="DE163" s="8"/>
      <c r="DF163" s="8"/>
      <c r="DG163" s="8"/>
      <c r="DH163" s="8"/>
      <c r="DI163" s="8"/>
      <c r="DJ163" s="8"/>
      <c r="DK163" s="8"/>
      <c r="DL163" s="7">
        <f>COUNTBLANK(Analiza[Czy jesteś przedstawicielem władz uczelni z grupy rektorów, prorektorów, dziekanów, prodziekanów, członków senatu lub członków rady uczelni?])</f>
        <v>9</v>
      </c>
      <c r="DM163" s="8"/>
      <c r="DN163" s="8"/>
      <c r="DO163" s="8"/>
      <c r="DP163" s="8"/>
      <c r="DQ163" s="8"/>
      <c r="DR163" s="8"/>
      <c r="DS163" s="8"/>
      <c r="DT163" s="8"/>
      <c r="DU163" s="8"/>
      <c r="DV163" s="8"/>
      <c r="DW163" s="8"/>
      <c r="DX163" s="8"/>
      <c r="DY163" s="8"/>
      <c r="DZ163" s="8"/>
      <c r="EA163" s="8"/>
      <c r="EB163" s="8"/>
      <c r="EC163" s="8"/>
      <c r="ED163" s="8"/>
      <c r="EE163" s="8"/>
      <c r="EF163" s="8"/>
      <c r="EG163" s="8"/>
      <c r="EH163" s="8"/>
      <c r="EI163" s="8"/>
      <c r="EJ163" s="8"/>
      <c r="EK163" s="8"/>
      <c r="EL163" s="8"/>
      <c r="EM163" s="8"/>
      <c r="EN163" s="8"/>
      <c r="EO163" s="7">
        <f>COUNTBLANK(Analiza[Czy jesteś przedstawicielem firmy, w której są zatrudniani absolwenci uczelni wyższych (tytuł licencjata, magistra lub wyższy)?])</f>
        <v>10</v>
      </c>
      <c r="EP163" s="8"/>
      <c r="EQ163" s="8"/>
      <c r="ER163" s="8"/>
      <c r="ES163" s="8"/>
      <c r="ET163" s="8"/>
      <c r="EU163" s="8"/>
      <c r="EV163" s="8"/>
      <c r="EW163" s="8"/>
      <c r="EX163" s="8"/>
      <c r="EY163" s="8"/>
      <c r="EZ163" s="8"/>
      <c r="FA163" s="8"/>
      <c r="FB163" s="8"/>
      <c r="FC163" s="8"/>
      <c r="FD163" s="8"/>
      <c r="FE163" s="8"/>
      <c r="FF163" s="8"/>
      <c r="FG163" s="8"/>
      <c r="FH163" s="8"/>
      <c r="FI163" s="8"/>
      <c r="FJ163" s="8"/>
      <c r="FK163" s="8"/>
      <c r="FL163" s="8"/>
      <c r="FM163" s="8"/>
      <c r="FN163" s="8"/>
      <c r="FO163" s="7">
        <f>COUNTBLANK(Analiza[Czy jesteś przedstawicielem władz samorządowych lub centralnych Rzeczypospolitej Polskiej?])</f>
        <v>13</v>
      </c>
      <c r="FP163" s="7">
        <f>COUNTBLANK(Analiza[Proszę wskaż jaki poziom władzy samorządowej lub centralnej reprezentujesz.])</f>
        <v>86</v>
      </c>
      <c r="FQ163" s="7">
        <f>COUNTBLANK(Analiza[Proszę o podanie nazwy organu władzy jaki reprezentujesz.])</f>
        <v>155</v>
      </c>
      <c r="FR163" s="7">
        <f>COUNTBLANK(Analiza[Ile uczelni będziesz oceniać?26])</f>
        <v>119</v>
      </c>
      <c r="FS163" s="7">
        <f>COUNTBLANK(Analiza[Jak się nazywa uczelnia, którą ocenisz?])</f>
        <v>155</v>
      </c>
      <c r="FT163" s="7">
        <f>COUNTBLANK(Analiza[Efekty działań ocenianej uczelni na rzesz jakości edukacji są zgodne ze strategią rozwoju w regionie.])</f>
        <v>155</v>
      </c>
      <c r="FU163" s="7">
        <f>COUNTBLANK(Analiza[Wartość wykształcenia zdobywanego przez studentów na ocenianej uczelni jest wysoka.27])</f>
        <v>155</v>
      </c>
      <c r="FV163" s="7">
        <f>COUNTBLANK(Analiza[Zdobyte przez studentów ocenianej uczelni wykształcenie miało/ma pozytywny wpływ na ich zarobki.28])</f>
        <v>155</v>
      </c>
      <c r="FW163" s="7">
        <f>COUNTBLANK(Analiza[Efekty działań ocenianej uczelni na rzecz jakości edukacji mają dobry wpływ na rozwój regionu.29])</f>
        <v>155</v>
      </c>
      <c r="FX163" s="7">
        <f>COUNTBLANK(Analiza[Efekty działań ocenianej uczelni na rzecz jakości edukacji mają dobry wpływ na rozwój Polski.30])</f>
        <v>155</v>
      </c>
      <c r="FY163" s="7">
        <f>COUNTBLANK(Analiza[Współpraca ocenianej uczelni z biznesem ma pozytywne efekty dla rozwoju regionu / kraju.31])</f>
        <v>155</v>
      </c>
      <c r="FZ163" s="7">
        <f>COUNTBLANK(Analiza[Ogólny poziom mojej satysfakcji z jakości usług edukacyjnych ocenianej uczelni jest wysoki.32])</f>
        <v>155</v>
      </c>
      <c r="GA163" s="7">
        <f>COUNTBLANK(Analiza[Pole dodatkowe33])</f>
        <v>157</v>
      </c>
      <c r="GB163" s="7">
        <f>COUNTBLANK(Analiza[Jakie inne efekty pracy ocenianej uczelni technicznej dostrzegasz obecnie?])</f>
        <v>156</v>
      </c>
      <c r="GC163" s="7">
        <f>COUNTBLANK(Analiza[Czy będziesz oceniać drugą uczelnię?])</f>
        <v>155</v>
      </c>
      <c r="GD163" s="7">
        <f>COUNTBLANK(Analiza[Jak się nazywa uczelnia, którą ocenisz?34])</f>
        <v>157</v>
      </c>
      <c r="GE163" s="7">
        <f>COUNTBLANK(Analiza[Efekty działań ocenianej uczelni na rzesz jakości edukacji są zgodne ze strategią rozwoju w regionie.35])</f>
        <v>157</v>
      </c>
      <c r="GF163" s="7">
        <f>COUNTBLANK(Analiza[Wartość wykształcenia zdobywanego przez studentów na ocenianej uczelni jest wysoka.36])</f>
        <v>157</v>
      </c>
      <c r="GG163" s="7">
        <f>COUNTBLANK(Analiza[Zdobyte przez studentów ocenianej uczelni wykształcenie miało/ma pozytywny wpływ na ich zarobki.37])</f>
        <v>157</v>
      </c>
      <c r="GH163" s="7">
        <f>COUNTBLANK(Analiza[Efekty działań ocenianej uczelni na rzecz jakości edukacji mają dobry wpływ na rozwój regionu.38])</f>
        <v>157</v>
      </c>
      <c r="GI163" s="7">
        <f>COUNTBLANK(Analiza[Efekty działań ocenianej uczelni na rzecz jakości edukacji mają dobry wpływ na rozwój Polski.39])</f>
        <v>157</v>
      </c>
      <c r="GJ163" s="7">
        <f>COUNTBLANK(Analiza[Współpraca ocenianej uczelni z biznesem ma pozytywne efekty dla rozwoju regionu / kraju.40])</f>
        <v>157</v>
      </c>
      <c r="GK163" s="7">
        <f>COUNTBLANK(Analiza[Ogólny poziom mojej satysfakcji z jakości usług edukacyjnych ocenianej uczelni jest wysoki.41])</f>
        <v>157</v>
      </c>
      <c r="GL163" s="7">
        <f>COUNTBLANK(Analiza[Jakie inne efekty pracy ocenianej uczelni dostrzegasz obecnie?])</f>
        <v>157</v>
      </c>
      <c r="GM163" s="7">
        <f>COUNTBLANK(Analiza[Czy będziesz oceniać trzecią uczelnię?])</f>
        <v>157</v>
      </c>
      <c r="GN163" s="7">
        <f>COUNTBLANK(Analiza[Jak się nazywa uczelnia, którą ocenisz?42])</f>
        <v>157</v>
      </c>
      <c r="GO163" s="7">
        <f>COUNTBLANK(Analiza[Efekty działań ocenianej uczelni na rzesz jakości edukacji są zgodne ze strategią rozwoju w regionie.43])</f>
        <v>157</v>
      </c>
      <c r="GP163" s="7">
        <f>COUNTBLANK(Analiza[Wartość wykształcenia zdobywanego przez studentów na ocenianej uczelni jest wysoka.44])</f>
        <v>157</v>
      </c>
      <c r="GQ163" s="7">
        <f>COUNTBLANK(Analiza[Zdobyte przez studentów ocenianej uczelni wykształcenie miało/ma pozytywny wpływ na ich zarobki.45])</f>
        <v>157</v>
      </c>
      <c r="GR163" s="7">
        <f>COUNTBLANK(Analiza[Efekty działań ocenianej uczelni na rzecz jakości edukacji mają dobry wpływ na rozwój regionu.46])</f>
        <v>157</v>
      </c>
      <c r="GS163" s="7">
        <f>COUNTBLANK(Analiza[Efekty działań ocenianej uczelni na rzecz jakości edukacji mają dobry wpływ na rozwój Polski.47])</f>
        <v>157</v>
      </c>
      <c r="GT163" s="7">
        <f>COUNTBLANK(Analiza[Współpraca ocenianej uczelni z biznesem ma pozytywne efekty dla rozwoju regionu / kraju.48])</f>
        <v>157</v>
      </c>
      <c r="GU163" s="7">
        <f>COUNTBLANK(Analiza[Ogólny poziom mojej satysfakcji z jakości usług edukacyjnych ocenianej uczelni jest wysoki.49])</f>
        <v>157</v>
      </c>
      <c r="GV163" s="7">
        <f>COUNTBLANK(Analiza[Jakie inne efekty pracy ocenianej uczelni dostrzegasz obecnie?50])</f>
        <v>157</v>
      </c>
      <c r="GW163" s="7">
        <f>COUNTBLANK(Analiza[Jakie, Twoim zdaniem, elementy decydują o tym, że uczelnie są lepsze lub gorsze.])</f>
        <v>23</v>
      </c>
      <c r="GX163" s="7">
        <f>COUNTBLANK(Analiza[Kolumna51])</f>
        <v>23</v>
      </c>
      <c r="GY163" s="7">
        <f>COUNTBLANK(Analiza[Kolumna52])</f>
        <v>23</v>
      </c>
      <c r="GZ163" s="7">
        <f>COUNTBLANK(Analiza[Płeć])</f>
        <v>22</v>
      </c>
      <c r="HA163" s="7">
        <f>COUNTBLANK(Analiza[Rok urodzenia])</f>
        <v>22</v>
      </c>
      <c r="HB163" s="7">
        <f>COUNTBLANK(Analiza[Z jakiej wielkości miejscowości pochodzisz? (dotyczy miejscowości, w której się wychowałaś/eś])</f>
        <v>22</v>
      </c>
    </row>
    <row r="164" spans="2:210" ht="14.65" thickBot="1" x14ac:dyDescent="0.5">
      <c r="O164">
        <f>SUM(O161:O163)</f>
        <v>157</v>
      </c>
      <c r="P164">
        <f t="shared" ref="P164:CA164" si="8">SUM(P161:P163)</f>
        <v>157</v>
      </c>
      <c r="Q164">
        <f t="shared" si="8"/>
        <v>0</v>
      </c>
      <c r="R164">
        <f t="shared" si="8"/>
        <v>0</v>
      </c>
      <c r="S164">
        <f t="shared" si="8"/>
        <v>0</v>
      </c>
      <c r="T164">
        <f t="shared" si="8"/>
        <v>0</v>
      </c>
      <c r="U164">
        <f t="shared" si="8"/>
        <v>0</v>
      </c>
      <c r="V164">
        <f t="shared" si="8"/>
        <v>0</v>
      </c>
      <c r="W164">
        <f t="shared" si="8"/>
        <v>0</v>
      </c>
      <c r="X164">
        <f t="shared" si="8"/>
        <v>0</v>
      </c>
      <c r="Y164">
        <f t="shared" si="8"/>
        <v>0</v>
      </c>
      <c r="Z164">
        <f t="shared" si="8"/>
        <v>0</v>
      </c>
      <c r="AA164">
        <f t="shared" si="8"/>
        <v>0</v>
      </c>
      <c r="AB164">
        <f t="shared" si="8"/>
        <v>0</v>
      </c>
      <c r="AC164">
        <f t="shared" si="8"/>
        <v>0</v>
      </c>
      <c r="AD164">
        <f t="shared" si="8"/>
        <v>0</v>
      </c>
      <c r="AE164">
        <f t="shared" si="8"/>
        <v>0</v>
      </c>
      <c r="AF164">
        <f t="shared" si="8"/>
        <v>157</v>
      </c>
      <c r="AG164">
        <f t="shared" si="8"/>
        <v>0</v>
      </c>
      <c r="AH164">
        <f t="shared" si="8"/>
        <v>0</v>
      </c>
      <c r="AI164">
        <f t="shared" si="8"/>
        <v>0</v>
      </c>
      <c r="AJ164">
        <f t="shared" si="8"/>
        <v>0</v>
      </c>
      <c r="AK164">
        <f t="shared" si="8"/>
        <v>0</v>
      </c>
      <c r="AL164">
        <f t="shared" si="8"/>
        <v>0</v>
      </c>
      <c r="AM164">
        <f t="shared" si="8"/>
        <v>0</v>
      </c>
      <c r="AN164">
        <f t="shared" si="8"/>
        <v>0</v>
      </c>
      <c r="AO164">
        <f t="shared" si="8"/>
        <v>0</v>
      </c>
      <c r="AP164">
        <f t="shared" si="8"/>
        <v>0</v>
      </c>
      <c r="AQ164">
        <f t="shared" si="8"/>
        <v>0</v>
      </c>
      <c r="AR164">
        <f t="shared" si="8"/>
        <v>0</v>
      </c>
      <c r="AS164">
        <f t="shared" si="8"/>
        <v>0</v>
      </c>
      <c r="AT164">
        <f t="shared" si="8"/>
        <v>0</v>
      </c>
      <c r="AU164">
        <f t="shared" si="8"/>
        <v>0</v>
      </c>
      <c r="AV164">
        <f t="shared" si="8"/>
        <v>0</v>
      </c>
      <c r="AW164">
        <f t="shared" si="8"/>
        <v>0</v>
      </c>
      <c r="AX164">
        <f t="shared" si="8"/>
        <v>157</v>
      </c>
      <c r="AY164">
        <f t="shared" si="8"/>
        <v>0</v>
      </c>
      <c r="AZ164">
        <f t="shared" si="8"/>
        <v>0</v>
      </c>
      <c r="BA164">
        <f t="shared" si="8"/>
        <v>0</v>
      </c>
      <c r="BB164">
        <f t="shared" si="8"/>
        <v>0</v>
      </c>
      <c r="BC164">
        <f t="shared" si="8"/>
        <v>0</v>
      </c>
      <c r="BD164">
        <f t="shared" si="8"/>
        <v>0</v>
      </c>
      <c r="BE164">
        <f t="shared" si="8"/>
        <v>0</v>
      </c>
      <c r="BF164">
        <f t="shared" si="8"/>
        <v>0</v>
      </c>
      <c r="BG164">
        <f t="shared" si="8"/>
        <v>0</v>
      </c>
      <c r="BH164">
        <f t="shared" si="8"/>
        <v>0</v>
      </c>
      <c r="BI164">
        <f t="shared" si="8"/>
        <v>0</v>
      </c>
      <c r="BJ164">
        <f t="shared" si="8"/>
        <v>0</v>
      </c>
      <c r="BK164">
        <f t="shared" si="8"/>
        <v>0</v>
      </c>
      <c r="BL164">
        <f t="shared" si="8"/>
        <v>0</v>
      </c>
      <c r="BM164">
        <f t="shared" si="8"/>
        <v>0</v>
      </c>
      <c r="BN164">
        <f t="shared" si="8"/>
        <v>0</v>
      </c>
      <c r="BO164">
        <f t="shared" si="8"/>
        <v>0</v>
      </c>
      <c r="BP164">
        <f t="shared" si="8"/>
        <v>0</v>
      </c>
      <c r="BQ164">
        <f t="shared" si="8"/>
        <v>0</v>
      </c>
      <c r="BR164">
        <f t="shared" si="8"/>
        <v>0</v>
      </c>
      <c r="BS164">
        <f t="shared" si="8"/>
        <v>0</v>
      </c>
      <c r="BT164">
        <f t="shared" si="8"/>
        <v>0</v>
      </c>
      <c r="BU164">
        <f t="shared" si="8"/>
        <v>0</v>
      </c>
      <c r="BV164">
        <f t="shared" si="8"/>
        <v>0</v>
      </c>
      <c r="BW164">
        <f t="shared" si="8"/>
        <v>0</v>
      </c>
      <c r="BX164">
        <f t="shared" si="8"/>
        <v>0</v>
      </c>
      <c r="BY164">
        <f t="shared" si="8"/>
        <v>0</v>
      </c>
      <c r="BZ164">
        <f t="shared" si="8"/>
        <v>0</v>
      </c>
      <c r="CA164">
        <f t="shared" si="8"/>
        <v>0</v>
      </c>
      <c r="CB164">
        <f t="shared" ref="CB164:DL164" si="9">SUM(CB161:CB163)</f>
        <v>0</v>
      </c>
      <c r="CC164">
        <f t="shared" si="9"/>
        <v>0</v>
      </c>
      <c r="CD164">
        <f t="shared" si="9"/>
        <v>0</v>
      </c>
      <c r="CE164">
        <f t="shared" si="9"/>
        <v>0</v>
      </c>
      <c r="CF164">
        <f t="shared" si="9"/>
        <v>0</v>
      </c>
      <c r="CG164">
        <f t="shared" si="9"/>
        <v>0</v>
      </c>
      <c r="CH164">
        <f t="shared" si="9"/>
        <v>0</v>
      </c>
      <c r="CI164">
        <f t="shared" si="9"/>
        <v>0</v>
      </c>
      <c r="CJ164">
        <f t="shared" si="9"/>
        <v>0</v>
      </c>
      <c r="CK164">
        <f t="shared" si="9"/>
        <v>0</v>
      </c>
      <c r="CL164">
        <f t="shared" si="9"/>
        <v>0</v>
      </c>
      <c r="CM164">
        <f t="shared" si="9"/>
        <v>0</v>
      </c>
      <c r="CN164">
        <f t="shared" si="9"/>
        <v>0</v>
      </c>
      <c r="CO164">
        <f t="shared" si="9"/>
        <v>0</v>
      </c>
      <c r="CP164">
        <f t="shared" si="9"/>
        <v>0</v>
      </c>
      <c r="CQ164">
        <f t="shared" si="9"/>
        <v>0</v>
      </c>
      <c r="CR164">
        <f t="shared" si="9"/>
        <v>157</v>
      </c>
      <c r="CS164">
        <f t="shared" si="9"/>
        <v>0</v>
      </c>
      <c r="CT164">
        <f t="shared" si="9"/>
        <v>0</v>
      </c>
      <c r="CU164">
        <f t="shared" si="9"/>
        <v>0</v>
      </c>
      <c r="CV164">
        <f t="shared" si="9"/>
        <v>0</v>
      </c>
      <c r="CW164">
        <f t="shared" si="9"/>
        <v>0</v>
      </c>
      <c r="CX164">
        <f t="shared" si="9"/>
        <v>0</v>
      </c>
      <c r="CY164">
        <f t="shared" si="9"/>
        <v>0</v>
      </c>
      <c r="CZ164">
        <f t="shared" si="9"/>
        <v>0</v>
      </c>
      <c r="DA164">
        <f t="shared" si="9"/>
        <v>0</v>
      </c>
      <c r="DB164">
        <f t="shared" si="9"/>
        <v>157</v>
      </c>
      <c r="DC164">
        <f t="shared" si="9"/>
        <v>0</v>
      </c>
      <c r="DD164">
        <f t="shared" si="9"/>
        <v>0</v>
      </c>
      <c r="DE164">
        <f t="shared" si="9"/>
        <v>0</v>
      </c>
      <c r="DF164">
        <f t="shared" si="9"/>
        <v>0</v>
      </c>
      <c r="DG164">
        <f t="shared" si="9"/>
        <v>0</v>
      </c>
      <c r="DH164">
        <f t="shared" si="9"/>
        <v>0</v>
      </c>
      <c r="DI164">
        <f t="shared" si="9"/>
        <v>0</v>
      </c>
      <c r="DJ164">
        <f t="shared" si="9"/>
        <v>0</v>
      </c>
      <c r="DK164">
        <f t="shared" si="9"/>
        <v>0</v>
      </c>
      <c r="DL164">
        <f t="shared" si="9"/>
        <v>157</v>
      </c>
      <c r="DM164">
        <f>SUM(DM161:DM163)</f>
        <v>0</v>
      </c>
      <c r="DN164">
        <f t="shared" ref="DN164:FO164" si="10">SUM(DN161:DN163)</f>
        <v>0</v>
      </c>
      <c r="DO164">
        <f t="shared" si="10"/>
        <v>0</v>
      </c>
      <c r="DP164">
        <f t="shared" si="10"/>
        <v>0</v>
      </c>
      <c r="DQ164">
        <f t="shared" si="10"/>
        <v>0</v>
      </c>
      <c r="DR164">
        <f t="shared" si="10"/>
        <v>0</v>
      </c>
      <c r="DS164">
        <f t="shared" si="10"/>
        <v>0</v>
      </c>
      <c r="DT164">
        <f t="shared" si="10"/>
        <v>0</v>
      </c>
      <c r="DU164">
        <f t="shared" si="10"/>
        <v>0</v>
      </c>
      <c r="DV164">
        <f t="shared" si="10"/>
        <v>0</v>
      </c>
      <c r="DW164">
        <f t="shared" si="10"/>
        <v>0</v>
      </c>
      <c r="DX164">
        <f t="shared" si="10"/>
        <v>0</v>
      </c>
      <c r="DY164">
        <f t="shared" si="10"/>
        <v>0</v>
      </c>
      <c r="DZ164">
        <f t="shared" si="10"/>
        <v>0</v>
      </c>
      <c r="EA164">
        <f t="shared" si="10"/>
        <v>0</v>
      </c>
      <c r="EB164">
        <f t="shared" si="10"/>
        <v>0</v>
      </c>
      <c r="EC164">
        <f t="shared" si="10"/>
        <v>0</v>
      </c>
      <c r="ED164">
        <f t="shared" si="10"/>
        <v>0</v>
      </c>
      <c r="EE164">
        <f t="shared" si="10"/>
        <v>0</v>
      </c>
      <c r="EF164">
        <f t="shared" si="10"/>
        <v>0</v>
      </c>
      <c r="EG164">
        <f t="shared" si="10"/>
        <v>0</v>
      </c>
      <c r="EH164">
        <f t="shared" si="10"/>
        <v>0</v>
      </c>
      <c r="EI164">
        <f t="shared" si="10"/>
        <v>0</v>
      </c>
      <c r="EJ164">
        <f t="shared" si="10"/>
        <v>0</v>
      </c>
      <c r="EK164">
        <f t="shared" si="10"/>
        <v>0</v>
      </c>
      <c r="EL164">
        <f t="shared" si="10"/>
        <v>0</v>
      </c>
      <c r="EM164">
        <f t="shared" si="10"/>
        <v>0</v>
      </c>
      <c r="EN164">
        <f t="shared" si="10"/>
        <v>0</v>
      </c>
      <c r="EO164">
        <f t="shared" si="10"/>
        <v>157</v>
      </c>
      <c r="EP164">
        <f t="shared" si="10"/>
        <v>0</v>
      </c>
      <c r="EQ164">
        <f t="shared" si="10"/>
        <v>0</v>
      </c>
      <c r="ER164">
        <f t="shared" si="10"/>
        <v>0</v>
      </c>
      <c r="ES164">
        <f t="shared" si="10"/>
        <v>0</v>
      </c>
      <c r="ET164">
        <f t="shared" si="10"/>
        <v>0</v>
      </c>
      <c r="EU164">
        <f t="shared" si="10"/>
        <v>0</v>
      </c>
      <c r="EV164">
        <f t="shared" si="10"/>
        <v>0</v>
      </c>
      <c r="EW164">
        <f t="shared" si="10"/>
        <v>0</v>
      </c>
      <c r="EX164">
        <f t="shared" si="10"/>
        <v>0</v>
      </c>
      <c r="EY164">
        <f t="shared" si="10"/>
        <v>0</v>
      </c>
      <c r="EZ164">
        <f t="shared" si="10"/>
        <v>0</v>
      </c>
      <c r="FA164">
        <f t="shared" si="10"/>
        <v>0</v>
      </c>
      <c r="FB164">
        <f t="shared" si="10"/>
        <v>0</v>
      </c>
      <c r="FC164">
        <f t="shared" si="10"/>
        <v>0</v>
      </c>
      <c r="FD164">
        <f t="shared" si="10"/>
        <v>0</v>
      </c>
      <c r="FE164">
        <f t="shared" si="10"/>
        <v>0</v>
      </c>
      <c r="FF164">
        <f t="shared" si="10"/>
        <v>0</v>
      </c>
      <c r="FG164">
        <f t="shared" si="10"/>
        <v>0</v>
      </c>
      <c r="FH164">
        <f t="shared" si="10"/>
        <v>0</v>
      </c>
      <c r="FI164">
        <f t="shared" si="10"/>
        <v>0</v>
      </c>
      <c r="FJ164">
        <f t="shared" si="10"/>
        <v>0</v>
      </c>
      <c r="FK164">
        <f t="shared" si="10"/>
        <v>0</v>
      </c>
      <c r="FL164">
        <f t="shared" si="10"/>
        <v>0</v>
      </c>
      <c r="FM164">
        <f t="shared" si="10"/>
        <v>0</v>
      </c>
      <c r="FN164">
        <f t="shared" si="10"/>
        <v>0</v>
      </c>
      <c r="FO164">
        <f t="shared" si="10"/>
        <v>157</v>
      </c>
      <c r="FP164">
        <f t="shared" ref="FP164:GZ164" si="11">SUM(FP161:FP163)</f>
        <v>86</v>
      </c>
      <c r="FQ164">
        <f t="shared" si="11"/>
        <v>155</v>
      </c>
      <c r="FR164">
        <f t="shared" si="11"/>
        <v>119</v>
      </c>
      <c r="FS164">
        <f t="shared" si="11"/>
        <v>155</v>
      </c>
      <c r="FT164">
        <f t="shared" si="11"/>
        <v>155</v>
      </c>
      <c r="FU164">
        <f t="shared" si="11"/>
        <v>155</v>
      </c>
      <c r="FV164">
        <f t="shared" si="11"/>
        <v>155</v>
      </c>
      <c r="FW164">
        <f t="shared" si="11"/>
        <v>155</v>
      </c>
      <c r="FX164">
        <f t="shared" si="11"/>
        <v>155</v>
      </c>
      <c r="FY164">
        <f t="shared" si="11"/>
        <v>155</v>
      </c>
      <c r="FZ164">
        <f t="shared" si="11"/>
        <v>155</v>
      </c>
      <c r="GA164">
        <f t="shared" si="11"/>
        <v>157</v>
      </c>
      <c r="GB164">
        <f t="shared" si="11"/>
        <v>156</v>
      </c>
      <c r="GC164">
        <f t="shared" si="11"/>
        <v>157</v>
      </c>
      <c r="GD164">
        <f t="shared" si="11"/>
        <v>157</v>
      </c>
      <c r="GE164">
        <f t="shared" si="11"/>
        <v>157</v>
      </c>
      <c r="GF164">
        <f t="shared" si="11"/>
        <v>157</v>
      </c>
      <c r="GG164">
        <f t="shared" si="11"/>
        <v>157</v>
      </c>
      <c r="GH164">
        <f t="shared" si="11"/>
        <v>157</v>
      </c>
      <c r="GI164">
        <f t="shared" si="11"/>
        <v>157</v>
      </c>
      <c r="GJ164">
        <f t="shared" si="11"/>
        <v>157</v>
      </c>
      <c r="GK164">
        <f t="shared" si="11"/>
        <v>157</v>
      </c>
      <c r="GL164">
        <f t="shared" si="11"/>
        <v>157</v>
      </c>
      <c r="GM164">
        <f t="shared" si="11"/>
        <v>157</v>
      </c>
      <c r="GN164">
        <f t="shared" si="11"/>
        <v>157</v>
      </c>
      <c r="GO164">
        <f t="shared" si="11"/>
        <v>157</v>
      </c>
      <c r="GP164">
        <f t="shared" si="11"/>
        <v>157</v>
      </c>
      <c r="GQ164">
        <f t="shared" si="11"/>
        <v>157</v>
      </c>
      <c r="GR164">
        <f t="shared" si="11"/>
        <v>157</v>
      </c>
      <c r="GS164">
        <f t="shared" si="11"/>
        <v>157</v>
      </c>
      <c r="GT164">
        <f t="shared" si="11"/>
        <v>157</v>
      </c>
      <c r="GU164">
        <f t="shared" si="11"/>
        <v>157</v>
      </c>
      <c r="GV164">
        <f t="shared" si="11"/>
        <v>157</v>
      </c>
      <c r="GW164">
        <f t="shared" si="11"/>
        <v>28</v>
      </c>
      <c r="GX164">
        <f t="shared" si="11"/>
        <v>33</v>
      </c>
      <c r="GY164">
        <f t="shared" si="11"/>
        <v>26</v>
      </c>
      <c r="GZ164">
        <f t="shared" si="11"/>
        <v>157</v>
      </c>
      <c r="HA164">
        <f>SUM(HA160,HA163)</f>
        <v>157</v>
      </c>
      <c r="HB164">
        <f>SUM(HB160,HB163)</f>
        <v>157</v>
      </c>
    </row>
    <row r="165" spans="2:210" ht="14.65" thickTop="1" x14ac:dyDescent="0.45">
      <c r="P165" s="7"/>
    </row>
    <row r="173" spans="2:210" x14ac:dyDescent="0.45">
      <c r="P173" t="s">
        <v>2342</v>
      </c>
    </row>
    <row r="174" spans="2:210" x14ac:dyDescent="0.45">
      <c r="P174" t="s">
        <v>2343</v>
      </c>
    </row>
    <row r="175" spans="2:210" x14ac:dyDescent="0.45">
      <c r="P175" t="s">
        <v>2340</v>
      </c>
    </row>
    <row r="176" spans="2:210" x14ac:dyDescent="0.45">
      <c r="P176" t="s">
        <v>2344</v>
      </c>
    </row>
    <row r="177" spans="16:16" x14ac:dyDescent="0.45">
      <c r="P177" t="s">
        <v>2345</v>
      </c>
    </row>
    <row r="178" spans="16:16" x14ac:dyDescent="0.45">
      <c r="P178" t="s">
        <v>2340</v>
      </c>
    </row>
  </sheetData>
  <sheetProtection formatCells="0" formatColumns="0" formatRows="0" insertColumns="0" insertRows="0" insertHyperlinks="0" deleteColumns="0" deleteRows="0" sort="0" autoFilter="0" pivotTables="0"/>
  <conditionalFormatting sqref="L2:L159">
    <cfRule type="duplicateValues" dxfId="109" priority="103"/>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E279"/>
  <sheetViews>
    <sheetView topLeftCell="B229" workbookViewId="0">
      <selection activeCell="N274" sqref="N274:O279"/>
    </sheetView>
  </sheetViews>
  <sheetFormatPr defaultColWidth="8.1328125" defaultRowHeight="14.25" outlineLevelCol="1" x14ac:dyDescent="0.45"/>
  <cols>
    <col min="3" max="3" width="13" hidden="1" customWidth="1" outlineLevel="1"/>
    <col min="4" max="8" width="8.1328125" hidden="1" customWidth="1" outlineLevel="1"/>
    <col min="9" max="9" width="8.1328125" collapsed="1"/>
    <col min="10" max="11" width="5.9296875" customWidth="1"/>
    <col min="12" max="13" width="8.1328125" customWidth="1" outlineLevel="1"/>
    <col min="15" max="15" width="11.796875" customWidth="1"/>
    <col min="16" max="30" width="8.1328125" hidden="1" customWidth="1" outlineLevel="1"/>
    <col min="31" max="31" width="11.796875" customWidth="1" collapsed="1"/>
    <col min="32" max="48" width="0" hidden="1" customWidth="1" outlineLevel="1"/>
    <col min="49" max="49" width="11.796875" customWidth="1" collapsed="1"/>
    <col min="50" max="94" width="0" hidden="1" customWidth="1" outlineLevel="1"/>
    <col min="95" max="95" width="11.796875" customWidth="1" collapsed="1"/>
    <col min="96" max="104" width="0" hidden="1" customWidth="1" outlineLevel="1"/>
    <col min="105" max="105" width="11.796875" customWidth="1" collapsed="1"/>
    <col min="106" max="114" width="0" hidden="1" customWidth="1" outlineLevel="1"/>
    <col min="115" max="115" width="11.796875" customWidth="1" collapsed="1"/>
    <col min="116" max="143" width="0" hidden="1" customWidth="1" outlineLevel="1"/>
    <col min="144" max="144" width="11.796875" customWidth="1" collapsed="1"/>
    <col min="145" max="169" width="0" hidden="1" customWidth="1" outlineLevel="1"/>
    <col min="170" max="170" width="11.796875" customWidth="1" collapsed="1"/>
    <col min="171" max="206" width="0" hidden="1" customWidth="1" outlineLevel="1"/>
    <col min="207" max="207" width="8.1328125" collapsed="1"/>
  </cols>
  <sheetData>
    <row r="1" spans="1:213" ht="57.75" customHeight="1" x14ac:dyDescent="0.45">
      <c r="A1" t="s">
        <v>0</v>
      </c>
      <c r="C1" t="s">
        <v>1</v>
      </c>
      <c r="D1" t="s">
        <v>2</v>
      </c>
      <c r="E1" t="s">
        <v>3</v>
      </c>
      <c r="F1" t="s">
        <v>4</v>
      </c>
      <c r="G1" t="s">
        <v>5</v>
      </c>
      <c r="H1" t="s">
        <v>6</v>
      </c>
      <c r="I1" t="s">
        <v>7</v>
      </c>
      <c r="J1" t="s">
        <v>8</v>
      </c>
      <c r="K1" t="s">
        <v>9</v>
      </c>
      <c r="L1" t="s">
        <v>10</v>
      </c>
      <c r="M1" t="s">
        <v>11</v>
      </c>
      <c r="N1" t="s">
        <v>12</v>
      </c>
      <c r="O1" s="3" t="s">
        <v>13</v>
      </c>
      <c r="P1" t="s">
        <v>14</v>
      </c>
      <c r="Q1" t="s">
        <v>15</v>
      </c>
      <c r="R1" t="s">
        <v>16</v>
      </c>
      <c r="S1" t="s">
        <v>17</v>
      </c>
      <c r="V1" t="s">
        <v>18</v>
      </c>
      <c r="W1" t="s">
        <v>19</v>
      </c>
      <c r="Y1" t="s">
        <v>20</v>
      </c>
      <c r="Z1" t="s">
        <v>21</v>
      </c>
      <c r="AB1" t="s">
        <v>22</v>
      </c>
      <c r="AD1" t="s">
        <v>23</v>
      </c>
      <c r="AE1" s="3" t="s">
        <v>24</v>
      </c>
      <c r="AF1" t="s">
        <v>25</v>
      </c>
      <c r="AG1" t="s">
        <v>26</v>
      </c>
      <c r="AH1" t="s">
        <v>27</v>
      </c>
      <c r="AI1" t="s">
        <v>28</v>
      </c>
      <c r="AJ1" t="s">
        <v>17</v>
      </c>
      <c r="AO1" t="s">
        <v>29</v>
      </c>
      <c r="AP1" t="s">
        <v>30</v>
      </c>
      <c r="AR1" t="s">
        <v>31</v>
      </c>
      <c r="AS1" t="s">
        <v>32</v>
      </c>
      <c r="AU1" t="s">
        <v>33</v>
      </c>
      <c r="AW1" s="3" t="s">
        <v>34</v>
      </c>
      <c r="AX1" t="s">
        <v>35</v>
      </c>
      <c r="AY1" t="s">
        <v>36</v>
      </c>
      <c r="AZ1" t="s">
        <v>37</v>
      </c>
      <c r="BA1" t="s">
        <v>38</v>
      </c>
      <c r="BB1" t="s">
        <v>39</v>
      </c>
      <c r="BC1" t="s">
        <v>17</v>
      </c>
      <c r="BH1" t="s">
        <v>40</v>
      </c>
      <c r="BI1" t="s">
        <v>41</v>
      </c>
      <c r="BJ1" t="s">
        <v>42</v>
      </c>
      <c r="BL1" t="s">
        <v>43</v>
      </c>
      <c r="BM1" t="s">
        <v>44</v>
      </c>
      <c r="BN1" t="s">
        <v>36</v>
      </c>
      <c r="BO1" t="s">
        <v>37</v>
      </c>
      <c r="BP1" t="s">
        <v>38</v>
      </c>
      <c r="BQ1" t="s">
        <v>39</v>
      </c>
      <c r="BR1" t="s">
        <v>17</v>
      </c>
      <c r="BW1" t="s">
        <v>40</v>
      </c>
      <c r="BX1" t="s">
        <v>41</v>
      </c>
      <c r="BY1" t="s">
        <v>42</v>
      </c>
      <c r="CA1" t="s">
        <v>43</v>
      </c>
      <c r="CB1" t="s">
        <v>45</v>
      </c>
      <c r="CC1" t="s">
        <v>36</v>
      </c>
      <c r="CD1" t="s">
        <v>37</v>
      </c>
      <c r="CE1" t="s">
        <v>38</v>
      </c>
      <c r="CF1" t="s">
        <v>39</v>
      </c>
      <c r="CG1" t="s">
        <v>17</v>
      </c>
      <c r="CL1" t="s">
        <v>40</v>
      </c>
      <c r="CM1" t="s">
        <v>41</v>
      </c>
      <c r="CN1" t="s">
        <v>42</v>
      </c>
      <c r="CP1" t="s">
        <v>43</v>
      </c>
      <c r="CQ1" s="3" t="s">
        <v>46</v>
      </c>
      <c r="CR1" t="s">
        <v>47</v>
      </c>
      <c r="CS1" t="s">
        <v>48</v>
      </c>
      <c r="CT1" t="s">
        <v>17</v>
      </c>
      <c r="CZ1" t="s">
        <v>41</v>
      </c>
      <c r="DA1" s="3" t="s">
        <v>49</v>
      </c>
      <c r="DB1" t="s">
        <v>47</v>
      </c>
      <c r="DC1" t="s">
        <v>48</v>
      </c>
      <c r="DD1" t="s">
        <v>17</v>
      </c>
      <c r="DJ1" t="s">
        <v>31</v>
      </c>
      <c r="DK1" s="3" t="s">
        <v>50</v>
      </c>
      <c r="DL1" t="s">
        <v>51</v>
      </c>
      <c r="DP1" t="s">
        <v>52</v>
      </c>
      <c r="DQ1" t="s">
        <v>17</v>
      </c>
      <c r="DX1" t="s">
        <v>53</v>
      </c>
      <c r="EF1" t="s">
        <v>54</v>
      </c>
      <c r="EN1" s="3" t="s">
        <v>55</v>
      </c>
      <c r="EO1" t="s">
        <v>56</v>
      </c>
      <c r="EP1" t="s">
        <v>57</v>
      </c>
      <c r="EQ1" t="s">
        <v>58</v>
      </c>
      <c r="ER1" t="s">
        <v>17</v>
      </c>
      <c r="EU1" t="s">
        <v>59</v>
      </c>
      <c r="EV1" t="s">
        <v>60</v>
      </c>
      <c r="EW1" t="s">
        <v>61</v>
      </c>
      <c r="EX1" t="s">
        <v>62</v>
      </c>
      <c r="EY1" t="s">
        <v>58</v>
      </c>
      <c r="EZ1" t="s">
        <v>17</v>
      </c>
      <c r="FC1" t="s">
        <v>59</v>
      </c>
      <c r="FD1" t="s">
        <v>60</v>
      </c>
      <c r="FE1" t="s">
        <v>61</v>
      </c>
      <c r="FF1" t="s">
        <v>63</v>
      </c>
      <c r="FG1" t="s">
        <v>58</v>
      </c>
      <c r="FH1" t="s">
        <v>17</v>
      </c>
      <c r="FK1" t="s">
        <v>59</v>
      </c>
      <c r="FL1" t="s">
        <v>60</v>
      </c>
      <c r="FM1" t="s">
        <v>64</v>
      </c>
      <c r="FN1" s="3" t="s">
        <v>65</v>
      </c>
      <c r="FO1" t="s">
        <v>66</v>
      </c>
      <c r="FP1" t="s">
        <v>67</v>
      </c>
      <c r="FQ1" t="s">
        <v>57</v>
      </c>
      <c r="FR1" t="s">
        <v>68</v>
      </c>
      <c r="FS1" t="s">
        <v>17</v>
      </c>
      <c r="GA1" t="s">
        <v>69</v>
      </c>
      <c r="GB1" t="s">
        <v>70</v>
      </c>
      <c r="GC1" t="s">
        <v>68</v>
      </c>
      <c r="GD1" t="s">
        <v>17</v>
      </c>
      <c r="GK1" t="s">
        <v>71</v>
      </c>
      <c r="GL1" t="s">
        <v>72</v>
      </c>
      <c r="GM1" t="s">
        <v>68</v>
      </c>
      <c r="GN1" t="s">
        <v>17</v>
      </c>
      <c r="GU1" t="s">
        <v>71</v>
      </c>
      <c r="GV1" t="s">
        <v>73</v>
      </c>
      <c r="GY1" t="s">
        <v>74</v>
      </c>
      <c r="GZ1" t="s">
        <v>75</v>
      </c>
      <c r="HA1" t="s">
        <v>76</v>
      </c>
      <c r="HC1" t="s">
        <v>77</v>
      </c>
      <c r="HD1" t="s">
        <v>78</v>
      </c>
      <c r="HE1" t="s">
        <v>79</v>
      </c>
    </row>
    <row r="2" spans="1:213" x14ac:dyDescent="0.45">
      <c r="A2" t="s">
        <v>0</v>
      </c>
      <c r="B2" t="s">
        <v>2264</v>
      </c>
      <c r="C2" t="s">
        <v>1</v>
      </c>
      <c r="D2" t="s">
        <v>2</v>
      </c>
      <c r="E2" t="s">
        <v>3</v>
      </c>
      <c r="F2" t="s">
        <v>4</v>
      </c>
      <c r="G2" t="s">
        <v>5</v>
      </c>
      <c r="H2" t="s">
        <v>6</v>
      </c>
      <c r="I2" t="s">
        <v>7</v>
      </c>
      <c r="J2" t="s">
        <v>8</v>
      </c>
      <c r="K2" t="s">
        <v>9</v>
      </c>
      <c r="L2" t="s">
        <v>10</v>
      </c>
      <c r="M2" t="s">
        <v>11</v>
      </c>
      <c r="N2" t="s">
        <v>12</v>
      </c>
      <c r="O2" s="1" t="s">
        <v>13</v>
      </c>
      <c r="P2" t="s">
        <v>14</v>
      </c>
      <c r="Q2" t="s">
        <v>15</v>
      </c>
      <c r="R2" t="s">
        <v>16</v>
      </c>
      <c r="S2" t="s">
        <v>80</v>
      </c>
      <c r="T2" t="s">
        <v>81</v>
      </c>
      <c r="U2" t="s">
        <v>82</v>
      </c>
      <c r="V2" t="s">
        <v>2065</v>
      </c>
      <c r="W2" t="s">
        <v>83</v>
      </c>
      <c r="X2" t="s">
        <v>84</v>
      </c>
      <c r="Y2" t="s">
        <v>20</v>
      </c>
      <c r="Z2" t="s">
        <v>21</v>
      </c>
      <c r="AA2" t="s">
        <v>2066</v>
      </c>
      <c r="AB2" t="s">
        <v>22</v>
      </c>
      <c r="AC2" t="s">
        <v>85</v>
      </c>
      <c r="AD2" t="s">
        <v>23</v>
      </c>
      <c r="AE2" s="1" t="s">
        <v>24</v>
      </c>
      <c r="AF2" t="s">
        <v>25</v>
      </c>
      <c r="AG2" t="s">
        <v>26</v>
      </c>
      <c r="AH2" t="s">
        <v>27</v>
      </c>
      <c r="AI2" t="s">
        <v>28</v>
      </c>
      <c r="AJ2" t="s">
        <v>86</v>
      </c>
      <c r="AK2" t="s">
        <v>2071</v>
      </c>
      <c r="AL2" t="s">
        <v>87</v>
      </c>
      <c r="AM2" t="s">
        <v>88</v>
      </c>
      <c r="AN2" t="s">
        <v>89</v>
      </c>
      <c r="AO2" t="s">
        <v>29</v>
      </c>
      <c r="AP2" t="s">
        <v>2072</v>
      </c>
      <c r="AQ2" t="s">
        <v>2073</v>
      </c>
      <c r="AR2" t="s">
        <v>31</v>
      </c>
      <c r="AS2" t="s">
        <v>32</v>
      </c>
      <c r="AT2" t="s">
        <v>2070</v>
      </c>
      <c r="AU2" t="s">
        <v>33</v>
      </c>
      <c r="AV2" t="s">
        <v>2074</v>
      </c>
      <c r="AW2" s="1" t="s">
        <v>34</v>
      </c>
      <c r="AX2" t="s">
        <v>35</v>
      </c>
      <c r="AY2" t="s">
        <v>36</v>
      </c>
      <c r="AZ2" t="s">
        <v>37</v>
      </c>
      <c r="BA2" t="s">
        <v>38</v>
      </c>
      <c r="BB2" t="s">
        <v>39</v>
      </c>
      <c r="BC2" t="s">
        <v>2075</v>
      </c>
      <c r="BD2" t="s">
        <v>2076</v>
      </c>
      <c r="BE2" t="s">
        <v>90</v>
      </c>
      <c r="BF2" t="s">
        <v>91</v>
      </c>
      <c r="BG2" t="s">
        <v>92</v>
      </c>
      <c r="BH2" t="s">
        <v>40</v>
      </c>
      <c r="BI2" t="s">
        <v>41</v>
      </c>
      <c r="BJ2" t="s">
        <v>42</v>
      </c>
      <c r="BK2" t="s">
        <v>2077</v>
      </c>
      <c r="BL2" t="s">
        <v>43</v>
      </c>
      <c r="BM2" t="s">
        <v>44</v>
      </c>
      <c r="BN2" t="s">
        <v>2078</v>
      </c>
      <c r="BO2" t="s">
        <v>2079</v>
      </c>
      <c r="BP2" t="s">
        <v>2080</v>
      </c>
      <c r="BQ2" t="s">
        <v>2081</v>
      </c>
      <c r="BR2" t="s">
        <v>2082</v>
      </c>
      <c r="BS2" t="s">
        <v>2083</v>
      </c>
      <c r="BT2" t="s">
        <v>2084</v>
      </c>
      <c r="BU2" t="s">
        <v>2085</v>
      </c>
      <c r="BV2" t="s">
        <v>2086</v>
      </c>
      <c r="BW2" t="s">
        <v>2087</v>
      </c>
      <c r="BX2" t="s">
        <v>2088</v>
      </c>
      <c r="BY2" t="s">
        <v>2089</v>
      </c>
      <c r="BZ2" t="s">
        <v>2090</v>
      </c>
      <c r="CA2" t="s">
        <v>2091</v>
      </c>
      <c r="CB2" t="s">
        <v>45</v>
      </c>
      <c r="CC2" t="s">
        <v>2092</v>
      </c>
      <c r="CD2" t="s">
        <v>2093</v>
      </c>
      <c r="CE2" t="s">
        <v>2094</v>
      </c>
      <c r="CF2" t="s">
        <v>2095</v>
      </c>
      <c r="CG2" t="s">
        <v>2096</v>
      </c>
      <c r="CH2" t="s">
        <v>2097</v>
      </c>
      <c r="CI2" t="s">
        <v>2098</v>
      </c>
      <c r="CJ2" t="s">
        <v>2099</v>
      </c>
      <c r="CK2" t="s">
        <v>2100</v>
      </c>
      <c r="CL2" t="s">
        <v>2101</v>
      </c>
      <c r="CM2" t="s">
        <v>2102</v>
      </c>
      <c r="CN2" t="s">
        <v>2103</v>
      </c>
      <c r="CO2" t="s">
        <v>2104</v>
      </c>
      <c r="CP2" t="s">
        <v>2105</v>
      </c>
      <c r="CQ2" s="1" t="s">
        <v>46</v>
      </c>
      <c r="CR2" t="s">
        <v>47</v>
      </c>
      <c r="CS2" t="s">
        <v>48</v>
      </c>
      <c r="CT2" t="s">
        <v>93</v>
      </c>
      <c r="CU2" t="s">
        <v>94</v>
      </c>
      <c r="CV2" t="s">
        <v>95</v>
      </c>
      <c r="CW2" t="s">
        <v>96</v>
      </c>
      <c r="CX2" t="s">
        <v>97</v>
      </c>
      <c r="CY2" t="s">
        <v>98</v>
      </c>
      <c r="CZ2" t="s">
        <v>2106</v>
      </c>
      <c r="DA2" s="1" t="s">
        <v>49</v>
      </c>
      <c r="DB2" t="s">
        <v>2107</v>
      </c>
      <c r="DC2" t="s">
        <v>2108</v>
      </c>
      <c r="DD2" t="s">
        <v>2109</v>
      </c>
      <c r="DE2" t="s">
        <v>2110</v>
      </c>
      <c r="DF2" t="s">
        <v>2111</v>
      </c>
      <c r="DG2" t="s">
        <v>2112</v>
      </c>
      <c r="DH2" t="s">
        <v>2113</v>
      </c>
      <c r="DI2" t="s">
        <v>2114</v>
      </c>
      <c r="DJ2" t="s">
        <v>2115</v>
      </c>
      <c r="DK2" s="1" t="s">
        <v>50</v>
      </c>
      <c r="DL2" t="s">
        <v>51</v>
      </c>
      <c r="DM2" t="s">
        <v>2067</v>
      </c>
      <c r="DN2" t="s">
        <v>2068</v>
      </c>
      <c r="DO2" t="s">
        <v>2069</v>
      </c>
      <c r="DP2" t="s">
        <v>52</v>
      </c>
      <c r="DQ2" t="s">
        <v>99</v>
      </c>
      <c r="DR2" t="s">
        <v>100</v>
      </c>
      <c r="DS2" t="s">
        <v>101</v>
      </c>
      <c r="DT2" t="s">
        <v>102</v>
      </c>
      <c r="DU2" t="s">
        <v>103</v>
      </c>
      <c r="DV2" t="s">
        <v>104</v>
      </c>
      <c r="DW2" t="s">
        <v>105</v>
      </c>
      <c r="DX2" t="s">
        <v>106</v>
      </c>
      <c r="DY2" t="s">
        <v>107</v>
      </c>
      <c r="DZ2" t="s">
        <v>108</v>
      </c>
      <c r="EA2" t="s">
        <v>109</v>
      </c>
      <c r="EB2" t="s">
        <v>110</v>
      </c>
      <c r="EC2" t="s">
        <v>111</v>
      </c>
      <c r="ED2" t="s">
        <v>112</v>
      </c>
      <c r="EE2" t="s">
        <v>2116</v>
      </c>
      <c r="EF2" t="s">
        <v>2117</v>
      </c>
      <c r="EG2" t="s">
        <v>2118</v>
      </c>
      <c r="EH2" t="s">
        <v>2119</v>
      </c>
      <c r="EI2" t="s">
        <v>2120</v>
      </c>
      <c r="EJ2" t="s">
        <v>2121</v>
      </c>
      <c r="EK2" t="s">
        <v>2122</v>
      </c>
      <c r="EL2" t="s">
        <v>2123</v>
      </c>
      <c r="EM2" t="s">
        <v>2124</v>
      </c>
      <c r="EN2" s="1" t="s">
        <v>55</v>
      </c>
      <c r="EO2" t="s">
        <v>56</v>
      </c>
      <c r="EP2" t="s">
        <v>57</v>
      </c>
      <c r="EQ2" t="s">
        <v>58</v>
      </c>
      <c r="ER2" t="s">
        <v>113</v>
      </c>
      <c r="ES2" t="s">
        <v>114</v>
      </c>
      <c r="ET2" t="s">
        <v>115</v>
      </c>
      <c r="EU2" t="s">
        <v>59</v>
      </c>
      <c r="EV2" t="s">
        <v>60</v>
      </c>
      <c r="EW2" t="s">
        <v>61</v>
      </c>
      <c r="EX2" t="s">
        <v>62</v>
      </c>
      <c r="EY2" t="s">
        <v>2125</v>
      </c>
      <c r="EZ2" t="s">
        <v>2126</v>
      </c>
      <c r="FA2" t="s">
        <v>2127</v>
      </c>
      <c r="FB2" t="s">
        <v>2128</v>
      </c>
      <c r="FC2" t="s">
        <v>2129</v>
      </c>
      <c r="FD2" t="s">
        <v>2130</v>
      </c>
      <c r="FE2" t="s">
        <v>2131</v>
      </c>
      <c r="FF2" t="s">
        <v>63</v>
      </c>
      <c r="FG2" t="s">
        <v>2132</v>
      </c>
      <c r="FH2" t="s">
        <v>2133</v>
      </c>
      <c r="FI2" t="s">
        <v>2134</v>
      </c>
      <c r="FJ2" t="s">
        <v>2135</v>
      </c>
      <c r="FK2" t="s">
        <v>2136</v>
      </c>
      <c r="FL2" t="s">
        <v>2137</v>
      </c>
      <c r="FM2" t="s">
        <v>64</v>
      </c>
      <c r="FN2" s="1" t="s">
        <v>65</v>
      </c>
      <c r="FO2" t="s">
        <v>66</v>
      </c>
      <c r="FP2" t="s">
        <v>67</v>
      </c>
      <c r="FQ2" t="s">
        <v>2138</v>
      </c>
      <c r="FR2" t="s">
        <v>68</v>
      </c>
      <c r="FS2" t="s">
        <v>116</v>
      </c>
      <c r="FT2" t="s">
        <v>2139</v>
      </c>
      <c r="FU2" t="s">
        <v>2140</v>
      </c>
      <c r="FV2" t="s">
        <v>2141</v>
      </c>
      <c r="FW2" t="s">
        <v>2142</v>
      </c>
      <c r="FX2" t="s">
        <v>2143</v>
      </c>
      <c r="FY2" t="s">
        <v>2144</v>
      </c>
      <c r="FZ2" t="s">
        <v>2145</v>
      </c>
      <c r="GA2" t="s">
        <v>69</v>
      </c>
      <c r="GB2" t="s">
        <v>70</v>
      </c>
      <c r="GC2" t="s">
        <v>2146</v>
      </c>
      <c r="GD2" t="s">
        <v>2147</v>
      </c>
      <c r="GE2" t="s">
        <v>2148</v>
      </c>
      <c r="GF2" t="s">
        <v>2149</v>
      </c>
      <c r="GG2" t="s">
        <v>2150</v>
      </c>
      <c r="GH2" t="s">
        <v>2151</v>
      </c>
      <c r="GI2" t="s">
        <v>2152</v>
      </c>
      <c r="GJ2" t="s">
        <v>2153</v>
      </c>
      <c r="GK2" t="s">
        <v>71</v>
      </c>
      <c r="GL2" t="s">
        <v>72</v>
      </c>
      <c r="GM2" t="s">
        <v>2154</v>
      </c>
      <c r="GN2" t="s">
        <v>2155</v>
      </c>
      <c r="GO2" t="s">
        <v>2156</v>
      </c>
      <c r="GP2" t="s">
        <v>2157</v>
      </c>
      <c r="GQ2" t="s">
        <v>2158</v>
      </c>
      <c r="GR2" t="s">
        <v>2159</v>
      </c>
      <c r="GS2" t="s">
        <v>2160</v>
      </c>
      <c r="GT2" t="s">
        <v>2161</v>
      </c>
      <c r="GU2" t="s">
        <v>2162</v>
      </c>
      <c r="GV2" t="s">
        <v>73</v>
      </c>
      <c r="GW2" t="s">
        <v>2163</v>
      </c>
      <c r="GX2" t="s">
        <v>2164</v>
      </c>
      <c r="GY2" t="s">
        <v>74</v>
      </c>
      <c r="GZ2" t="s">
        <v>75</v>
      </c>
      <c r="HA2" t="s">
        <v>76</v>
      </c>
      <c r="HB2" t="s">
        <v>2165</v>
      </c>
      <c r="HC2" t="s">
        <v>77</v>
      </c>
      <c r="HD2" t="s">
        <v>78</v>
      </c>
      <c r="HE2" t="s">
        <v>79</v>
      </c>
    </row>
    <row r="3" spans="1:213" x14ac:dyDescent="0.45">
      <c r="A3">
        <v>1</v>
      </c>
      <c r="B3">
        <f>_xlfn.IFNA(VLOOKUP(Wszystkie[[#This Row],[Zakończono wypełnianie]],Zakończone[],2,0),"BRAK")</f>
        <v>1</v>
      </c>
      <c r="C3" t="s">
        <v>117</v>
      </c>
      <c r="D3" t="s">
        <v>118</v>
      </c>
      <c r="I3" t="s">
        <v>119</v>
      </c>
      <c r="J3" t="s">
        <v>120</v>
      </c>
      <c r="K3" t="s">
        <v>121</v>
      </c>
      <c r="L3">
        <v>65871</v>
      </c>
      <c r="M3">
        <v>0</v>
      </c>
      <c r="N3" t="s">
        <v>122</v>
      </c>
      <c r="O3" s="1" t="s">
        <v>123</v>
      </c>
      <c r="AE3" s="1" t="s">
        <v>124</v>
      </c>
      <c r="AF3" t="s">
        <v>125</v>
      </c>
      <c r="AH3" t="s">
        <v>126</v>
      </c>
      <c r="AI3" t="s">
        <v>127</v>
      </c>
      <c r="AJ3" t="s">
        <v>128</v>
      </c>
      <c r="AK3" t="s">
        <v>128</v>
      </c>
      <c r="AL3" t="s">
        <v>129</v>
      </c>
      <c r="AM3" t="s">
        <v>129</v>
      </c>
      <c r="AN3" t="s">
        <v>129</v>
      </c>
      <c r="AO3" t="s">
        <v>130</v>
      </c>
      <c r="AP3" t="s">
        <v>131</v>
      </c>
      <c r="AQ3" t="s">
        <v>132</v>
      </c>
      <c r="AR3" t="s">
        <v>133</v>
      </c>
      <c r="AS3" t="s">
        <v>134</v>
      </c>
      <c r="AT3" t="s">
        <v>135</v>
      </c>
      <c r="AV3" t="s">
        <v>136</v>
      </c>
      <c r="AW3" s="1" t="s">
        <v>123</v>
      </c>
      <c r="CQ3" s="1" t="s">
        <v>123</v>
      </c>
      <c r="DA3" s="1" t="s">
        <v>123</v>
      </c>
      <c r="DK3" s="1" t="s">
        <v>123</v>
      </c>
      <c r="EN3" s="1" t="s">
        <v>123</v>
      </c>
      <c r="FN3" s="1" t="s">
        <v>123</v>
      </c>
      <c r="FO3" t="s">
        <v>132</v>
      </c>
      <c r="GV3" t="s">
        <v>137</v>
      </c>
      <c r="GW3" t="s">
        <v>138</v>
      </c>
      <c r="GX3" t="s">
        <v>139</v>
      </c>
      <c r="GY3" t="s">
        <v>140</v>
      </c>
      <c r="GZ3">
        <v>1987</v>
      </c>
      <c r="HA3" t="s">
        <v>141</v>
      </c>
      <c r="HC3" t="s">
        <v>142</v>
      </c>
      <c r="HD3" t="s">
        <v>142</v>
      </c>
      <c r="HE3" t="s">
        <v>143</v>
      </c>
    </row>
    <row r="4" spans="1:213" x14ac:dyDescent="0.45">
      <c r="A4">
        <v>2</v>
      </c>
      <c r="B4">
        <f>_xlfn.IFNA(VLOOKUP(Wszystkie[[#This Row],[Zakończono wypełnianie]],Zakończone[],2,0),"BRAK")</f>
        <v>2</v>
      </c>
      <c r="C4" t="s">
        <v>144</v>
      </c>
      <c r="D4" t="s">
        <v>118</v>
      </c>
      <c r="I4" t="s">
        <v>119</v>
      </c>
      <c r="J4" t="s">
        <v>145</v>
      </c>
      <c r="K4" t="s">
        <v>146</v>
      </c>
      <c r="L4">
        <v>1573</v>
      </c>
      <c r="M4">
        <v>0</v>
      </c>
      <c r="N4" t="s">
        <v>122</v>
      </c>
      <c r="O4" s="1" t="s">
        <v>123</v>
      </c>
      <c r="AE4" s="1" t="s">
        <v>124</v>
      </c>
      <c r="AF4" t="s">
        <v>147</v>
      </c>
      <c r="AG4">
        <v>1986</v>
      </c>
      <c r="AH4" t="s">
        <v>148</v>
      </c>
      <c r="AI4" t="s">
        <v>149</v>
      </c>
      <c r="AJ4" t="s">
        <v>150</v>
      </c>
      <c r="AK4" t="s">
        <v>150</v>
      </c>
      <c r="AL4" t="s">
        <v>150</v>
      </c>
      <c r="AM4" t="s">
        <v>151</v>
      </c>
      <c r="AN4" t="s">
        <v>150</v>
      </c>
      <c r="AO4">
        <v>3</v>
      </c>
      <c r="AP4" t="s">
        <v>152</v>
      </c>
      <c r="AQ4" t="s">
        <v>153</v>
      </c>
      <c r="AR4" t="s">
        <v>154</v>
      </c>
      <c r="AS4" t="s">
        <v>155</v>
      </c>
      <c r="AT4" t="s">
        <v>156</v>
      </c>
      <c r="AU4" t="s">
        <v>157</v>
      </c>
      <c r="AV4" t="s">
        <v>158</v>
      </c>
      <c r="AW4" s="1" t="s">
        <v>159</v>
      </c>
      <c r="AX4">
        <v>2</v>
      </c>
      <c r="AY4" t="s">
        <v>160</v>
      </c>
      <c r="AZ4">
        <v>2013</v>
      </c>
      <c r="BA4" t="s">
        <v>148</v>
      </c>
      <c r="BB4" t="s">
        <v>161</v>
      </c>
      <c r="BC4" t="s">
        <v>162</v>
      </c>
      <c r="BD4" t="s">
        <v>150</v>
      </c>
      <c r="BE4" t="s">
        <v>150</v>
      </c>
      <c r="BF4" t="s">
        <v>150</v>
      </c>
      <c r="BG4" t="s">
        <v>150</v>
      </c>
      <c r="BH4" t="s">
        <v>163</v>
      </c>
      <c r="BI4" t="s">
        <v>164</v>
      </c>
      <c r="BJ4" t="s">
        <v>157</v>
      </c>
      <c r="BL4" t="s">
        <v>165</v>
      </c>
      <c r="BM4" t="s">
        <v>166</v>
      </c>
      <c r="BN4" t="s">
        <v>167</v>
      </c>
      <c r="BO4">
        <v>2015</v>
      </c>
      <c r="BP4" t="s">
        <v>148</v>
      </c>
      <c r="BQ4" t="s">
        <v>168</v>
      </c>
      <c r="BR4" t="s">
        <v>150</v>
      </c>
      <c r="BS4" t="s">
        <v>169</v>
      </c>
      <c r="BT4" t="s">
        <v>150</v>
      </c>
      <c r="BU4" t="s">
        <v>150</v>
      </c>
      <c r="BV4" t="s">
        <v>150</v>
      </c>
      <c r="BW4" t="s">
        <v>170</v>
      </c>
      <c r="BX4" t="s">
        <v>171</v>
      </c>
      <c r="BY4" t="s">
        <v>172</v>
      </c>
      <c r="CB4" t="s">
        <v>173</v>
      </c>
      <c r="CQ4" s="1" t="s">
        <v>123</v>
      </c>
      <c r="DA4" s="1" t="s">
        <v>123</v>
      </c>
      <c r="DK4" s="1" t="s">
        <v>174</v>
      </c>
      <c r="DO4" t="s">
        <v>175</v>
      </c>
      <c r="DP4" t="s">
        <v>176</v>
      </c>
      <c r="DQ4" t="s">
        <v>162</v>
      </c>
      <c r="DR4" t="s">
        <v>150</v>
      </c>
      <c r="DS4" t="s">
        <v>151</v>
      </c>
      <c r="DT4" t="s">
        <v>151</v>
      </c>
      <c r="DU4" t="s">
        <v>162</v>
      </c>
      <c r="DV4" t="s">
        <v>162</v>
      </c>
      <c r="DW4" t="s">
        <v>150</v>
      </c>
      <c r="DX4">
        <v>25</v>
      </c>
      <c r="DY4">
        <v>25</v>
      </c>
      <c r="DZ4">
        <v>2</v>
      </c>
      <c r="EA4">
        <v>5</v>
      </c>
      <c r="EB4">
        <v>8</v>
      </c>
      <c r="EC4">
        <v>25</v>
      </c>
      <c r="ED4">
        <v>10</v>
      </c>
      <c r="EF4">
        <v>20</v>
      </c>
      <c r="EG4">
        <v>20</v>
      </c>
      <c r="EH4">
        <v>1</v>
      </c>
      <c r="EI4">
        <v>4</v>
      </c>
      <c r="EJ4">
        <v>25</v>
      </c>
      <c r="EK4">
        <v>25</v>
      </c>
      <c r="EL4">
        <v>5</v>
      </c>
      <c r="EN4" s="1" t="s">
        <v>177</v>
      </c>
      <c r="EO4" t="s">
        <v>178</v>
      </c>
      <c r="EP4">
        <v>1</v>
      </c>
      <c r="EQ4" t="s">
        <v>179</v>
      </c>
      <c r="ER4" t="s">
        <v>150</v>
      </c>
      <c r="ES4" t="s">
        <v>150</v>
      </c>
      <c r="ET4" t="s">
        <v>151</v>
      </c>
      <c r="EU4" t="s">
        <v>180</v>
      </c>
      <c r="EV4" t="s">
        <v>181</v>
      </c>
      <c r="EW4" t="s">
        <v>182</v>
      </c>
      <c r="EX4" t="s">
        <v>173</v>
      </c>
      <c r="FN4" s="1" t="s">
        <v>123</v>
      </c>
      <c r="FO4" t="s">
        <v>132</v>
      </c>
      <c r="GV4" t="s">
        <v>183</v>
      </c>
      <c r="GW4" t="s">
        <v>184</v>
      </c>
      <c r="GX4" t="s">
        <v>185</v>
      </c>
      <c r="GY4" t="s">
        <v>186</v>
      </c>
      <c r="GZ4">
        <v>1961</v>
      </c>
      <c r="HA4" t="s">
        <v>141</v>
      </c>
      <c r="HC4" t="s">
        <v>187</v>
      </c>
    </row>
    <row r="5" spans="1:213" x14ac:dyDescent="0.45">
      <c r="A5">
        <v>3</v>
      </c>
      <c r="B5">
        <f>_xlfn.IFNA(VLOOKUP(Wszystkie[[#This Row],[Zakończono wypełnianie]],Zakończone[],2,0),"BRAK")</f>
        <v>3</v>
      </c>
      <c r="C5" t="s">
        <v>188</v>
      </c>
      <c r="D5" t="s">
        <v>118</v>
      </c>
      <c r="I5" t="s">
        <v>119</v>
      </c>
      <c r="J5" t="s">
        <v>189</v>
      </c>
      <c r="K5" t="s">
        <v>190</v>
      </c>
      <c r="L5">
        <v>853</v>
      </c>
      <c r="M5">
        <v>0</v>
      </c>
      <c r="N5" t="s">
        <v>122</v>
      </c>
      <c r="O5" s="1" t="s">
        <v>123</v>
      </c>
      <c r="AE5" s="1" t="s">
        <v>124</v>
      </c>
      <c r="AF5" t="s">
        <v>191</v>
      </c>
      <c r="AG5">
        <v>2017</v>
      </c>
      <c r="AH5" t="s">
        <v>126</v>
      </c>
      <c r="AI5" t="s">
        <v>192</v>
      </c>
      <c r="AJ5" t="s">
        <v>150</v>
      </c>
      <c r="AK5" t="s">
        <v>150</v>
      </c>
      <c r="AL5" t="s">
        <v>162</v>
      </c>
      <c r="AM5" t="s">
        <v>169</v>
      </c>
      <c r="AN5" t="s">
        <v>169</v>
      </c>
      <c r="AO5" t="s">
        <v>193</v>
      </c>
      <c r="AP5" t="s">
        <v>194</v>
      </c>
      <c r="AQ5" t="s">
        <v>194</v>
      </c>
      <c r="AR5" t="s">
        <v>195</v>
      </c>
      <c r="AS5" t="s">
        <v>196</v>
      </c>
      <c r="AT5" t="s">
        <v>197</v>
      </c>
      <c r="AU5" t="s">
        <v>157</v>
      </c>
      <c r="AW5" s="1" t="s">
        <v>123</v>
      </c>
      <c r="CQ5" s="1" t="s">
        <v>123</v>
      </c>
      <c r="DA5" s="1" t="s">
        <v>123</v>
      </c>
      <c r="DK5" s="1" t="s">
        <v>123</v>
      </c>
      <c r="EN5" s="1" t="s">
        <v>123</v>
      </c>
      <c r="FN5" s="1" t="s">
        <v>123</v>
      </c>
      <c r="FO5" t="s">
        <v>132</v>
      </c>
      <c r="GV5" t="s">
        <v>198</v>
      </c>
      <c r="GW5" t="s">
        <v>199</v>
      </c>
      <c r="GX5" t="s">
        <v>200</v>
      </c>
      <c r="GY5" t="s">
        <v>186</v>
      </c>
      <c r="GZ5">
        <v>1991</v>
      </c>
      <c r="HA5" t="s">
        <v>141</v>
      </c>
      <c r="HC5" t="s">
        <v>201</v>
      </c>
    </row>
    <row r="6" spans="1:213" x14ac:dyDescent="0.45">
      <c r="A6">
        <v>4</v>
      </c>
      <c r="B6">
        <f>_xlfn.IFNA(VLOOKUP(Wszystkie[[#This Row],[Zakończono wypełnianie]],Zakończone[],2,0),"BRAK")</f>
        <v>4</v>
      </c>
      <c r="C6" t="s">
        <v>202</v>
      </c>
      <c r="D6" t="s">
        <v>118</v>
      </c>
      <c r="I6" t="s">
        <v>119</v>
      </c>
      <c r="J6" t="s">
        <v>203</v>
      </c>
      <c r="K6" t="s">
        <v>204</v>
      </c>
      <c r="L6">
        <v>3161</v>
      </c>
      <c r="M6">
        <v>0</v>
      </c>
      <c r="N6" t="s">
        <v>122</v>
      </c>
      <c r="O6" s="1" t="s">
        <v>123</v>
      </c>
      <c r="AE6" s="1" t="s">
        <v>124</v>
      </c>
      <c r="AF6" t="s">
        <v>205</v>
      </c>
      <c r="AG6" t="s">
        <v>206</v>
      </c>
      <c r="AH6" t="s">
        <v>148</v>
      </c>
      <c r="AI6" t="s">
        <v>207</v>
      </c>
      <c r="AJ6" t="s">
        <v>150</v>
      </c>
      <c r="AK6" t="s">
        <v>150</v>
      </c>
      <c r="AL6" t="s">
        <v>162</v>
      </c>
      <c r="AM6" t="s">
        <v>162</v>
      </c>
      <c r="AN6" t="s">
        <v>162</v>
      </c>
      <c r="AO6" t="s">
        <v>208</v>
      </c>
      <c r="AP6" t="s">
        <v>209</v>
      </c>
      <c r="AQ6" t="s">
        <v>209</v>
      </c>
      <c r="AR6" t="s">
        <v>210</v>
      </c>
      <c r="AS6" t="s">
        <v>211</v>
      </c>
      <c r="AT6" t="s">
        <v>212</v>
      </c>
      <c r="AU6" t="s">
        <v>157</v>
      </c>
      <c r="AV6" t="s">
        <v>213</v>
      </c>
      <c r="AW6" s="1" t="s">
        <v>123</v>
      </c>
      <c r="CQ6" s="1" t="s">
        <v>123</v>
      </c>
      <c r="DA6" s="1" t="s">
        <v>214</v>
      </c>
      <c r="DB6" t="s">
        <v>205</v>
      </c>
      <c r="DC6" t="s">
        <v>215</v>
      </c>
      <c r="DD6" t="s">
        <v>150</v>
      </c>
      <c r="DE6" t="s">
        <v>169</v>
      </c>
      <c r="DF6" t="s">
        <v>169</v>
      </c>
      <c r="DG6" t="s">
        <v>150</v>
      </c>
      <c r="DH6" t="s">
        <v>151</v>
      </c>
      <c r="DI6" t="s">
        <v>151</v>
      </c>
      <c r="DJ6" t="s">
        <v>216</v>
      </c>
      <c r="DK6" s="1" t="s">
        <v>123</v>
      </c>
      <c r="EN6" s="1" t="s">
        <v>123</v>
      </c>
      <c r="EO6" t="s">
        <v>178</v>
      </c>
      <c r="EP6" t="s">
        <v>132</v>
      </c>
      <c r="FN6" s="1" t="s">
        <v>123</v>
      </c>
      <c r="FO6" t="s">
        <v>132</v>
      </c>
      <c r="GV6" t="s">
        <v>217</v>
      </c>
      <c r="GW6" t="s">
        <v>218</v>
      </c>
      <c r="GX6" t="s">
        <v>219</v>
      </c>
      <c r="GY6" t="s">
        <v>140</v>
      </c>
      <c r="GZ6">
        <v>1961</v>
      </c>
      <c r="HA6" t="s">
        <v>220</v>
      </c>
    </row>
    <row r="7" spans="1:213" x14ac:dyDescent="0.45">
      <c r="A7">
        <v>5</v>
      </c>
      <c r="B7">
        <f>_xlfn.IFNA(VLOOKUP(Wszystkie[[#This Row],[Zakończono wypełnianie]],Zakończone[],2,0),"BRAK")</f>
        <v>5</v>
      </c>
      <c r="C7" t="s">
        <v>202</v>
      </c>
      <c r="D7" t="s">
        <v>118</v>
      </c>
      <c r="I7" t="s">
        <v>119</v>
      </c>
      <c r="J7" t="s">
        <v>221</v>
      </c>
      <c r="K7" t="s">
        <v>222</v>
      </c>
      <c r="L7">
        <v>1659</v>
      </c>
      <c r="M7">
        <v>0</v>
      </c>
      <c r="N7" t="s">
        <v>122</v>
      </c>
      <c r="O7" s="1" t="s">
        <v>123</v>
      </c>
      <c r="AE7" s="1" t="s">
        <v>124</v>
      </c>
      <c r="AF7" t="s">
        <v>223</v>
      </c>
      <c r="AG7">
        <v>1999</v>
      </c>
      <c r="AH7" t="s">
        <v>148</v>
      </c>
      <c r="AI7" t="s">
        <v>224</v>
      </c>
      <c r="AJ7" t="s">
        <v>162</v>
      </c>
      <c r="AK7" t="s">
        <v>162</v>
      </c>
      <c r="AL7" t="s">
        <v>150</v>
      </c>
      <c r="AM7" t="s">
        <v>150</v>
      </c>
      <c r="AN7" t="s">
        <v>169</v>
      </c>
      <c r="AO7" t="s">
        <v>225</v>
      </c>
      <c r="AP7" t="s">
        <v>153</v>
      </c>
      <c r="AQ7" t="s">
        <v>226</v>
      </c>
      <c r="AR7" t="s">
        <v>227</v>
      </c>
      <c r="AS7" t="s">
        <v>228</v>
      </c>
      <c r="AT7" t="s">
        <v>229</v>
      </c>
      <c r="AU7" t="s">
        <v>230</v>
      </c>
      <c r="AW7" s="1" t="s">
        <v>159</v>
      </c>
      <c r="AX7">
        <v>3</v>
      </c>
      <c r="AY7" t="s">
        <v>191</v>
      </c>
      <c r="AZ7">
        <v>2011</v>
      </c>
      <c r="BA7" t="s">
        <v>126</v>
      </c>
      <c r="BB7" t="s">
        <v>231</v>
      </c>
      <c r="BC7" t="s">
        <v>169</v>
      </c>
      <c r="BD7" t="s">
        <v>169</v>
      </c>
      <c r="BE7" t="s">
        <v>150</v>
      </c>
      <c r="BF7" t="s">
        <v>162</v>
      </c>
      <c r="BG7" t="s">
        <v>150</v>
      </c>
      <c r="BH7">
        <v>1</v>
      </c>
      <c r="BI7" t="s">
        <v>232</v>
      </c>
      <c r="BJ7" t="s">
        <v>157</v>
      </c>
      <c r="BL7" t="s">
        <v>233</v>
      </c>
      <c r="BM7" t="s">
        <v>166</v>
      </c>
      <c r="BN7" t="s">
        <v>234</v>
      </c>
      <c r="BO7">
        <v>2011</v>
      </c>
      <c r="BP7" t="s">
        <v>148</v>
      </c>
      <c r="BQ7" t="s">
        <v>235</v>
      </c>
      <c r="BR7" t="s">
        <v>151</v>
      </c>
      <c r="BS7" t="s">
        <v>128</v>
      </c>
      <c r="BT7" t="s">
        <v>236</v>
      </c>
      <c r="BU7" t="s">
        <v>128</v>
      </c>
      <c r="BV7" t="s">
        <v>162</v>
      </c>
      <c r="BW7" t="s">
        <v>237</v>
      </c>
      <c r="BY7" t="s">
        <v>172</v>
      </c>
      <c r="CA7" t="s">
        <v>233</v>
      </c>
      <c r="CB7" t="s">
        <v>238</v>
      </c>
      <c r="CC7" t="s">
        <v>223</v>
      </c>
      <c r="CD7">
        <v>2016</v>
      </c>
      <c r="CE7" t="s">
        <v>148</v>
      </c>
      <c r="CF7" t="s">
        <v>239</v>
      </c>
      <c r="CG7" t="s">
        <v>169</v>
      </c>
      <c r="CH7" t="s">
        <v>169</v>
      </c>
      <c r="CI7" t="s">
        <v>169</v>
      </c>
      <c r="CJ7" t="s">
        <v>150</v>
      </c>
      <c r="CK7" t="s">
        <v>150</v>
      </c>
      <c r="CL7">
        <v>1</v>
      </c>
      <c r="CM7" t="s">
        <v>240</v>
      </c>
      <c r="CN7" t="s">
        <v>157</v>
      </c>
      <c r="CP7" t="s">
        <v>233</v>
      </c>
      <c r="CQ7" s="1" t="s">
        <v>123</v>
      </c>
      <c r="DA7" s="1" t="s">
        <v>214</v>
      </c>
      <c r="DB7" t="s">
        <v>234</v>
      </c>
      <c r="DC7" t="s">
        <v>241</v>
      </c>
      <c r="DD7" t="s">
        <v>162</v>
      </c>
      <c r="DE7" t="s">
        <v>169</v>
      </c>
      <c r="DF7" t="s">
        <v>169</v>
      </c>
      <c r="DG7" t="s">
        <v>151</v>
      </c>
      <c r="DH7" t="s">
        <v>151</v>
      </c>
      <c r="DI7" t="s">
        <v>151</v>
      </c>
      <c r="DJ7" t="s">
        <v>242</v>
      </c>
      <c r="DK7" s="1" t="s">
        <v>123</v>
      </c>
      <c r="EN7" s="1" t="s">
        <v>123</v>
      </c>
      <c r="FN7" s="1" t="s">
        <v>123</v>
      </c>
      <c r="FO7" t="s">
        <v>132</v>
      </c>
      <c r="GV7" t="s">
        <v>243</v>
      </c>
      <c r="GW7" t="s">
        <v>244</v>
      </c>
      <c r="GX7" t="s">
        <v>245</v>
      </c>
      <c r="GY7" t="s">
        <v>186</v>
      </c>
      <c r="GZ7">
        <v>1961</v>
      </c>
      <c r="HA7" t="s">
        <v>246</v>
      </c>
      <c r="HC7" t="s">
        <v>247</v>
      </c>
    </row>
    <row r="8" spans="1:213" x14ac:dyDescent="0.45">
      <c r="A8">
        <v>6</v>
      </c>
      <c r="B8">
        <f>_xlfn.IFNA(VLOOKUP(Wszystkie[[#This Row],[Zakończono wypełnianie]],Zakończone[],2,0),"BRAK")</f>
        <v>6</v>
      </c>
      <c r="C8" t="s">
        <v>248</v>
      </c>
      <c r="D8" t="s">
        <v>118</v>
      </c>
      <c r="I8" t="s">
        <v>119</v>
      </c>
      <c r="J8" t="s">
        <v>249</v>
      </c>
      <c r="K8" t="s">
        <v>250</v>
      </c>
      <c r="L8">
        <v>902</v>
      </c>
      <c r="M8">
        <v>0</v>
      </c>
      <c r="N8" t="s">
        <v>122</v>
      </c>
      <c r="O8" s="1" t="s">
        <v>123</v>
      </c>
      <c r="AE8" s="1" t="s">
        <v>124</v>
      </c>
      <c r="AF8" t="s">
        <v>191</v>
      </c>
      <c r="AG8">
        <v>2013</v>
      </c>
      <c r="AH8" t="s">
        <v>126</v>
      </c>
      <c r="AI8" t="s">
        <v>251</v>
      </c>
      <c r="AJ8" t="s">
        <v>162</v>
      </c>
      <c r="AK8" t="s">
        <v>162</v>
      </c>
      <c r="AL8" t="s">
        <v>151</v>
      </c>
      <c r="AM8" t="s">
        <v>132</v>
      </c>
      <c r="AN8" t="s">
        <v>132</v>
      </c>
      <c r="AO8" t="s">
        <v>252</v>
      </c>
      <c r="AP8" t="s">
        <v>132</v>
      </c>
      <c r="AQ8" t="s">
        <v>132</v>
      </c>
      <c r="AR8" t="s">
        <v>253</v>
      </c>
      <c r="AS8" t="s">
        <v>254</v>
      </c>
      <c r="AT8" t="s">
        <v>255</v>
      </c>
      <c r="AU8" t="s">
        <v>157</v>
      </c>
      <c r="AW8" s="1" t="s">
        <v>123</v>
      </c>
      <c r="CQ8" s="1" t="s">
        <v>123</v>
      </c>
      <c r="DA8" s="1" t="s">
        <v>123</v>
      </c>
      <c r="DK8" s="1" t="s">
        <v>123</v>
      </c>
      <c r="EN8" s="1" t="s">
        <v>123</v>
      </c>
      <c r="FN8" s="1" t="s">
        <v>123</v>
      </c>
      <c r="FO8" t="s">
        <v>132</v>
      </c>
      <c r="GV8" t="s">
        <v>256</v>
      </c>
      <c r="GW8" t="s">
        <v>257</v>
      </c>
      <c r="GX8" t="s">
        <v>258</v>
      </c>
      <c r="GY8" t="s">
        <v>140</v>
      </c>
      <c r="GZ8">
        <v>1988</v>
      </c>
      <c r="HA8" t="s">
        <v>141</v>
      </c>
    </row>
    <row r="9" spans="1:213" x14ac:dyDescent="0.45">
      <c r="A9">
        <v>7</v>
      </c>
      <c r="B9">
        <f>_xlfn.IFNA(VLOOKUP(Wszystkie[[#This Row],[Zakończono wypełnianie]],Zakończone[],2,0),"BRAK")</f>
        <v>7</v>
      </c>
      <c r="C9" t="s">
        <v>259</v>
      </c>
      <c r="D9" t="s">
        <v>118</v>
      </c>
      <c r="E9" t="s">
        <v>260</v>
      </c>
      <c r="I9" t="s">
        <v>119</v>
      </c>
      <c r="J9" t="s">
        <v>261</v>
      </c>
      <c r="K9" t="s">
        <v>262</v>
      </c>
      <c r="L9">
        <v>422</v>
      </c>
      <c r="M9">
        <v>0</v>
      </c>
      <c r="N9" t="s">
        <v>122</v>
      </c>
      <c r="O9" s="1" t="s">
        <v>123</v>
      </c>
      <c r="AE9" s="1" t="s">
        <v>124</v>
      </c>
      <c r="AF9" t="s">
        <v>191</v>
      </c>
      <c r="AG9">
        <v>2013</v>
      </c>
      <c r="AH9" t="s">
        <v>126</v>
      </c>
      <c r="AI9" t="s">
        <v>263</v>
      </c>
      <c r="AJ9" t="s">
        <v>169</v>
      </c>
      <c r="AK9" t="s">
        <v>150</v>
      </c>
      <c r="AL9" t="s">
        <v>169</v>
      </c>
      <c r="AM9" t="s">
        <v>169</v>
      </c>
      <c r="AN9" t="s">
        <v>169</v>
      </c>
      <c r="AO9">
        <v>4</v>
      </c>
      <c r="AP9" t="s">
        <v>153</v>
      </c>
      <c r="AQ9" t="s">
        <v>153</v>
      </c>
      <c r="AR9" t="s">
        <v>264</v>
      </c>
      <c r="AS9" t="s">
        <v>265</v>
      </c>
      <c r="AT9" t="s">
        <v>266</v>
      </c>
      <c r="AU9" t="s">
        <v>157</v>
      </c>
      <c r="AW9" s="1" t="s">
        <v>123</v>
      </c>
      <c r="AX9" t="s">
        <v>132</v>
      </c>
      <c r="CQ9" s="1" t="s">
        <v>123</v>
      </c>
      <c r="DA9" s="1" t="s">
        <v>123</v>
      </c>
      <c r="DK9" s="1" t="s">
        <v>123</v>
      </c>
      <c r="EN9" s="1" t="s">
        <v>123</v>
      </c>
      <c r="EO9" t="s">
        <v>180</v>
      </c>
      <c r="EP9" t="s">
        <v>132</v>
      </c>
      <c r="FN9" s="1" t="s">
        <v>123</v>
      </c>
      <c r="FO9" t="s">
        <v>132</v>
      </c>
      <c r="FQ9" t="s">
        <v>132</v>
      </c>
      <c r="GV9" t="s">
        <v>267</v>
      </c>
      <c r="GW9" t="s">
        <v>267</v>
      </c>
      <c r="GX9" t="s">
        <v>267</v>
      </c>
      <c r="GY9" t="s">
        <v>186</v>
      </c>
      <c r="GZ9">
        <v>1988</v>
      </c>
      <c r="HA9" t="s">
        <v>220</v>
      </c>
      <c r="HC9" t="s">
        <v>268</v>
      </c>
      <c r="HD9" t="s">
        <v>268</v>
      </c>
    </row>
    <row r="10" spans="1:213" x14ac:dyDescent="0.45">
      <c r="A10">
        <v>8</v>
      </c>
      <c r="B10">
        <f>_xlfn.IFNA(VLOOKUP(Wszystkie[[#This Row],[Zakończono wypełnianie]],Zakończone[],2,0),"BRAK")</f>
        <v>8</v>
      </c>
      <c r="C10" t="s">
        <v>269</v>
      </c>
      <c r="D10" t="s">
        <v>118</v>
      </c>
      <c r="I10" t="s">
        <v>119</v>
      </c>
      <c r="J10" t="s">
        <v>270</v>
      </c>
      <c r="K10" t="s">
        <v>271</v>
      </c>
      <c r="L10">
        <v>768</v>
      </c>
      <c r="M10">
        <v>0</v>
      </c>
      <c r="N10" t="s">
        <v>122</v>
      </c>
      <c r="O10" s="1" t="s">
        <v>123</v>
      </c>
      <c r="AE10" s="1" t="s">
        <v>124</v>
      </c>
      <c r="AF10" t="s">
        <v>160</v>
      </c>
      <c r="AG10">
        <v>1973</v>
      </c>
      <c r="AH10" t="s">
        <v>148</v>
      </c>
      <c r="AI10" t="s">
        <v>272</v>
      </c>
      <c r="AJ10" t="s">
        <v>169</v>
      </c>
      <c r="AK10" t="s">
        <v>169</v>
      </c>
      <c r="AL10" t="s">
        <v>150</v>
      </c>
      <c r="AM10" t="s">
        <v>129</v>
      </c>
      <c r="AN10" t="s">
        <v>129</v>
      </c>
      <c r="AO10">
        <v>0</v>
      </c>
      <c r="AP10" t="s">
        <v>152</v>
      </c>
      <c r="AQ10" t="s">
        <v>152</v>
      </c>
      <c r="AR10" t="s">
        <v>273</v>
      </c>
      <c r="AS10" t="s">
        <v>274</v>
      </c>
      <c r="AT10" t="s">
        <v>275</v>
      </c>
      <c r="AU10" t="s">
        <v>172</v>
      </c>
      <c r="AW10" s="1" t="s">
        <v>159</v>
      </c>
      <c r="AX10">
        <v>3</v>
      </c>
      <c r="AY10" t="s">
        <v>160</v>
      </c>
      <c r="AZ10" t="s">
        <v>276</v>
      </c>
      <c r="BA10" t="s">
        <v>148</v>
      </c>
      <c r="BB10" t="s">
        <v>277</v>
      </c>
      <c r="BC10" t="s">
        <v>169</v>
      </c>
      <c r="BD10" t="s">
        <v>169</v>
      </c>
      <c r="BE10" t="s">
        <v>236</v>
      </c>
      <c r="BF10" t="s">
        <v>236</v>
      </c>
      <c r="BG10" t="s">
        <v>236</v>
      </c>
      <c r="BH10">
        <v>0</v>
      </c>
      <c r="BI10" t="s">
        <v>278</v>
      </c>
      <c r="BJ10" t="s">
        <v>172</v>
      </c>
      <c r="BM10" t="s">
        <v>173</v>
      </c>
      <c r="CQ10" s="1" t="s">
        <v>123</v>
      </c>
      <c r="DA10" s="1" t="s">
        <v>214</v>
      </c>
      <c r="DB10" t="s">
        <v>279</v>
      </c>
      <c r="DC10" t="s">
        <v>280</v>
      </c>
      <c r="DD10" t="s">
        <v>150</v>
      </c>
      <c r="DE10" t="s">
        <v>150</v>
      </c>
      <c r="DF10" t="s">
        <v>150</v>
      </c>
      <c r="DG10" t="s">
        <v>150</v>
      </c>
      <c r="DH10" t="s">
        <v>150</v>
      </c>
      <c r="DI10" t="s">
        <v>150</v>
      </c>
      <c r="DJ10" t="s">
        <v>281</v>
      </c>
      <c r="DK10" s="1" t="s">
        <v>123</v>
      </c>
      <c r="EN10" s="1" t="s">
        <v>123</v>
      </c>
      <c r="EO10" t="s">
        <v>180</v>
      </c>
      <c r="EP10" t="s">
        <v>132</v>
      </c>
      <c r="FN10" s="1" t="s">
        <v>123</v>
      </c>
      <c r="FO10" t="s">
        <v>132</v>
      </c>
      <c r="FQ10" t="s">
        <v>132</v>
      </c>
      <c r="GV10" t="s">
        <v>282</v>
      </c>
      <c r="GW10" t="s">
        <v>283</v>
      </c>
      <c r="GX10" t="s">
        <v>284</v>
      </c>
      <c r="GY10" t="s">
        <v>186</v>
      </c>
      <c r="GZ10">
        <v>1950</v>
      </c>
      <c r="HA10" t="s">
        <v>141</v>
      </c>
    </row>
    <row r="11" spans="1:213" x14ac:dyDescent="0.45">
      <c r="A11">
        <v>9</v>
      </c>
      <c r="B11" t="str">
        <f>_xlfn.IFNA(VLOOKUP(Wszystkie[[#This Row],[Zakończono wypełnianie]],Zakończone[],2,0),"BRAK")</f>
        <v>BRAK</v>
      </c>
      <c r="C11" t="s">
        <v>285</v>
      </c>
      <c r="D11" t="s">
        <v>118</v>
      </c>
      <c r="I11" t="s">
        <v>286</v>
      </c>
      <c r="J11" t="s">
        <v>287</v>
      </c>
      <c r="K11" t="s">
        <v>287</v>
      </c>
      <c r="L11">
        <v>0</v>
      </c>
      <c r="M11">
        <v>0</v>
      </c>
      <c r="N11" t="s">
        <v>122</v>
      </c>
      <c r="O11" s="1" t="s">
        <v>123</v>
      </c>
      <c r="AE11" s="1" t="s">
        <v>124</v>
      </c>
      <c r="AW11" s="1"/>
      <c r="CQ11" s="1"/>
      <c r="DA11" s="1"/>
      <c r="DK11" s="1"/>
      <c r="EN11" s="1"/>
      <c r="FN11" s="1"/>
    </row>
    <row r="12" spans="1:213" x14ac:dyDescent="0.45">
      <c r="A12">
        <v>10</v>
      </c>
      <c r="B12">
        <f>_xlfn.IFNA(VLOOKUP(Wszystkie[[#This Row],[Zakończono wypełnianie]],Zakończone[],2,0),"BRAK")</f>
        <v>9</v>
      </c>
      <c r="C12" t="s">
        <v>288</v>
      </c>
      <c r="D12" t="s">
        <v>118</v>
      </c>
      <c r="I12" t="s">
        <v>119</v>
      </c>
      <c r="J12" t="s">
        <v>289</v>
      </c>
      <c r="K12" t="s">
        <v>290</v>
      </c>
      <c r="L12">
        <v>4259</v>
      </c>
      <c r="M12">
        <v>0</v>
      </c>
      <c r="N12" t="s">
        <v>122</v>
      </c>
      <c r="O12" s="1" t="s">
        <v>123</v>
      </c>
      <c r="AE12" s="1" t="s">
        <v>124</v>
      </c>
      <c r="AF12" t="s">
        <v>191</v>
      </c>
      <c r="AG12">
        <v>2013</v>
      </c>
      <c r="AH12" t="s">
        <v>126</v>
      </c>
      <c r="AI12" t="s">
        <v>291</v>
      </c>
      <c r="AJ12" t="s">
        <v>150</v>
      </c>
      <c r="AK12" t="s">
        <v>150</v>
      </c>
      <c r="AL12" t="s">
        <v>169</v>
      </c>
      <c r="AM12" t="s">
        <v>151</v>
      </c>
      <c r="AN12" t="s">
        <v>162</v>
      </c>
      <c r="AO12">
        <v>1</v>
      </c>
      <c r="AP12" t="s">
        <v>131</v>
      </c>
      <c r="AQ12" t="s">
        <v>153</v>
      </c>
      <c r="AR12" t="s">
        <v>292</v>
      </c>
      <c r="AS12" t="s">
        <v>293</v>
      </c>
      <c r="AT12" t="s">
        <v>294</v>
      </c>
      <c r="AU12" t="s">
        <v>157</v>
      </c>
      <c r="AW12" s="1" t="s">
        <v>123</v>
      </c>
      <c r="AX12" t="s">
        <v>132</v>
      </c>
      <c r="CQ12" s="1" t="s">
        <v>123</v>
      </c>
      <c r="DA12" s="1" t="s">
        <v>123</v>
      </c>
      <c r="DK12" s="1" t="s">
        <v>123</v>
      </c>
      <c r="EN12" s="1" t="s">
        <v>123</v>
      </c>
      <c r="FN12" s="1" t="s">
        <v>123</v>
      </c>
      <c r="FO12" t="s">
        <v>132</v>
      </c>
      <c r="FQ12" t="s">
        <v>132</v>
      </c>
      <c r="GV12" t="s">
        <v>295</v>
      </c>
      <c r="GW12" t="s">
        <v>296</v>
      </c>
      <c r="GX12" t="s">
        <v>297</v>
      </c>
      <c r="GY12" t="s">
        <v>186</v>
      </c>
      <c r="GZ12">
        <v>1988</v>
      </c>
      <c r="HA12" t="s">
        <v>141</v>
      </c>
    </row>
    <row r="13" spans="1:213" x14ac:dyDescent="0.45">
      <c r="A13">
        <v>11</v>
      </c>
      <c r="B13">
        <f>_xlfn.IFNA(VLOOKUP(Wszystkie[[#This Row],[Zakończono wypełnianie]],Zakończone[],2,0),"BRAK")</f>
        <v>10</v>
      </c>
      <c r="C13" t="s">
        <v>298</v>
      </c>
      <c r="D13" t="s">
        <v>118</v>
      </c>
      <c r="I13" t="s">
        <v>119</v>
      </c>
      <c r="J13" t="s">
        <v>299</v>
      </c>
      <c r="K13" t="s">
        <v>300</v>
      </c>
      <c r="L13">
        <v>1404</v>
      </c>
      <c r="M13">
        <v>0</v>
      </c>
      <c r="N13" t="s">
        <v>122</v>
      </c>
      <c r="O13" s="1" t="s">
        <v>123</v>
      </c>
      <c r="AE13" s="1" t="s">
        <v>124</v>
      </c>
      <c r="AF13" t="s">
        <v>191</v>
      </c>
      <c r="AG13">
        <v>1986</v>
      </c>
      <c r="AH13" t="s">
        <v>126</v>
      </c>
      <c r="AI13" t="s">
        <v>301</v>
      </c>
      <c r="AJ13" t="s">
        <v>150</v>
      </c>
      <c r="AK13" t="s">
        <v>150</v>
      </c>
      <c r="AL13" t="s">
        <v>162</v>
      </c>
      <c r="AM13" t="s">
        <v>151</v>
      </c>
      <c r="AN13" t="s">
        <v>151</v>
      </c>
      <c r="AO13">
        <v>2</v>
      </c>
      <c r="AP13" t="s">
        <v>302</v>
      </c>
      <c r="AQ13" t="s">
        <v>153</v>
      </c>
      <c r="AR13" t="s">
        <v>303</v>
      </c>
      <c r="AS13" t="s">
        <v>304</v>
      </c>
      <c r="AT13" t="s">
        <v>305</v>
      </c>
      <c r="AU13" t="s">
        <v>157</v>
      </c>
      <c r="AW13" s="1" t="s">
        <v>159</v>
      </c>
      <c r="AX13">
        <v>1</v>
      </c>
      <c r="AY13" t="s">
        <v>223</v>
      </c>
      <c r="AZ13">
        <v>2011</v>
      </c>
      <c r="BA13" t="s">
        <v>148</v>
      </c>
      <c r="BB13" t="s">
        <v>127</v>
      </c>
      <c r="BC13" t="s">
        <v>150</v>
      </c>
      <c r="BD13" t="s">
        <v>150</v>
      </c>
      <c r="BE13" t="s">
        <v>169</v>
      </c>
      <c r="BF13" t="s">
        <v>169</v>
      </c>
      <c r="BG13" t="s">
        <v>169</v>
      </c>
      <c r="BH13">
        <v>1</v>
      </c>
      <c r="BI13" t="s">
        <v>306</v>
      </c>
      <c r="BJ13" t="s">
        <v>157</v>
      </c>
      <c r="BL13" t="s">
        <v>307</v>
      </c>
      <c r="BM13" t="s">
        <v>173</v>
      </c>
      <c r="CQ13" s="1" t="s">
        <v>123</v>
      </c>
      <c r="DA13" s="1" t="s">
        <v>214</v>
      </c>
      <c r="DB13" t="s">
        <v>191</v>
      </c>
      <c r="DC13" t="s">
        <v>308</v>
      </c>
      <c r="DD13" t="s">
        <v>150</v>
      </c>
      <c r="DE13" t="s">
        <v>150</v>
      </c>
      <c r="DF13" t="s">
        <v>162</v>
      </c>
      <c r="DG13" t="s">
        <v>150</v>
      </c>
      <c r="DH13" t="s">
        <v>150</v>
      </c>
      <c r="DI13" t="s">
        <v>150</v>
      </c>
      <c r="DJ13" t="s">
        <v>309</v>
      </c>
      <c r="DK13" s="1" t="s">
        <v>123</v>
      </c>
      <c r="EN13" s="1" t="s">
        <v>123</v>
      </c>
      <c r="EO13" t="s">
        <v>180</v>
      </c>
      <c r="EP13" t="s">
        <v>132</v>
      </c>
      <c r="FN13" s="1" t="s">
        <v>123</v>
      </c>
      <c r="FO13" t="s">
        <v>132</v>
      </c>
      <c r="FQ13" t="s">
        <v>132</v>
      </c>
      <c r="GV13" t="s">
        <v>310</v>
      </c>
      <c r="GW13" t="s">
        <v>311</v>
      </c>
      <c r="GX13" t="s">
        <v>312</v>
      </c>
      <c r="GY13" t="s">
        <v>186</v>
      </c>
      <c r="GZ13">
        <v>1963</v>
      </c>
      <c r="HA13" t="s">
        <v>141</v>
      </c>
      <c r="HB13" t="s">
        <v>313</v>
      </c>
      <c r="HC13" t="s">
        <v>314</v>
      </c>
      <c r="HD13" t="s">
        <v>315</v>
      </c>
    </row>
    <row r="14" spans="1:213" x14ac:dyDescent="0.45">
      <c r="A14">
        <v>12</v>
      </c>
      <c r="B14">
        <f>_xlfn.IFNA(VLOOKUP(Wszystkie[[#This Row],[Zakończono wypełnianie]],Zakończone[],2,0),"BRAK")</f>
        <v>11</v>
      </c>
      <c r="C14" t="s">
        <v>316</v>
      </c>
      <c r="D14" t="s">
        <v>118</v>
      </c>
      <c r="I14" t="s">
        <v>119</v>
      </c>
      <c r="J14" t="s">
        <v>317</v>
      </c>
      <c r="K14" t="s">
        <v>318</v>
      </c>
      <c r="L14">
        <v>349</v>
      </c>
      <c r="M14">
        <v>0</v>
      </c>
      <c r="N14" t="s">
        <v>122</v>
      </c>
      <c r="O14" s="1" t="s">
        <v>123</v>
      </c>
      <c r="AE14" s="1" t="s">
        <v>124</v>
      </c>
      <c r="AF14" t="s">
        <v>191</v>
      </c>
      <c r="AG14">
        <v>2010</v>
      </c>
      <c r="AH14" t="s">
        <v>126</v>
      </c>
      <c r="AI14" t="s">
        <v>319</v>
      </c>
      <c r="AJ14" t="s">
        <v>236</v>
      </c>
      <c r="AK14" t="s">
        <v>128</v>
      </c>
      <c r="AL14" t="s">
        <v>162</v>
      </c>
      <c r="AM14" t="s">
        <v>162</v>
      </c>
      <c r="AN14" t="s">
        <v>162</v>
      </c>
      <c r="AO14">
        <v>6</v>
      </c>
      <c r="AP14" t="s">
        <v>131</v>
      </c>
      <c r="AQ14" t="s">
        <v>302</v>
      </c>
      <c r="AR14" t="s">
        <v>320</v>
      </c>
      <c r="AS14" t="s">
        <v>321</v>
      </c>
      <c r="AT14" t="s">
        <v>322</v>
      </c>
      <c r="AU14" t="s">
        <v>157</v>
      </c>
      <c r="AW14" s="1" t="s">
        <v>123</v>
      </c>
      <c r="AX14" t="s">
        <v>132</v>
      </c>
      <c r="CQ14" s="1" t="s">
        <v>123</v>
      </c>
      <c r="DA14" s="1" t="s">
        <v>123</v>
      </c>
      <c r="DK14" s="1" t="s">
        <v>123</v>
      </c>
      <c r="EN14" s="1" t="s">
        <v>123</v>
      </c>
      <c r="EO14" t="s">
        <v>180</v>
      </c>
      <c r="EP14" t="s">
        <v>132</v>
      </c>
      <c r="FN14" s="1" t="s">
        <v>123</v>
      </c>
      <c r="FO14" t="s">
        <v>132</v>
      </c>
      <c r="FQ14" t="s">
        <v>132</v>
      </c>
      <c r="GV14" t="s">
        <v>323</v>
      </c>
      <c r="GW14" t="s">
        <v>324</v>
      </c>
      <c r="GX14" t="s">
        <v>325</v>
      </c>
      <c r="GY14" t="s">
        <v>186</v>
      </c>
      <c r="GZ14">
        <v>1985</v>
      </c>
      <c r="HA14" t="s">
        <v>141</v>
      </c>
    </row>
    <row r="15" spans="1:213" x14ac:dyDescent="0.45">
      <c r="A15">
        <v>14</v>
      </c>
      <c r="B15">
        <f>_xlfn.IFNA(VLOOKUP(Wszystkie[[#This Row],[Zakończono wypełnianie]],Zakończone[],2,0),"BRAK")</f>
        <v>13</v>
      </c>
      <c r="C15" t="s">
        <v>341</v>
      </c>
      <c r="D15" t="s">
        <v>118</v>
      </c>
      <c r="I15" t="s">
        <v>119</v>
      </c>
      <c r="J15" t="s">
        <v>342</v>
      </c>
      <c r="K15" t="s">
        <v>343</v>
      </c>
      <c r="L15">
        <v>11</v>
      </c>
      <c r="M15">
        <v>0</v>
      </c>
      <c r="N15" t="s">
        <v>344</v>
      </c>
      <c r="O15" s="1"/>
      <c r="AE15" s="1"/>
      <c r="AW15" s="1"/>
      <c r="CQ15" s="1"/>
      <c r="DA15" s="1"/>
      <c r="DK15" s="1"/>
      <c r="EN15" s="1"/>
      <c r="FN15" s="1"/>
    </row>
    <row r="16" spans="1:213" x14ac:dyDescent="0.45">
      <c r="A16">
        <v>15</v>
      </c>
      <c r="B16">
        <f>_xlfn.IFNA(VLOOKUP(Wszystkie[[#This Row],[Zakończono wypełnianie]],Zakończone[],2,0),"BRAK")</f>
        <v>14</v>
      </c>
      <c r="C16" t="s">
        <v>341</v>
      </c>
      <c r="D16" t="s">
        <v>118</v>
      </c>
      <c r="I16" t="s">
        <v>119</v>
      </c>
      <c r="J16" t="s">
        <v>345</v>
      </c>
      <c r="K16" t="s">
        <v>346</v>
      </c>
      <c r="L16">
        <v>7</v>
      </c>
      <c r="M16">
        <v>0</v>
      </c>
      <c r="N16" t="s">
        <v>344</v>
      </c>
      <c r="O16" s="1"/>
      <c r="AE16" s="1"/>
      <c r="AW16" s="1"/>
      <c r="CQ16" s="1"/>
      <c r="DA16" s="1"/>
      <c r="DK16" s="1"/>
      <c r="EN16" s="1"/>
      <c r="FN16" s="1"/>
    </row>
    <row r="17" spans="1:211" x14ac:dyDescent="0.45">
      <c r="A17">
        <v>16</v>
      </c>
      <c r="B17">
        <f>_xlfn.IFNA(VLOOKUP(Wszystkie[[#This Row],[Zakończono wypełnianie]],Zakończone[],2,0),"BRAK")</f>
        <v>15</v>
      </c>
      <c r="C17" t="s">
        <v>347</v>
      </c>
      <c r="D17" t="s">
        <v>118</v>
      </c>
      <c r="I17" t="s">
        <v>119</v>
      </c>
      <c r="J17" t="s">
        <v>348</v>
      </c>
      <c r="K17" t="s">
        <v>349</v>
      </c>
      <c r="L17">
        <v>781</v>
      </c>
      <c r="M17">
        <v>0</v>
      </c>
      <c r="N17" t="s">
        <v>122</v>
      </c>
      <c r="O17" s="1" t="s">
        <v>123</v>
      </c>
      <c r="AE17" s="1" t="s">
        <v>124</v>
      </c>
      <c r="AF17" t="s">
        <v>191</v>
      </c>
      <c r="AG17">
        <v>2010</v>
      </c>
      <c r="AH17" t="s">
        <v>126</v>
      </c>
      <c r="AI17" t="s">
        <v>127</v>
      </c>
      <c r="AJ17" t="s">
        <v>150</v>
      </c>
      <c r="AK17" t="s">
        <v>128</v>
      </c>
      <c r="AL17" t="s">
        <v>151</v>
      </c>
      <c r="AM17" t="s">
        <v>162</v>
      </c>
      <c r="AN17" t="s">
        <v>162</v>
      </c>
      <c r="AO17" t="s">
        <v>350</v>
      </c>
      <c r="AP17" t="s">
        <v>302</v>
      </c>
      <c r="AQ17" t="s">
        <v>302</v>
      </c>
      <c r="AR17" t="s">
        <v>351</v>
      </c>
      <c r="AS17" t="s">
        <v>352</v>
      </c>
      <c r="AT17" t="s">
        <v>353</v>
      </c>
      <c r="AU17" t="s">
        <v>157</v>
      </c>
      <c r="AW17" s="1" t="s">
        <v>123</v>
      </c>
      <c r="AX17" t="s">
        <v>132</v>
      </c>
      <c r="CQ17" s="1" t="s">
        <v>123</v>
      </c>
      <c r="DA17" s="1" t="s">
        <v>123</v>
      </c>
      <c r="DK17" s="1" t="s">
        <v>123</v>
      </c>
      <c r="EN17" s="1" t="s">
        <v>123</v>
      </c>
      <c r="EP17" t="s">
        <v>132</v>
      </c>
      <c r="FN17" s="1" t="s">
        <v>123</v>
      </c>
      <c r="FO17" t="s">
        <v>132</v>
      </c>
      <c r="GV17" t="s">
        <v>354</v>
      </c>
      <c r="GW17" t="s">
        <v>355</v>
      </c>
      <c r="GX17" t="s">
        <v>356</v>
      </c>
      <c r="GY17" t="s">
        <v>140</v>
      </c>
      <c r="GZ17">
        <v>1986</v>
      </c>
      <c r="HA17" t="s">
        <v>141</v>
      </c>
      <c r="HC17" t="s">
        <v>357</v>
      </c>
    </row>
    <row r="18" spans="1:211" x14ac:dyDescent="0.45">
      <c r="A18">
        <v>18</v>
      </c>
      <c r="B18" t="str">
        <f>_xlfn.IFNA(VLOOKUP(Wszystkie[[#This Row],[Zakończono wypełnianie]],Zakończone[],2,0),"BRAK")</f>
        <v>BRAK</v>
      </c>
      <c r="C18" t="s">
        <v>370</v>
      </c>
      <c r="D18" t="s">
        <v>118</v>
      </c>
      <c r="E18" t="s">
        <v>359</v>
      </c>
      <c r="I18" t="s">
        <v>286</v>
      </c>
      <c r="J18" t="s">
        <v>371</v>
      </c>
      <c r="K18" t="s">
        <v>371</v>
      </c>
      <c r="L18">
        <v>0</v>
      </c>
      <c r="M18">
        <v>0</v>
      </c>
      <c r="N18" t="s">
        <v>122</v>
      </c>
      <c r="O18" s="1" t="s">
        <v>123</v>
      </c>
      <c r="AE18" s="1" t="s">
        <v>124</v>
      </c>
      <c r="AW18" s="1"/>
      <c r="CQ18" s="1"/>
      <c r="DA18" s="1"/>
      <c r="DK18" s="1"/>
      <c r="EN18" s="1"/>
      <c r="FN18" s="1"/>
    </row>
    <row r="19" spans="1:211" x14ac:dyDescent="0.45">
      <c r="A19">
        <v>17</v>
      </c>
      <c r="B19">
        <f>_xlfn.IFNA(VLOOKUP(Wszystkie[[#This Row],[Zakończono wypełnianie]],Zakończone[],2,0),"BRAK")</f>
        <v>16</v>
      </c>
      <c r="C19" t="s">
        <v>358</v>
      </c>
      <c r="D19" t="s">
        <v>118</v>
      </c>
      <c r="E19" t="s">
        <v>359</v>
      </c>
      <c r="I19" t="s">
        <v>119</v>
      </c>
      <c r="J19" t="s">
        <v>360</v>
      </c>
      <c r="K19" t="s">
        <v>361</v>
      </c>
      <c r="L19">
        <v>1534</v>
      </c>
      <c r="M19">
        <v>0</v>
      </c>
      <c r="N19" t="s">
        <v>122</v>
      </c>
      <c r="O19" s="1" t="s">
        <v>123</v>
      </c>
      <c r="AE19" s="1" t="s">
        <v>124</v>
      </c>
      <c r="AF19" t="s">
        <v>223</v>
      </c>
      <c r="AG19">
        <v>2011</v>
      </c>
      <c r="AH19" t="s">
        <v>148</v>
      </c>
      <c r="AI19" t="s">
        <v>362</v>
      </c>
      <c r="AJ19" t="s">
        <v>151</v>
      </c>
      <c r="AK19" t="s">
        <v>236</v>
      </c>
      <c r="AL19" t="s">
        <v>129</v>
      </c>
      <c r="AM19" t="s">
        <v>129</v>
      </c>
      <c r="AN19" t="s">
        <v>129</v>
      </c>
      <c r="AO19">
        <v>4</v>
      </c>
      <c r="AP19" t="s">
        <v>131</v>
      </c>
      <c r="AQ19" t="s">
        <v>131</v>
      </c>
      <c r="AR19" t="s">
        <v>363</v>
      </c>
      <c r="AS19" t="s">
        <v>364</v>
      </c>
      <c r="AT19" t="s">
        <v>365</v>
      </c>
      <c r="AU19" t="s">
        <v>157</v>
      </c>
      <c r="AW19" s="1" t="s">
        <v>123</v>
      </c>
      <c r="CQ19" s="1" t="s">
        <v>123</v>
      </c>
      <c r="DA19" s="1" t="s">
        <v>123</v>
      </c>
      <c r="DK19" s="1" t="s">
        <v>123</v>
      </c>
      <c r="EN19" s="1" t="s">
        <v>123</v>
      </c>
      <c r="FN19" s="1" t="s">
        <v>123</v>
      </c>
      <c r="FO19" t="s">
        <v>132</v>
      </c>
      <c r="GV19" t="s">
        <v>366</v>
      </c>
      <c r="GW19" t="s">
        <v>367</v>
      </c>
      <c r="GX19" t="s">
        <v>368</v>
      </c>
      <c r="GY19" t="s">
        <v>140</v>
      </c>
      <c r="GZ19">
        <v>1987</v>
      </c>
      <c r="HA19" t="s">
        <v>141</v>
      </c>
      <c r="HC19" t="s">
        <v>369</v>
      </c>
    </row>
    <row r="20" spans="1:211" x14ac:dyDescent="0.45">
      <c r="A20">
        <v>19</v>
      </c>
      <c r="B20" t="str">
        <f>_xlfn.IFNA(VLOOKUP(Wszystkie[[#This Row],[Zakończono wypełnianie]],Zakończone[],2,0),"BRAK")</f>
        <v>BRAK</v>
      </c>
      <c r="C20" t="s">
        <v>372</v>
      </c>
      <c r="D20" t="s">
        <v>118</v>
      </c>
      <c r="E20" t="s">
        <v>359</v>
      </c>
      <c r="I20" t="s">
        <v>286</v>
      </c>
      <c r="J20" t="s">
        <v>373</v>
      </c>
      <c r="K20" t="s">
        <v>373</v>
      </c>
      <c r="L20">
        <v>0</v>
      </c>
      <c r="M20">
        <v>0</v>
      </c>
      <c r="N20" t="s">
        <v>122</v>
      </c>
      <c r="O20" s="1" t="s">
        <v>123</v>
      </c>
      <c r="AE20" s="1" t="s">
        <v>124</v>
      </c>
      <c r="AW20" s="1"/>
      <c r="CQ20" s="1"/>
      <c r="DA20" s="1"/>
      <c r="DK20" s="1"/>
      <c r="EN20" s="1"/>
      <c r="FN20" s="1"/>
    </row>
    <row r="21" spans="1:211" x14ac:dyDescent="0.45">
      <c r="A21">
        <v>20</v>
      </c>
      <c r="B21">
        <f>_xlfn.IFNA(VLOOKUP(Wszystkie[[#This Row],[Zakończono wypełnianie]],Zakończone[],2,0),"BRAK")</f>
        <v>17</v>
      </c>
      <c r="C21" t="s">
        <v>374</v>
      </c>
      <c r="D21" t="s">
        <v>118</v>
      </c>
      <c r="E21" t="s">
        <v>375</v>
      </c>
      <c r="I21" t="s">
        <v>119</v>
      </c>
      <c r="J21" t="s">
        <v>376</v>
      </c>
      <c r="K21" t="s">
        <v>377</v>
      </c>
      <c r="L21">
        <v>14</v>
      </c>
      <c r="M21">
        <v>0</v>
      </c>
      <c r="N21" t="s">
        <v>344</v>
      </c>
      <c r="O21" s="1"/>
      <c r="AE21" s="1"/>
      <c r="AW21" s="1"/>
      <c r="CQ21" s="1"/>
      <c r="DA21" s="1"/>
      <c r="DK21" s="1"/>
      <c r="EN21" s="1"/>
      <c r="FN21" s="1"/>
    </row>
    <row r="22" spans="1:211" x14ac:dyDescent="0.45">
      <c r="A22">
        <v>21</v>
      </c>
      <c r="B22">
        <f>_xlfn.IFNA(VLOOKUP(Wszystkie[[#This Row],[Zakończono wypełnianie]],Zakończone[],2,0),"BRAK")</f>
        <v>18</v>
      </c>
      <c r="C22" t="s">
        <v>378</v>
      </c>
      <c r="D22" t="s">
        <v>118</v>
      </c>
      <c r="I22" t="s">
        <v>119</v>
      </c>
      <c r="J22" t="s">
        <v>379</v>
      </c>
      <c r="K22" t="s">
        <v>380</v>
      </c>
      <c r="L22">
        <v>5438</v>
      </c>
      <c r="M22">
        <v>0</v>
      </c>
      <c r="N22" t="s">
        <v>122</v>
      </c>
      <c r="O22" s="1" t="s">
        <v>123</v>
      </c>
      <c r="AE22" s="1" t="s">
        <v>124</v>
      </c>
      <c r="AF22" t="s">
        <v>381</v>
      </c>
      <c r="AG22">
        <v>1985</v>
      </c>
      <c r="AH22" t="s">
        <v>148</v>
      </c>
      <c r="AI22" t="s">
        <v>382</v>
      </c>
      <c r="AJ22" t="s">
        <v>169</v>
      </c>
      <c r="AK22" t="s">
        <v>169</v>
      </c>
      <c r="AL22" t="s">
        <v>128</v>
      </c>
      <c r="AM22" t="s">
        <v>236</v>
      </c>
      <c r="AN22" t="s">
        <v>236</v>
      </c>
      <c r="AO22" t="s">
        <v>383</v>
      </c>
      <c r="AP22" t="s">
        <v>152</v>
      </c>
      <c r="AQ22" t="s">
        <v>152</v>
      </c>
      <c r="AR22" t="s">
        <v>384</v>
      </c>
      <c r="AS22" t="s">
        <v>385</v>
      </c>
      <c r="AT22" t="s">
        <v>386</v>
      </c>
      <c r="AU22" t="s">
        <v>172</v>
      </c>
      <c r="AW22" s="1" t="s">
        <v>123</v>
      </c>
      <c r="AX22" t="s">
        <v>132</v>
      </c>
      <c r="CQ22" s="1" t="s">
        <v>387</v>
      </c>
      <c r="CR22" t="s">
        <v>388</v>
      </c>
      <c r="CS22" t="s">
        <v>389</v>
      </c>
      <c r="CT22" t="s">
        <v>169</v>
      </c>
      <c r="CU22" t="s">
        <v>169</v>
      </c>
      <c r="CV22" t="s">
        <v>169</v>
      </c>
      <c r="CW22" t="s">
        <v>169</v>
      </c>
      <c r="CX22" t="s">
        <v>169</v>
      </c>
      <c r="CY22" t="s">
        <v>169</v>
      </c>
      <c r="CZ22" t="s">
        <v>390</v>
      </c>
      <c r="DA22" s="1" t="s">
        <v>214</v>
      </c>
      <c r="DB22" t="s">
        <v>391</v>
      </c>
      <c r="DC22" t="s">
        <v>392</v>
      </c>
      <c r="DD22" t="s">
        <v>169</v>
      </c>
      <c r="DE22" t="s">
        <v>169</v>
      </c>
      <c r="DF22" t="s">
        <v>169</v>
      </c>
      <c r="DG22" t="s">
        <v>169</v>
      </c>
      <c r="DH22" t="s">
        <v>169</v>
      </c>
      <c r="DI22" t="s">
        <v>169</v>
      </c>
      <c r="DJ22" t="s">
        <v>393</v>
      </c>
      <c r="DK22" s="1" t="s">
        <v>174</v>
      </c>
      <c r="DL22" t="s">
        <v>394</v>
      </c>
      <c r="DP22" t="s">
        <v>391</v>
      </c>
      <c r="DQ22" t="s">
        <v>169</v>
      </c>
      <c r="DR22" t="s">
        <v>169</v>
      </c>
      <c r="DS22" t="s">
        <v>169</v>
      </c>
      <c r="DT22" t="s">
        <v>169</v>
      </c>
      <c r="DU22" t="s">
        <v>169</v>
      </c>
      <c r="DV22" t="s">
        <v>169</v>
      </c>
      <c r="DW22" t="s">
        <v>169</v>
      </c>
      <c r="DX22">
        <v>20</v>
      </c>
      <c r="DY22">
        <v>20</v>
      </c>
      <c r="DZ22">
        <v>0</v>
      </c>
      <c r="EA22">
        <v>15</v>
      </c>
      <c r="EB22">
        <v>30</v>
      </c>
      <c r="EC22">
        <v>0</v>
      </c>
      <c r="ED22">
        <v>15</v>
      </c>
      <c r="EF22">
        <v>30</v>
      </c>
      <c r="EG22">
        <v>20</v>
      </c>
      <c r="EH22">
        <v>0</v>
      </c>
      <c r="EI22">
        <v>10</v>
      </c>
      <c r="EJ22">
        <v>25</v>
      </c>
      <c r="EK22">
        <v>0</v>
      </c>
      <c r="EL22">
        <v>15</v>
      </c>
      <c r="EN22" s="1" t="s">
        <v>123</v>
      </c>
      <c r="EO22" t="s">
        <v>178</v>
      </c>
      <c r="EP22" t="s">
        <v>132</v>
      </c>
      <c r="FN22" s="1" t="s">
        <v>123</v>
      </c>
      <c r="FO22" t="s">
        <v>132</v>
      </c>
      <c r="FQ22" t="s">
        <v>132</v>
      </c>
      <c r="GV22" t="s">
        <v>395</v>
      </c>
      <c r="GW22" t="s">
        <v>396</v>
      </c>
      <c r="GX22" t="s">
        <v>397</v>
      </c>
      <c r="GY22" t="s">
        <v>186</v>
      </c>
      <c r="GZ22">
        <v>1960</v>
      </c>
      <c r="HA22" t="s">
        <v>398</v>
      </c>
    </row>
    <row r="23" spans="1:211" x14ac:dyDescent="0.45">
      <c r="A23">
        <v>22</v>
      </c>
      <c r="B23">
        <f>_xlfn.IFNA(VLOOKUP(Wszystkie[[#This Row],[Zakończono wypełnianie]],Zakończone[],2,0),"BRAK")</f>
        <v>19</v>
      </c>
      <c r="C23" t="s">
        <v>399</v>
      </c>
      <c r="D23" t="s">
        <v>118</v>
      </c>
      <c r="E23" t="s">
        <v>400</v>
      </c>
      <c r="I23" t="s">
        <v>119</v>
      </c>
      <c r="J23" t="s">
        <v>401</v>
      </c>
      <c r="K23" t="s">
        <v>402</v>
      </c>
      <c r="L23">
        <v>1075</v>
      </c>
      <c r="M23">
        <v>0</v>
      </c>
      <c r="N23" t="s">
        <v>122</v>
      </c>
      <c r="O23" s="1" t="s">
        <v>123</v>
      </c>
      <c r="AE23" s="1" t="s">
        <v>124</v>
      </c>
      <c r="AF23" t="s">
        <v>403</v>
      </c>
      <c r="AG23">
        <v>2010</v>
      </c>
      <c r="AH23" t="s">
        <v>148</v>
      </c>
      <c r="AI23" t="s">
        <v>404</v>
      </c>
      <c r="AJ23" t="s">
        <v>151</v>
      </c>
      <c r="AK23" t="s">
        <v>150</v>
      </c>
      <c r="AL23" t="s">
        <v>162</v>
      </c>
      <c r="AM23" t="s">
        <v>150</v>
      </c>
      <c r="AN23" t="s">
        <v>150</v>
      </c>
      <c r="AO23" t="s">
        <v>405</v>
      </c>
      <c r="AP23" t="s">
        <v>131</v>
      </c>
      <c r="AQ23" t="s">
        <v>302</v>
      </c>
      <c r="AR23" t="s">
        <v>406</v>
      </c>
      <c r="AS23" t="s">
        <v>407</v>
      </c>
      <c r="AT23" t="s">
        <v>408</v>
      </c>
      <c r="AU23" t="s">
        <v>230</v>
      </c>
      <c r="AW23" s="1" t="s">
        <v>123</v>
      </c>
      <c r="AX23" t="s">
        <v>132</v>
      </c>
      <c r="CQ23" s="1" t="s">
        <v>123</v>
      </c>
      <c r="DA23" s="1" t="s">
        <v>123</v>
      </c>
      <c r="DK23" s="1" t="s">
        <v>123</v>
      </c>
      <c r="EN23" s="1" t="s">
        <v>123</v>
      </c>
      <c r="EO23" t="s">
        <v>180</v>
      </c>
      <c r="EP23" t="s">
        <v>132</v>
      </c>
      <c r="FN23" s="1" t="s">
        <v>123</v>
      </c>
      <c r="FO23" t="s">
        <v>132</v>
      </c>
      <c r="FQ23" t="s">
        <v>132</v>
      </c>
      <c r="GV23" t="s">
        <v>409</v>
      </c>
      <c r="GW23" t="s">
        <v>410</v>
      </c>
      <c r="GX23" t="s">
        <v>411</v>
      </c>
      <c r="GY23" t="s">
        <v>140</v>
      </c>
      <c r="GZ23">
        <v>1985</v>
      </c>
      <c r="HA23" t="s">
        <v>398</v>
      </c>
      <c r="HC23" t="s">
        <v>412</v>
      </c>
    </row>
    <row r="24" spans="1:211" x14ac:dyDescent="0.45">
      <c r="A24">
        <v>23</v>
      </c>
      <c r="B24" t="str">
        <f>_xlfn.IFNA(VLOOKUP(Wszystkie[[#This Row],[Zakończono wypełnianie]],Zakończone[],2,0),"BRAK")</f>
        <v>BRAK</v>
      </c>
      <c r="C24" t="s">
        <v>372</v>
      </c>
      <c r="D24" t="s">
        <v>118</v>
      </c>
      <c r="I24" t="s">
        <v>286</v>
      </c>
      <c r="J24" t="s">
        <v>413</v>
      </c>
      <c r="K24" t="s">
        <v>413</v>
      </c>
      <c r="L24">
        <v>0</v>
      </c>
      <c r="M24">
        <v>0</v>
      </c>
      <c r="N24" t="s">
        <v>122</v>
      </c>
      <c r="O24" s="1" t="s">
        <v>123</v>
      </c>
      <c r="AE24" s="1" t="s">
        <v>124</v>
      </c>
      <c r="AW24" s="1"/>
      <c r="CQ24" s="1"/>
      <c r="DA24" s="1"/>
      <c r="DK24" s="1"/>
      <c r="EN24" s="1"/>
      <c r="FN24" s="1"/>
    </row>
    <row r="25" spans="1:211" x14ac:dyDescent="0.45">
      <c r="A25">
        <v>24</v>
      </c>
      <c r="B25" t="str">
        <f>_xlfn.IFNA(VLOOKUP(Wszystkie[[#This Row],[Zakończono wypełnianie]],Zakończone[],2,0),"BRAK")</f>
        <v>BRAK</v>
      </c>
      <c r="C25" t="s">
        <v>414</v>
      </c>
      <c r="D25" t="s">
        <v>118</v>
      </c>
      <c r="I25" t="s">
        <v>286</v>
      </c>
      <c r="J25" t="s">
        <v>415</v>
      </c>
      <c r="K25" t="s">
        <v>415</v>
      </c>
      <c r="L25">
        <v>0</v>
      </c>
      <c r="M25">
        <v>0</v>
      </c>
      <c r="N25" t="s">
        <v>122</v>
      </c>
      <c r="O25" s="1" t="s">
        <v>416</v>
      </c>
      <c r="AE25" s="1"/>
      <c r="AW25" s="1"/>
      <c r="CQ25" s="1"/>
      <c r="DA25" s="1"/>
      <c r="DK25" s="1"/>
      <c r="EN25" s="1"/>
      <c r="FN25" s="1"/>
    </row>
    <row r="26" spans="1:211" x14ac:dyDescent="0.45">
      <c r="A26">
        <v>25</v>
      </c>
      <c r="B26" t="str">
        <f>_xlfn.IFNA(VLOOKUP(Wszystkie[[#This Row],[Zakończono wypełnianie]],Zakończone[],2,0),"BRAK")</f>
        <v>BRAK</v>
      </c>
      <c r="C26" t="s">
        <v>417</v>
      </c>
      <c r="D26" t="s">
        <v>118</v>
      </c>
      <c r="E26" t="s">
        <v>400</v>
      </c>
      <c r="I26" t="s">
        <v>286</v>
      </c>
      <c r="J26" t="s">
        <v>418</v>
      </c>
      <c r="K26" t="s">
        <v>418</v>
      </c>
      <c r="L26">
        <v>0</v>
      </c>
      <c r="M26">
        <v>0</v>
      </c>
      <c r="N26" t="s">
        <v>122</v>
      </c>
      <c r="O26" s="1" t="s">
        <v>416</v>
      </c>
      <c r="P26" t="s">
        <v>147</v>
      </c>
      <c r="Q26" t="s">
        <v>148</v>
      </c>
      <c r="R26" t="s">
        <v>419</v>
      </c>
      <c r="S26" t="s">
        <v>150</v>
      </c>
      <c r="T26" t="s">
        <v>169</v>
      </c>
      <c r="U26" t="s">
        <v>169</v>
      </c>
      <c r="V26" t="s">
        <v>420</v>
      </c>
      <c r="W26" t="s">
        <v>153</v>
      </c>
      <c r="X26" t="s">
        <v>302</v>
      </c>
      <c r="Y26" t="s">
        <v>421</v>
      </c>
      <c r="Z26" t="s">
        <v>422</v>
      </c>
      <c r="AA26" t="s">
        <v>423</v>
      </c>
      <c r="AB26" t="s">
        <v>172</v>
      </c>
      <c r="AD26" t="s">
        <v>424</v>
      </c>
      <c r="AE26" s="1" t="s">
        <v>123</v>
      </c>
      <c r="AW26" s="1" t="s">
        <v>123</v>
      </c>
      <c r="AX26" t="s">
        <v>132</v>
      </c>
      <c r="CQ26" s="1" t="s">
        <v>123</v>
      </c>
      <c r="DA26" s="1" t="s">
        <v>123</v>
      </c>
      <c r="DK26" s="1" t="s">
        <v>123</v>
      </c>
      <c r="EN26" s="1" t="s">
        <v>177</v>
      </c>
      <c r="EO26" t="s">
        <v>180</v>
      </c>
      <c r="EP26">
        <v>1</v>
      </c>
      <c r="FN26" s="1"/>
    </row>
    <row r="27" spans="1:211" x14ac:dyDescent="0.45">
      <c r="A27">
        <v>26</v>
      </c>
      <c r="B27">
        <f>_xlfn.IFNA(VLOOKUP(Wszystkie[[#This Row],[Zakończono wypełnianie]],Zakończone[],2,0),"BRAK")</f>
        <v>20</v>
      </c>
      <c r="C27" t="s">
        <v>425</v>
      </c>
      <c r="D27" t="s">
        <v>118</v>
      </c>
      <c r="I27" t="s">
        <v>119</v>
      </c>
      <c r="J27" t="s">
        <v>426</v>
      </c>
      <c r="K27" t="s">
        <v>427</v>
      </c>
      <c r="L27">
        <v>1039</v>
      </c>
      <c r="M27">
        <v>0</v>
      </c>
      <c r="N27" t="s">
        <v>122</v>
      </c>
      <c r="O27" s="1" t="s">
        <v>123</v>
      </c>
      <c r="AE27" s="1" t="s">
        <v>124</v>
      </c>
      <c r="AF27" t="s">
        <v>428</v>
      </c>
      <c r="AG27">
        <v>2011</v>
      </c>
      <c r="AH27" t="s">
        <v>148</v>
      </c>
      <c r="AI27" t="s">
        <v>429</v>
      </c>
      <c r="AJ27" t="s">
        <v>162</v>
      </c>
      <c r="AK27" t="s">
        <v>162</v>
      </c>
      <c r="AL27" t="s">
        <v>128</v>
      </c>
      <c r="AM27" t="s">
        <v>128</v>
      </c>
      <c r="AN27" t="s">
        <v>128</v>
      </c>
      <c r="AO27">
        <v>2</v>
      </c>
      <c r="AP27" t="s">
        <v>131</v>
      </c>
      <c r="AQ27" t="s">
        <v>302</v>
      </c>
      <c r="AR27" t="s">
        <v>430</v>
      </c>
      <c r="AS27" t="s">
        <v>431</v>
      </c>
      <c r="AT27" t="s">
        <v>432</v>
      </c>
      <c r="AU27" t="s">
        <v>157</v>
      </c>
      <c r="AW27" s="1" t="s">
        <v>123</v>
      </c>
      <c r="AX27" t="s">
        <v>132</v>
      </c>
      <c r="CQ27" s="1" t="s">
        <v>123</v>
      </c>
      <c r="DA27" s="1" t="s">
        <v>123</v>
      </c>
      <c r="DK27" s="1" t="s">
        <v>123</v>
      </c>
      <c r="EN27" s="1" t="s">
        <v>123</v>
      </c>
      <c r="EO27" t="s">
        <v>180</v>
      </c>
      <c r="EP27" t="s">
        <v>132</v>
      </c>
      <c r="FN27" s="1" t="s">
        <v>123</v>
      </c>
      <c r="FO27" t="s">
        <v>132</v>
      </c>
      <c r="FQ27" t="s">
        <v>132</v>
      </c>
      <c r="GV27" t="s">
        <v>433</v>
      </c>
      <c r="GW27" t="s">
        <v>434</v>
      </c>
      <c r="GX27" t="s">
        <v>435</v>
      </c>
      <c r="GY27" t="s">
        <v>140</v>
      </c>
      <c r="GZ27">
        <v>1987</v>
      </c>
      <c r="HA27" t="s">
        <v>141</v>
      </c>
    </row>
    <row r="28" spans="1:211" x14ac:dyDescent="0.45">
      <c r="A28">
        <v>27</v>
      </c>
      <c r="B28" t="str">
        <f>_xlfn.IFNA(VLOOKUP(Wszystkie[[#This Row],[Zakończono wypełnianie]],Zakończone[],2,0),"BRAK")</f>
        <v>BRAK</v>
      </c>
      <c r="C28" t="s">
        <v>436</v>
      </c>
      <c r="D28" t="s">
        <v>118</v>
      </c>
      <c r="I28" t="s">
        <v>286</v>
      </c>
      <c r="J28" t="s">
        <v>437</v>
      </c>
      <c r="K28" t="s">
        <v>437</v>
      </c>
      <c r="L28">
        <v>0</v>
      </c>
      <c r="M28">
        <v>0</v>
      </c>
      <c r="N28" t="s">
        <v>122</v>
      </c>
      <c r="O28" s="1" t="s">
        <v>123</v>
      </c>
      <c r="AE28" s="1" t="s">
        <v>124</v>
      </c>
      <c r="AW28" s="1"/>
      <c r="CQ28" s="1"/>
      <c r="DA28" s="1"/>
      <c r="DK28" s="1"/>
      <c r="EN28" s="1"/>
      <c r="FN28" s="1"/>
    </row>
    <row r="29" spans="1:211" x14ac:dyDescent="0.45">
      <c r="A29">
        <v>28</v>
      </c>
      <c r="B29" t="str">
        <f>_xlfn.IFNA(VLOOKUP(Wszystkie[[#This Row],[Zakończono wypełnianie]],Zakończone[],2,0),"BRAK")</f>
        <v>BRAK</v>
      </c>
      <c r="C29" t="s">
        <v>438</v>
      </c>
      <c r="D29" t="s">
        <v>118</v>
      </c>
      <c r="I29" t="s">
        <v>286</v>
      </c>
      <c r="J29" t="s">
        <v>439</v>
      </c>
      <c r="K29" t="s">
        <v>439</v>
      </c>
      <c r="L29">
        <v>0</v>
      </c>
      <c r="M29">
        <v>0</v>
      </c>
      <c r="N29" t="s">
        <v>122</v>
      </c>
      <c r="O29" s="1" t="s">
        <v>416</v>
      </c>
      <c r="AE29" s="1"/>
      <c r="AW29" s="1"/>
      <c r="CQ29" s="1"/>
      <c r="DA29" s="1"/>
      <c r="DK29" s="1"/>
      <c r="EN29" s="1"/>
      <c r="FN29" s="1"/>
    </row>
    <row r="30" spans="1:211" x14ac:dyDescent="0.45">
      <c r="A30">
        <v>29</v>
      </c>
      <c r="B30" t="str">
        <f>_xlfn.IFNA(VLOOKUP(Wszystkie[[#This Row],[Zakończono wypełnianie]],Zakończone[],2,0),"BRAK")</f>
        <v>BRAK</v>
      </c>
      <c r="C30" t="s">
        <v>440</v>
      </c>
      <c r="D30" t="s">
        <v>118</v>
      </c>
      <c r="I30" t="s">
        <v>286</v>
      </c>
      <c r="J30" t="s">
        <v>441</v>
      </c>
      <c r="K30" t="s">
        <v>441</v>
      </c>
      <c r="L30">
        <v>0</v>
      </c>
      <c r="M30">
        <v>0</v>
      </c>
      <c r="N30" t="s">
        <v>122</v>
      </c>
      <c r="O30" s="1" t="s">
        <v>123</v>
      </c>
      <c r="AE30" s="1" t="s">
        <v>124</v>
      </c>
      <c r="AW30" s="1"/>
      <c r="CQ30" s="1"/>
      <c r="DA30" s="1"/>
      <c r="DK30" s="1"/>
      <c r="EN30" s="1"/>
      <c r="FN30" s="1"/>
    </row>
    <row r="31" spans="1:211" x14ac:dyDescent="0.45">
      <c r="A31">
        <v>31</v>
      </c>
      <c r="B31" t="str">
        <f>_xlfn.IFNA(VLOOKUP(Wszystkie[[#This Row],[Zakończono wypełnianie]],Zakończone[],2,0),"BRAK")</f>
        <v>BRAK</v>
      </c>
      <c r="C31" t="s">
        <v>442</v>
      </c>
      <c r="D31" t="s">
        <v>118</v>
      </c>
      <c r="E31" t="s">
        <v>359</v>
      </c>
      <c r="I31" t="s">
        <v>286</v>
      </c>
      <c r="J31" t="s">
        <v>457</v>
      </c>
      <c r="K31" t="s">
        <v>457</v>
      </c>
      <c r="L31">
        <v>0</v>
      </c>
      <c r="M31">
        <v>0</v>
      </c>
      <c r="N31" t="s">
        <v>122</v>
      </c>
      <c r="O31" s="1" t="s">
        <v>416</v>
      </c>
      <c r="AE31" s="1"/>
      <c r="AW31" s="1"/>
      <c r="CQ31" s="1"/>
      <c r="DA31" s="1"/>
      <c r="DK31" s="1"/>
      <c r="EN31" s="1"/>
      <c r="FN31" s="1"/>
    </row>
    <row r="32" spans="1:211" x14ac:dyDescent="0.45">
      <c r="A32">
        <v>35</v>
      </c>
      <c r="B32" t="str">
        <f>_xlfn.IFNA(VLOOKUP(Wszystkie[[#This Row],[Zakończono wypełnianie]],Zakończone[],2,0),"BRAK")</f>
        <v>BRAK</v>
      </c>
      <c r="C32" t="s">
        <v>496</v>
      </c>
      <c r="D32" t="s">
        <v>118</v>
      </c>
      <c r="E32" t="s">
        <v>375</v>
      </c>
      <c r="I32" t="s">
        <v>286</v>
      </c>
      <c r="J32" t="s">
        <v>497</v>
      </c>
      <c r="K32" t="s">
        <v>497</v>
      </c>
      <c r="L32">
        <v>0</v>
      </c>
      <c r="M32">
        <v>0</v>
      </c>
      <c r="N32" t="s">
        <v>122</v>
      </c>
      <c r="O32" s="1" t="s">
        <v>416</v>
      </c>
      <c r="AE32" s="1"/>
      <c r="AW32" s="1"/>
      <c r="CQ32" s="1"/>
      <c r="DA32" s="1"/>
      <c r="DK32" s="1"/>
      <c r="EN32" s="1"/>
      <c r="FN32" s="1"/>
    </row>
    <row r="33" spans="1:212" x14ac:dyDescent="0.45">
      <c r="A33">
        <v>32</v>
      </c>
      <c r="B33">
        <f>_xlfn.IFNA(VLOOKUP(Wszystkie[[#This Row],[Zakończono wypełnianie]],Zakończone[],2,0),"BRAK")</f>
        <v>22</v>
      </c>
      <c r="C33" t="s">
        <v>458</v>
      </c>
      <c r="D33" t="s">
        <v>118</v>
      </c>
      <c r="E33" t="s">
        <v>359</v>
      </c>
      <c r="I33" t="s">
        <v>119</v>
      </c>
      <c r="J33" t="s">
        <v>459</v>
      </c>
      <c r="K33" t="s">
        <v>460</v>
      </c>
      <c r="L33">
        <v>490</v>
      </c>
      <c r="M33">
        <v>0</v>
      </c>
      <c r="N33" t="s">
        <v>122</v>
      </c>
      <c r="O33" s="1" t="s">
        <v>416</v>
      </c>
      <c r="P33" t="s">
        <v>445</v>
      </c>
      <c r="Q33" t="s">
        <v>148</v>
      </c>
      <c r="R33" t="s">
        <v>461</v>
      </c>
      <c r="S33" t="s">
        <v>169</v>
      </c>
      <c r="T33" t="s">
        <v>169</v>
      </c>
      <c r="U33" t="s">
        <v>169</v>
      </c>
      <c r="V33" t="s">
        <v>462</v>
      </c>
      <c r="W33" t="s">
        <v>302</v>
      </c>
      <c r="X33" t="s">
        <v>302</v>
      </c>
      <c r="Y33" t="s">
        <v>463</v>
      </c>
      <c r="Z33" t="s">
        <v>464</v>
      </c>
      <c r="AA33" t="s">
        <v>465</v>
      </c>
      <c r="AB33" t="s">
        <v>157</v>
      </c>
      <c r="AC33" t="s">
        <v>466</v>
      </c>
      <c r="AD33" t="s">
        <v>467</v>
      </c>
      <c r="AE33" s="1" t="s">
        <v>123</v>
      </c>
      <c r="AW33" s="1" t="s">
        <v>123</v>
      </c>
      <c r="AX33" t="s">
        <v>132</v>
      </c>
      <c r="CQ33" s="1" t="s">
        <v>123</v>
      </c>
      <c r="DA33" s="1" t="s">
        <v>123</v>
      </c>
      <c r="DK33" s="1" t="s">
        <v>123</v>
      </c>
      <c r="EN33" s="1" t="s">
        <v>123</v>
      </c>
      <c r="EO33" t="s">
        <v>180</v>
      </c>
      <c r="EP33" t="s">
        <v>132</v>
      </c>
      <c r="FN33" s="1" t="s">
        <v>123</v>
      </c>
      <c r="FO33" t="s">
        <v>132</v>
      </c>
      <c r="FQ33" t="s">
        <v>132</v>
      </c>
      <c r="GV33" t="s">
        <v>468</v>
      </c>
      <c r="GW33" t="s">
        <v>469</v>
      </c>
      <c r="GX33" t="s">
        <v>142</v>
      </c>
      <c r="GY33" t="s">
        <v>140</v>
      </c>
      <c r="GZ33">
        <v>1996</v>
      </c>
      <c r="HA33" t="s">
        <v>141</v>
      </c>
      <c r="HC33" t="s">
        <v>470</v>
      </c>
      <c r="HD33" t="s">
        <v>471</v>
      </c>
    </row>
    <row r="34" spans="1:212" x14ac:dyDescent="0.45">
      <c r="A34">
        <v>34</v>
      </c>
      <c r="B34">
        <f>_xlfn.IFNA(VLOOKUP(Wszystkie[[#This Row],[Zakończono wypełnianie]],Zakończone[],2,0),"BRAK")</f>
        <v>24</v>
      </c>
      <c r="C34" t="s">
        <v>484</v>
      </c>
      <c r="D34" t="s">
        <v>118</v>
      </c>
      <c r="E34" t="s">
        <v>359</v>
      </c>
      <c r="I34" t="s">
        <v>119</v>
      </c>
      <c r="J34" t="s">
        <v>485</v>
      </c>
      <c r="K34" t="s">
        <v>486</v>
      </c>
      <c r="L34">
        <v>709</v>
      </c>
      <c r="M34">
        <v>0</v>
      </c>
      <c r="N34" t="s">
        <v>122</v>
      </c>
      <c r="O34" s="1" t="s">
        <v>123</v>
      </c>
      <c r="AE34" s="1" t="s">
        <v>124</v>
      </c>
      <c r="AF34" t="s">
        <v>445</v>
      </c>
      <c r="AG34">
        <v>2018</v>
      </c>
      <c r="AH34" t="s">
        <v>148</v>
      </c>
      <c r="AI34" t="s">
        <v>487</v>
      </c>
      <c r="AJ34" t="s">
        <v>162</v>
      </c>
      <c r="AK34" t="s">
        <v>162</v>
      </c>
      <c r="AL34" t="s">
        <v>151</v>
      </c>
      <c r="AM34" t="s">
        <v>129</v>
      </c>
      <c r="AN34" t="s">
        <v>151</v>
      </c>
      <c r="AO34">
        <v>2</v>
      </c>
      <c r="AP34" t="s">
        <v>131</v>
      </c>
      <c r="AQ34" t="s">
        <v>153</v>
      </c>
      <c r="AR34" t="s">
        <v>488</v>
      </c>
      <c r="AS34" t="s">
        <v>489</v>
      </c>
      <c r="AT34" t="s">
        <v>490</v>
      </c>
      <c r="AU34" t="s">
        <v>157</v>
      </c>
      <c r="AW34" s="1" t="s">
        <v>123</v>
      </c>
      <c r="CQ34" s="1" t="s">
        <v>123</v>
      </c>
      <c r="DA34" s="1" t="s">
        <v>123</v>
      </c>
      <c r="DK34" s="1" t="s">
        <v>123</v>
      </c>
      <c r="EN34" s="1" t="s">
        <v>123</v>
      </c>
      <c r="EO34" t="s">
        <v>180</v>
      </c>
      <c r="FN34" s="1" t="s">
        <v>123</v>
      </c>
      <c r="FO34" t="s">
        <v>132</v>
      </c>
      <c r="FQ34" t="s">
        <v>132</v>
      </c>
      <c r="GV34" t="s">
        <v>491</v>
      </c>
      <c r="GW34" t="s">
        <v>492</v>
      </c>
      <c r="GX34" t="s">
        <v>493</v>
      </c>
      <c r="GY34" t="s">
        <v>186</v>
      </c>
      <c r="GZ34">
        <v>1994</v>
      </c>
      <c r="HA34" t="s">
        <v>483</v>
      </c>
      <c r="HC34" t="s">
        <v>494</v>
      </c>
      <c r="HD34" t="s">
        <v>495</v>
      </c>
    </row>
    <row r="35" spans="1:212" x14ac:dyDescent="0.45">
      <c r="A35">
        <v>36</v>
      </c>
      <c r="B35" t="str">
        <f>_xlfn.IFNA(VLOOKUP(Wszystkie[[#This Row],[Zakończono wypełnianie]],Zakończone[],2,0),"BRAK")</f>
        <v>BRAK</v>
      </c>
      <c r="C35" t="s">
        <v>498</v>
      </c>
      <c r="D35" t="s">
        <v>118</v>
      </c>
      <c r="E35" t="s">
        <v>375</v>
      </c>
      <c r="I35" t="s">
        <v>286</v>
      </c>
      <c r="J35" t="s">
        <v>499</v>
      </c>
      <c r="K35" t="s">
        <v>499</v>
      </c>
      <c r="L35">
        <v>0</v>
      </c>
      <c r="M35">
        <v>0</v>
      </c>
      <c r="N35" t="s">
        <v>122</v>
      </c>
      <c r="O35" s="1" t="s">
        <v>416</v>
      </c>
      <c r="AE35" s="1"/>
      <c r="AW35" s="1"/>
      <c r="CQ35" s="1"/>
      <c r="DA35" s="1"/>
      <c r="DK35" s="1"/>
      <c r="EN35" s="1"/>
      <c r="FN35" s="1"/>
    </row>
    <row r="36" spans="1:212" x14ac:dyDescent="0.45">
      <c r="A36">
        <v>37</v>
      </c>
      <c r="B36">
        <f>_xlfn.IFNA(VLOOKUP(Wszystkie[[#This Row],[Zakończono wypełnianie]],Zakończone[],2,0),"BRAK")</f>
        <v>25</v>
      </c>
      <c r="C36" t="s">
        <v>500</v>
      </c>
      <c r="D36" t="s">
        <v>118</v>
      </c>
      <c r="E36" t="s">
        <v>375</v>
      </c>
      <c r="I36" t="s">
        <v>119</v>
      </c>
      <c r="J36" t="s">
        <v>499</v>
      </c>
      <c r="K36" t="s">
        <v>501</v>
      </c>
      <c r="L36">
        <v>394</v>
      </c>
      <c r="M36">
        <v>0</v>
      </c>
      <c r="N36" t="s">
        <v>122</v>
      </c>
      <c r="O36" s="1" t="s">
        <v>123</v>
      </c>
      <c r="AE36" s="1" t="s">
        <v>124</v>
      </c>
      <c r="AF36" t="s">
        <v>445</v>
      </c>
      <c r="AG36">
        <v>2019</v>
      </c>
      <c r="AH36" t="s">
        <v>148</v>
      </c>
      <c r="AI36" t="s">
        <v>502</v>
      </c>
      <c r="AJ36" t="s">
        <v>162</v>
      </c>
      <c r="AK36" t="s">
        <v>162</v>
      </c>
      <c r="AL36" t="s">
        <v>162</v>
      </c>
      <c r="AM36" t="s">
        <v>150</v>
      </c>
      <c r="AN36" t="s">
        <v>132</v>
      </c>
      <c r="AO36">
        <v>0</v>
      </c>
      <c r="AP36" t="s">
        <v>153</v>
      </c>
      <c r="AQ36" t="s">
        <v>132</v>
      </c>
      <c r="AR36" t="s">
        <v>503</v>
      </c>
      <c r="AS36" t="s">
        <v>504</v>
      </c>
      <c r="AT36" t="s">
        <v>505</v>
      </c>
      <c r="AU36" t="s">
        <v>157</v>
      </c>
      <c r="AW36" s="1" t="s">
        <v>123</v>
      </c>
      <c r="AX36" t="s">
        <v>132</v>
      </c>
      <c r="CQ36" s="1" t="s">
        <v>123</v>
      </c>
      <c r="DA36" s="1" t="s">
        <v>123</v>
      </c>
      <c r="DK36" s="1" t="s">
        <v>123</v>
      </c>
      <c r="EN36" s="1" t="s">
        <v>123</v>
      </c>
      <c r="EO36" t="s">
        <v>180</v>
      </c>
      <c r="EP36" t="s">
        <v>132</v>
      </c>
      <c r="FN36" s="1" t="s">
        <v>123</v>
      </c>
      <c r="FO36" t="s">
        <v>132</v>
      </c>
      <c r="FQ36" t="s">
        <v>132</v>
      </c>
      <c r="GV36" t="s">
        <v>506</v>
      </c>
      <c r="GW36" t="s">
        <v>507</v>
      </c>
      <c r="GX36" t="s">
        <v>508</v>
      </c>
      <c r="GY36" t="s">
        <v>140</v>
      </c>
      <c r="GZ36">
        <v>1994</v>
      </c>
      <c r="HA36" t="s">
        <v>220</v>
      </c>
      <c r="HC36" t="s">
        <v>509</v>
      </c>
      <c r="HD36" t="s">
        <v>510</v>
      </c>
    </row>
    <row r="37" spans="1:212" x14ac:dyDescent="0.45">
      <c r="A37">
        <v>39</v>
      </c>
      <c r="B37" t="str">
        <f>_xlfn.IFNA(VLOOKUP(Wszystkie[[#This Row],[Zakończono wypełnianie]],Zakończone[],2,0),"BRAK")</f>
        <v>BRAK</v>
      </c>
      <c r="C37" t="s">
        <v>522</v>
      </c>
      <c r="D37" t="s">
        <v>118</v>
      </c>
      <c r="E37" t="s">
        <v>375</v>
      </c>
      <c r="I37" t="s">
        <v>286</v>
      </c>
      <c r="J37" t="s">
        <v>523</v>
      </c>
      <c r="K37" t="s">
        <v>523</v>
      </c>
      <c r="L37">
        <v>0</v>
      </c>
      <c r="M37">
        <v>0</v>
      </c>
      <c r="N37" t="s">
        <v>122</v>
      </c>
      <c r="O37" s="1" t="s">
        <v>416</v>
      </c>
      <c r="AE37" s="1"/>
      <c r="AW37" s="1"/>
      <c r="CQ37" s="1"/>
      <c r="DA37" s="1"/>
      <c r="DK37" s="1"/>
      <c r="EN37" s="1"/>
      <c r="FN37" s="1"/>
    </row>
    <row r="38" spans="1:212" x14ac:dyDescent="0.45">
      <c r="A38">
        <v>40</v>
      </c>
      <c r="B38" t="str">
        <f>_xlfn.IFNA(VLOOKUP(Wszystkie[[#This Row],[Zakończono wypełnianie]],Zakończone[],2,0),"BRAK")</f>
        <v>BRAK</v>
      </c>
      <c r="C38" t="s">
        <v>524</v>
      </c>
      <c r="D38" t="s">
        <v>118</v>
      </c>
      <c r="E38" t="s">
        <v>525</v>
      </c>
      <c r="I38" t="s">
        <v>286</v>
      </c>
      <c r="J38" t="s">
        <v>526</v>
      </c>
      <c r="K38" t="s">
        <v>526</v>
      </c>
      <c r="L38">
        <v>0</v>
      </c>
      <c r="M38">
        <v>0</v>
      </c>
      <c r="N38" t="s">
        <v>122</v>
      </c>
      <c r="O38" s="1" t="s">
        <v>123</v>
      </c>
      <c r="AE38" s="1" t="s">
        <v>124</v>
      </c>
      <c r="AW38" s="1"/>
      <c r="CQ38" s="1"/>
      <c r="DA38" s="1"/>
      <c r="DK38" s="1"/>
      <c r="EN38" s="1"/>
      <c r="FN38" s="1"/>
    </row>
    <row r="39" spans="1:212" x14ac:dyDescent="0.45">
      <c r="A39">
        <v>38</v>
      </c>
      <c r="B39">
        <f>_xlfn.IFNA(VLOOKUP(Wszystkie[[#This Row],[Zakończono wypełnianie]],Zakończone[],2,0),"BRAK")</f>
        <v>26</v>
      </c>
      <c r="C39" t="s">
        <v>511</v>
      </c>
      <c r="D39" t="s">
        <v>118</v>
      </c>
      <c r="E39" t="s">
        <v>375</v>
      </c>
      <c r="I39" t="s">
        <v>119</v>
      </c>
      <c r="J39" t="s">
        <v>512</v>
      </c>
      <c r="K39" t="s">
        <v>513</v>
      </c>
      <c r="L39">
        <v>424</v>
      </c>
      <c r="M39">
        <v>0</v>
      </c>
      <c r="N39" t="s">
        <v>122</v>
      </c>
      <c r="O39" s="1" t="s">
        <v>123</v>
      </c>
      <c r="AE39" s="1" t="s">
        <v>124</v>
      </c>
      <c r="AF39" t="s">
        <v>445</v>
      </c>
      <c r="AG39">
        <v>2018</v>
      </c>
      <c r="AH39" t="s">
        <v>148</v>
      </c>
      <c r="AI39" t="s">
        <v>514</v>
      </c>
      <c r="AJ39" t="s">
        <v>150</v>
      </c>
      <c r="AK39" t="s">
        <v>169</v>
      </c>
      <c r="AL39" t="s">
        <v>169</v>
      </c>
      <c r="AM39" t="s">
        <v>150</v>
      </c>
      <c r="AN39" t="s">
        <v>132</v>
      </c>
      <c r="AO39" t="s">
        <v>515</v>
      </c>
      <c r="AP39" t="s">
        <v>302</v>
      </c>
      <c r="AQ39" t="s">
        <v>132</v>
      </c>
      <c r="AR39" t="s">
        <v>516</v>
      </c>
      <c r="AS39" t="s">
        <v>517</v>
      </c>
      <c r="AT39" t="s">
        <v>142</v>
      </c>
      <c r="AU39" t="s">
        <v>157</v>
      </c>
      <c r="AW39" s="1" t="s">
        <v>123</v>
      </c>
      <c r="AX39" t="s">
        <v>132</v>
      </c>
      <c r="CQ39" s="1" t="s">
        <v>123</v>
      </c>
      <c r="DA39" s="1" t="s">
        <v>214</v>
      </c>
      <c r="DB39" t="s">
        <v>445</v>
      </c>
      <c r="DC39" t="s">
        <v>518</v>
      </c>
      <c r="DD39" t="s">
        <v>169</v>
      </c>
      <c r="DE39" t="s">
        <v>150</v>
      </c>
      <c r="DF39" t="s">
        <v>162</v>
      </c>
      <c r="DG39" t="s">
        <v>150</v>
      </c>
      <c r="DH39" t="s">
        <v>150</v>
      </c>
      <c r="DI39" t="s">
        <v>151</v>
      </c>
      <c r="DK39" s="1" t="s">
        <v>123</v>
      </c>
      <c r="EN39" s="1" t="s">
        <v>123</v>
      </c>
      <c r="EO39" t="s">
        <v>180</v>
      </c>
      <c r="EP39" t="s">
        <v>132</v>
      </c>
      <c r="FN39" s="1" t="s">
        <v>123</v>
      </c>
      <c r="FO39" t="s">
        <v>132</v>
      </c>
      <c r="FQ39" t="s">
        <v>132</v>
      </c>
      <c r="GV39" t="s">
        <v>519</v>
      </c>
      <c r="GW39" t="s">
        <v>520</v>
      </c>
      <c r="GX39" t="s">
        <v>142</v>
      </c>
      <c r="GY39" t="s">
        <v>186</v>
      </c>
      <c r="GZ39">
        <v>1994</v>
      </c>
      <c r="HA39" t="s">
        <v>141</v>
      </c>
      <c r="HD39" t="s">
        <v>521</v>
      </c>
    </row>
    <row r="40" spans="1:212" x14ac:dyDescent="0.45">
      <c r="A40">
        <v>41</v>
      </c>
      <c r="B40">
        <f>_xlfn.IFNA(VLOOKUP(Wszystkie[[#This Row],[Zakończono wypełnianie]],Zakończone[],2,0),"BRAK")</f>
        <v>27</v>
      </c>
      <c r="C40" t="s">
        <v>527</v>
      </c>
      <c r="D40" t="s">
        <v>118</v>
      </c>
      <c r="I40" t="s">
        <v>119</v>
      </c>
      <c r="J40" t="s">
        <v>528</v>
      </c>
      <c r="K40" t="s">
        <v>529</v>
      </c>
      <c r="L40">
        <v>283</v>
      </c>
      <c r="M40">
        <v>0</v>
      </c>
      <c r="N40" t="s">
        <v>122</v>
      </c>
      <c r="O40" s="1" t="s">
        <v>416</v>
      </c>
      <c r="P40" t="s">
        <v>445</v>
      </c>
      <c r="Q40" t="s">
        <v>148</v>
      </c>
      <c r="R40" t="s">
        <v>461</v>
      </c>
      <c r="S40" t="s">
        <v>169</v>
      </c>
      <c r="T40" t="s">
        <v>162</v>
      </c>
      <c r="U40" t="s">
        <v>162</v>
      </c>
      <c r="V40" t="s">
        <v>530</v>
      </c>
      <c r="W40" t="s">
        <v>131</v>
      </c>
      <c r="X40" t="s">
        <v>153</v>
      </c>
      <c r="Z40" t="s">
        <v>531</v>
      </c>
      <c r="AA40" t="s">
        <v>532</v>
      </c>
      <c r="AB40" t="s">
        <v>172</v>
      </c>
      <c r="AD40" t="s">
        <v>533</v>
      </c>
      <c r="AE40" s="1" t="s">
        <v>123</v>
      </c>
      <c r="AW40" s="1" t="s">
        <v>123</v>
      </c>
      <c r="CQ40" s="1" t="s">
        <v>123</v>
      </c>
      <c r="DA40" s="1" t="s">
        <v>123</v>
      </c>
      <c r="DK40" s="1" t="s">
        <v>123</v>
      </c>
      <c r="EN40" s="1" t="s">
        <v>123</v>
      </c>
      <c r="FN40" s="1" t="s">
        <v>123</v>
      </c>
      <c r="FO40" t="s">
        <v>132</v>
      </c>
      <c r="GV40" t="s">
        <v>534</v>
      </c>
      <c r="GW40" t="s">
        <v>535</v>
      </c>
      <c r="GX40" t="s">
        <v>532</v>
      </c>
      <c r="GY40" t="s">
        <v>140</v>
      </c>
      <c r="GZ40">
        <v>1996</v>
      </c>
      <c r="HA40" t="s">
        <v>483</v>
      </c>
      <c r="HC40" t="s">
        <v>536</v>
      </c>
      <c r="HD40" t="s">
        <v>537</v>
      </c>
    </row>
    <row r="41" spans="1:212" x14ac:dyDescent="0.45">
      <c r="A41">
        <v>42</v>
      </c>
      <c r="B41" t="str">
        <f>_xlfn.IFNA(VLOOKUP(Wszystkie[[#This Row],[Zakończono wypełnianie]],Zakończone[],2,0),"BRAK")</f>
        <v>BRAK</v>
      </c>
      <c r="C41" t="s">
        <v>538</v>
      </c>
      <c r="D41" t="s">
        <v>118</v>
      </c>
      <c r="E41" t="s">
        <v>375</v>
      </c>
      <c r="I41" t="s">
        <v>286</v>
      </c>
      <c r="J41" t="s">
        <v>539</v>
      </c>
      <c r="K41" t="s">
        <v>539</v>
      </c>
      <c r="L41">
        <v>0</v>
      </c>
      <c r="M41">
        <v>0</v>
      </c>
      <c r="N41" t="s">
        <v>122</v>
      </c>
      <c r="O41" s="1" t="s">
        <v>123</v>
      </c>
      <c r="AE41" s="1" t="s">
        <v>124</v>
      </c>
      <c r="AW41" s="1"/>
      <c r="CQ41" s="1"/>
      <c r="DA41" s="1"/>
      <c r="DK41" s="1"/>
      <c r="EN41" s="1"/>
      <c r="FN41" s="1"/>
    </row>
    <row r="42" spans="1:212" x14ac:dyDescent="0.45">
      <c r="A42">
        <v>43</v>
      </c>
      <c r="B42" t="str">
        <f>_xlfn.IFNA(VLOOKUP(Wszystkie[[#This Row],[Zakończono wypełnianie]],Zakończone[],2,0),"BRAK")</f>
        <v>BRAK</v>
      </c>
      <c r="C42" t="s">
        <v>540</v>
      </c>
      <c r="D42" t="s">
        <v>118</v>
      </c>
      <c r="E42" t="s">
        <v>375</v>
      </c>
      <c r="I42" t="s">
        <v>286</v>
      </c>
      <c r="J42" t="s">
        <v>541</v>
      </c>
      <c r="K42" t="s">
        <v>541</v>
      </c>
      <c r="L42">
        <v>0</v>
      </c>
      <c r="M42">
        <v>0</v>
      </c>
      <c r="N42" t="s">
        <v>122</v>
      </c>
      <c r="O42" s="1" t="s">
        <v>416</v>
      </c>
      <c r="P42" t="s">
        <v>445</v>
      </c>
      <c r="Q42" t="s">
        <v>148</v>
      </c>
      <c r="R42" t="s">
        <v>446</v>
      </c>
      <c r="S42" t="s">
        <v>162</v>
      </c>
      <c r="T42" t="s">
        <v>151</v>
      </c>
      <c r="U42" t="s">
        <v>162</v>
      </c>
      <c r="V42" t="s">
        <v>542</v>
      </c>
      <c r="W42" t="s">
        <v>131</v>
      </c>
      <c r="X42" t="s">
        <v>131</v>
      </c>
      <c r="Y42" t="s">
        <v>543</v>
      </c>
      <c r="Z42" t="s">
        <v>544</v>
      </c>
      <c r="AA42" t="s">
        <v>545</v>
      </c>
      <c r="AB42" t="s">
        <v>172</v>
      </c>
      <c r="AD42" t="s">
        <v>546</v>
      </c>
      <c r="AE42" s="1" t="s">
        <v>123</v>
      </c>
      <c r="AW42" s="1" t="s">
        <v>123</v>
      </c>
      <c r="AX42" t="s">
        <v>132</v>
      </c>
      <c r="CQ42" s="1" t="s">
        <v>123</v>
      </c>
      <c r="DA42" s="1" t="s">
        <v>123</v>
      </c>
      <c r="DK42" s="1" t="s">
        <v>123</v>
      </c>
      <c r="EN42" s="1" t="s">
        <v>123</v>
      </c>
      <c r="EO42" t="s">
        <v>180</v>
      </c>
      <c r="EP42" t="s">
        <v>132</v>
      </c>
      <c r="FN42" s="1" t="s">
        <v>123</v>
      </c>
      <c r="FO42" t="s">
        <v>132</v>
      </c>
      <c r="FQ42" t="s">
        <v>132</v>
      </c>
    </row>
    <row r="43" spans="1:212" x14ac:dyDescent="0.45">
      <c r="A43">
        <v>44</v>
      </c>
      <c r="B43" t="str">
        <f>_xlfn.IFNA(VLOOKUP(Wszystkie[[#This Row],[Zakończono wypełnianie]],Zakończone[],2,0),"BRAK")</f>
        <v>BRAK</v>
      </c>
      <c r="C43" t="s">
        <v>547</v>
      </c>
      <c r="D43" t="s">
        <v>118</v>
      </c>
      <c r="E43" t="s">
        <v>548</v>
      </c>
      <c r="I43" t="s">
        <v>286</v>
      </c>
      <c r="J43" t="s">
        <v>549</v>
      </c>
      <c r="K43" t="s">
        <v>549</v>
      </c>
      <c r="L43">
        <v>0</v>
      </c>
      <c r="M43">
        <v>0</v>
      </c>
      <c r="N43" t="s">
        <v>122</v>
      </c>
      <c r="O43" s="1" t="s">
        <v>123</v>
      </c>
      <c r="AE43" s="1" t="s">
        <v>124</v>
      </c>
      <c r="AW43" s="1"/>
      <c r="CQ43" s="1"/>
      <c r="DA43" s="1"/>
      <c r="DK43" s="1"/>
      <c r="EN43" s="1"/>
      <c r="FN43" s="1"/>
    </row>
    <row r="44" spans="1:212" x14ac:dyDescent="0.45">
      <c r="A44">
        <v>33</v>
      </c>
      <c r="B44">
        <f>_xlfn.IFNA(VLOOKUP(Wszystkie[[#This Row],[Zakończono wypełnianie]],Zakończone[],2,0),"BRAK")</f>
        <v>23</v>
      </c>
      <c r="C44" t="s">
        <v>472</v>
      </c>
      <c r="D44" t="s">
        <v>118</v>
      </c>
      <c r="E44" t="s">
        <v>375</v>
      </c>
      <c r="I44" t="s">
        <v>119</v>
      </c>
      <c r="J44" t="s">
        <v>473</v>
      </c>
      <c r="K44" t="s">
        <v>474</v>
      </c>
      <c r="L44">
        <v>2507</v>
      </c>
      <c r="M44">
        <v>0</v>
      </c>
      <c r="N44" t="s">
        <v>122</v>
      </c>
      <c r="O44" s="1" t="s">
        <v>416</v>
      </c>
      <c r="P44" t="s">
        <v>445</v>
      </c>
      <c r="Q44" t="s">
        <v>148</v>
      </c>
      <c r="R44" t="s">
        <v>475</v>
      </c>
      <c r="S44" t="s">
        <v>169</v>
      </c>
      <c r="T44" t="s">
        <v>169</v>
      </c>
      <c r="U44" t="s">
        <v>151</v>
      </c>
      <c r="V44" t="s">
        <v>476</v>
      </c>
      <c r="W44" t="s">
        <v>302</v>
      </c>
      <c r="X44" t="s">
        <v>302</v>
      </c>
      <c r="Z44" t="s">
        <v>477</v>
      </c>
      <c r="AA44" t="s">
        <v>478</v>
      </c>
      <c r="AB44" t="s">
        <v>157</v>
      </c>
      <c r="AD44" t="s">
        <v>479</v>
      </c>
      <c r="AE44" s="1" t="s">
        <v>123</v>
      </c>
      <c r="AW44" s="1" t="s">
        <v>123</v>
      </c>
      <c r="AX44" t="s">
        <v>132</v>
      </c>
      <c r="CQ44" s="1" t="s">
        <v>123</v>
      </c>
      <c r="DA44" s="1" t="s">
        <v>123</v>
      </c>
      <c r="DK44" s="1" t="s">
        <v>123</v>
      </c>
      <c r="EN44" s="1" t="s">
        <v>123</v>
      </c>
      <c r="FN44" s="1" t="s">
        <v>123</v>
      </c>
      <c r="FO44" t="s">
        <v>132</v>
      </c>
      <c r="GV44" t="s">
        <v>480</v>
      </c>
      <c r="GW44" t="s">
        <v>481</v>
      </c>
      <c r="GX44" t="s">
        <v>482</v>
      </c>
      <c r="GY44" t="s">
        <v>140</v>
      </c>
      <c r="GZ44">
        <v>1996</v>
      </c>
      <c r="HA44" t="s">
        <v>483</v>
      </c>
    </row>
    <row r="45" spans="1:212" x14ac:dyDescent="0.45">
      <c r="A45">
        <v>30</v>
      </c>
      <c r="B45">
        <f>_xlfn.IFNA(VLOOKUP(Wszystkie[[#This Row],[Zakończono wypełnianie]],Zakończone[],2,0),"BRAK")</f>
        <v>21</v>
      </c>
      <c r="C45" t="s">
        <v>442</v>
      </c>
      <c r="D45" t="s">
        <v>118</v>
      </c>
      <c r="I45" t="s">
        <v>119</v>
      </c>
      <c r="J45" t="s">
        <v>443</v>
      </c>
      <c r="K45" t="s">
        <v>444</v>
      </c>
      <c r="L45">
        <v>6812</v>
      </c>
      <c r="M45">
        <v>0</v>
      </c>
      <c r="N45" t="s">
        <v>122</v>
      </c>
      <c r="O45" s="1" t="s">
        <v>123</v>
      </c>
      <c r="AE45" s="1" t="s">
        <v>124</v>
      </c>
      <c r="AF45" t="s">
        <v>445</v>
      </c>
      <c r="AG45">
        <v>2019</v>
      </c>
      <c r="AH45" t="s">
        <v>148</v>
      </c>
      <c r="AI45" t="s">
        <v>446</v>
      </c>
      <c r="AJ45" t="s">
        <v>150</v>
      </c>
      <c r="AK45" t="s">
        <v>150</v>
      </c>
      <c r="AL45" t="s">
        <v>169</v>
      </c>
      <c r="AM45" t="s">
        <v>169</v>
      </c>
      <c r="AN45" t="s">
        <v>132</v>
      </c>
      <c r="AO45" t="s">
        <v>237</v>
      </c>
      <c r="AP45" t="s">
        <v>226</v>
      </c>
      <c r="AQ45" t="s">
        <v>132</v>
      </c>
      <c r="AR45" t="s">
        <v>447</v>
      </c>
      <c r="AS45" t="s">
        <v>448</v>
      </c>
      <c r="AT45" t="s">
        <v>449</v>
      </c>
      <c r="AU45" t="s">
        <v>157</v>
      </c>
      <c r="AW45" s="1" t="s">
        <v>123</v>
      </c>
      <c r="AX45" t="s">
        <v>132</v>
      </c>
      <c r="CQ45" s="1" t="s">
        <v>387</v>
      </c>
      <c r="CR45" t="s">
        <v>445</v>
      </c>
      <c r="CS45" t="s">
        <v>450</v>
      </c>
      <c r="CT45" t="s">
        <v>169</v>
      </c>
      <c r="CU45" t="s">
        <v>169</v>
      </c>
      <c r="CV45" t="s">
        <v>169</v>
      </c>
      <c r="CW45" t="s">
        <v>150</v>
      </c>
      <c r="CX45" t="s">
        <v>150</v>
      </c>
      <c r="CY45" t="s">
        <v>150</v>
      </c>
      <c r="CZ45" t="s">
        <v>451</v>
      </c>
      <c r="DA45" s="1" t="s">
        <v>123</v>
      </c>
      <c r="DK45" s="1" t="s">
        <v>123</v>
      </c>
      <c r="EN45" s="1" t="s">
        <v>123</v>
      </c>
      <c r="EO45" t="s">
        <v>180</v>
      </c>
      <c r="EP45" t="s">
        <v>132</v>
      </c>
      <c r="FN45" s="1" t="s">
        <v>123</v>
      </c>
      <c r="FO45" t="s">
        <v>132</v>
      </c>
      <c r="FQ45" t="s">
        <v>132</v>
      </c>
      <c r="GV45" t="s">
        <v>452</v>
      </c>
      <c r="GW45" t="s">
        <v>453</v>
      </c>
      <c r="GX45" t="s">
        <v>454</v>
      </c>
      <c r="GY45" t="s">
        <v>140</v>
      </c>
      <c r="GZ45">
        <v>1994</v>
      </c>
      <c r="HA45" t="s">
        <v>220</v>
      </c>
      <c r="HC45" t="s">
        <v>455</v>
      </c>
      <c r="HD45" t="s">
        <v>456</v>
      </c>
    </row>
    <row r="46" spans="1:212" x14ac:dyDescent="0.45">
      <c r="A46">
        <v>45</v>
      </c>
      <c r="B46">
        <f>_xlfn.IFNA(VLOOKUP(Wszystkie[[#This Row],[Zakończono wypełnianie]],Zakończone[],2,0),"BRAK")</f>
        <v>28</v>
      </c>
      <c r="C46" t="s">
        <v>550</v>
      </c>
      <c r="D46" t="s">
        <v>118</v>
      </c>
      <c r="E46" t="s">
        <v>375</v>
      </c>
      <c r="I46" t="s">
        <v>119</v>
      </c>
      <c r="J46" t="s">
        <v>551</v>
      </c>
      <c r="K46" t="s">
        <v>552</v>
      </c>
      <c r="L46">
        <v>836</v>
      </c>
      <c r="M46">
        <v>0</v>
      </c>
      <c r="N46" t="s">
        <v>122</v>
      </c>
      <c r="O46" s="1" t="s">
        <v>123</v>
      </c>
      <c r="AE46" s="1" t="s">
        <v>124</v>
      </c>
      <c r="AF46" t="s">
        <v>553</v>
      </c>
      <c r="AG46">
        <v>2019</v>
      </c>
      <c r="AH46" t="s">
        <v>148</v>
      </c>
      <c r="AI46" t="s">
        <v>554</v>
      </c>
      <c r="AJ46" t="s">
        <v>162</v>
      </c>
      <c r="AK46" t="s">
        <v>162</v>
      </c>
      <c r="AL46" t="s">
        <v>236</v>
      </c>
      <c r="AM46" t="s">
        <v>151</v>
      </c>
      <c r="AN46" t="s">
        <v>162</v>
      </c>
      <c r="AO46" t="s">
        <v>237</v>
      </c>
      <c r="AP46" t="s">
        <v>132</v>
      </c>
      <c r="AQ46" t="s">
        <v>132</v>
      </c>
      <c r="AR46" t="s">
        <v>555</v>
      </c>
      <c r="AS46" t="s">
        <v>556</v>
      </c>
      <c r="AT46" t="s">
        <v>557</v>
      </c>
      <c r="AU46" t="s">
        <v>230</v>
      </c>
      <c r="AW46" s="1" t="s">
        <v>123</v>
      </c>
      <c r="CQ46" s="1" t="s">
        <v>123</v>
      </c>
      <c r="DA46" s="1" t="s">
        <v>123</v>
      </c>
      <c r="DK46" s="1" t="s">
        <v>123</v>
      </c>
      <c r="EN46" s="1" t="s">
        <v>123</v>
      </c>
      <c r="FN46" s="1" t="s">
        <v>123</v>
      </c>
      <c r="FO46" t="s">
        <v>132</v>
      </c>
      <c r="GV46" t="s">
        <v>558</v>
      </c>
      <c r="GW46" t="s">
        <v>559</v>
      </c>
      <c r="GX46" t="s">
        <v>560</v>
      </c>
      <c r="GY46" t="s">
        <v>140</v>
      </c>
      <c r="GZ46">
        <v>1994</v>
      </c>
      <c r="HA46" t="s">
        <v>483</v>
      </c>
      <c r="HC46" t="s">
        <v>561</v>
      </c>
      <c r="HD46" t="s">
        <v>386</v>
      </c>
    </row>
    <row r="47" spans="1:212" x14ac:dyDescent="0.45">
      <c r="A47">
        <v>46</v>
      </c>
      <c r="B47" t="str">
        <f>_xlfn.IFNA(VLOOKUP(Wszystkie[[#This Row],[Zakończono wypełnianie]],Zakończone[],2,0),"BRAK")</f>
        <v>BRAK</v>
      </c>
      <c r="C47" t="s">
        <v>562</v>
      </c>
      <c r="D47" t="s">
        <v>118</v>
      </c>
      <c r="E47" t="s">
        <v>359</v>
      </c>
      <c r="I47" t="s">
        <v>286</v>
      </c>
      <c r="J47" t="s">
        <v>563</v>
      </c>
      <c r="K47" t="s">
        <v>563</v>
      </c>
      <c r="L47">
        <v>0</v>
      </c>
      <c r="M47">
        <v>0</v>
      </c>
      <c r="N47" t="s">
        <v>122</v>
      </c>
      <c r="O47" s="1" t="s">
        <v>123</v>
      </c>
      <c r="AE47" s="1" t="s">
        <v>124</v>
      </c>
      <c r="AF47" t="s">
        <v>564</v>
      </c>
      <c r="AG47">
        <v>2010</v>
      </c>
      <c r="AH47" t="s">
        <v>148</v>
      </c>
      <c r="AI47" t="s">
        <v>565</v>
      </c>
      <c r="AJ47" t="s">
        <v>129</v>
      </c>
      <c r="AK47" t="s">
        <v>236</v>
      </c>
      <c r="AL47" t="s">
        <v>129</v>
      </c>
      <c r="AM47" t="s">
        <v>129</v>
      </c>
      <c r="AN47" t="s">
        <v>129</v>
      </c>
      <c r="AO47" t="s">
        <v>566</v>
      </c>
      <c r="AR47" t="s">
        <v>567</v>
      </c>
      <c r="AS47" t="s">
        <v>568</v>
      </c>
      <c r="AV47" t="s">
        <v>569</v>
      </c>
      <c r="AW47" s="1"/>
      <c r="CQ47" s="1"/>
      <c r="DA47" s="1"/>
      <c r="DK47" s="1"/>
      <c r="EN47" s="1"/>
      <c r="FN47" s="1"/>
    </row>
    <row r="48" spans="1:212" x14ac:dyDescent="0.45">
      <c r="A48">
        <v>48</v>
      </c>
      <c r="B48" t="str">
        <f>_xlfn.IFNA(VLOOKUP(Wszystkie[[#This Row],[Zakończono wypełnianie]],Zakończone[],2,0),"BRAK")</f>
        <v>BRAK</v>
      </c>
      <c r="C48" t="s">
        <v>581</v>
      </c>
      <c r="D48" t="s">
        <v>118</v>
      </c>
      <c r="E48" t="s">
        <v>375</v>
      </c>
      <c r="I48" t="s">
        <v>286</v>
      </c>
      <c r="J48" t="s">
        <v>582</v>
      </c>
      <c r="K48" t="s">
        <v>582</v>
      </c>
      <c r="L48">
        <v>0</v>
      </c>
      <c r="M48">
        <v>0</v>
      </c>
      <c r="N48" t="s">
        <v>122</v>
      </c>
      <c r="O48" s="1" t="s">
        <v>416</v>
      </c>
      <c r="AE48" s="1"/>
      <c r="AW48" s="1"/>
      <c r="CQ48" s="1"/>
      <c r="DA48" s="1"/>
      <c r="DK48" s="1"/>
      <c r="EN48" s="1"/>
      <c r="FN48" s="1"/>
    </row>
    <row r="49" spans="1:212" x14ac:dyDescent="0.45">
      <c r="A49">
        <v>47</v>
      </c>
      <c r="B49">
        <f>_xlfn.IFNA(VLOOKUP(Wszystkie[[#This Row],[Zakończono wypełnianie]],Zakończone[],2,0),"BRAK")</f>
        <v>29</v>
      </c>
      <c r="C49" t="s">
        <v>570</v>
      </c>
      <c r="D49" t="s">
        <v>118</v>
      </c>
      <c r="E49" t="s">
        <v>548</v>
      </c>
      <c r="I49" t="s">
        <v>119</v>
      </c>
      <c r="J49" t="s">
        <v>571</v>
      </c>
      <c r="K49" t="s">
        <v>572</v>
      </c>
      <c r="L49">
        <v>751</v>
      </c>
      <c r="M49">
        <v>0</v>
      </c>
      <c r="N49" t="s">
        <v>122</v>
      </c>
      <c r="O49" s="1" t="s">
        <v>416</v>
      </c>
      <c r="P49" t="s">
        <v>445</v>
      </c>
      <c r="Q49" t="s">
        <v>148</v>
      </c>
      <c r="R49" t="s">
        <v>573</v>
      </c>
      <c r="S49" t="s">
        <v>162</v>
      </c>
      <c r="T49" t="s">
        <v>128</v>
      </c>
      <c r="U49" t="s">
        <v>151</v>
      </c>
      <c r="V49" t="s">
        <v>237</v>
      </c>
      <c r="W49" t="s">
        <v>302</v>
      </c>
      <c r="X49" t="s">
        <v>153</v>
      </c>
      <c r="Y49" t="s">
        <v>574</v>
      </c>
      <c r="Z49" t="s">
        <v>575</v>
      </c>
      <c r="AA49" t="s">
        <v>576</v>
      </c>
      <c r="AB49" t="s">
        <v>172</v>
      </c>
      <c r="AD49" t="s">
        <v>577</v>
      </c>
      <c r="AE49" s="1" t="s">
        <v>123</v>
      </c>
      <c r="AW49" s="1" t="s">
        <v>123</v>
      </c>
      <c r="AX49" t="s">
        <v>132</v>
      </c>
      <c r="CQ49" s="1" t="s">
        <v>123</v>
      </c>
      <c r="DA49" s="1" t="s">
        <v>123</v>
      </c>
      <c r="DK49" s="1" t="s">
        <v>123</v>
      </c>
      <c r="EN49" s="1" t="s">
        <v>123</v>
      </c>
      <c r="FN49" s="1" t="s">
        <v>123</v>
      </c>
      <c r="FO49" t="s">
        <v>132</v>
      </c>
      <c r="FQ49" t="s">
        <v>132</v>
      </c>
      <c r="GV49" t="s">
        <v>578</v>
      </c>
      <c r="GW49" t="s">
        <v>579</v>
      </c>
      <c r="GX49" t="s">
        <v>580</v>
      </c>
      <c r="GY49" t="s">
        <v>186</v>
      </c>
      <c r="GZ49">
        <v>1997</v>
      </c>
      <c r="HA49" t="s">
        <v>483</v>
      </c>
      <c r="HC49" t="s">
        <v>532</v>
      </c>
    </row>
    <row r="50" spans="1:212" x14ac:dyDescent="0.45">
      <c r="A50">
        <v>49</v>
      </c>
      <c r="B50" t="str">
        <f>_xlfn.IFNA(VLOOKUP(Wszystkie[[#This Row],[Zakończono wypełnianie]],Zakończone[],2,0),"BRAK")</f>
        <v>BRAK</v>
      </c>
      <c r="C50" t="s">
        <v>583</v>
      </c>
      <c r="D50" t="s">
        <v>118</v>
      </c>
      <c r="E50" t="s">
        <v>525</v>
      </c>
      <c r="I50" t="s">
        <v>286</v>
      </c>
      <c r="J50" t="s">
        <v>584</v>
      </c>
      <c r="K50" t="s">
        <v>584</v>
      </c>
      <c r="L50">
        <v>0</v>
      </c>
      <c r="M50">
        <v>0</v>
      </c>
      <c r="N50" t="s">
        <v>122</v>
      </c>
      <c r="O50" s="1" t="s">
        <v>416</v>
      </c>
      <c r="AE50" s="1"/>
      <c r="AW50" s="1"/>
      <c r="CQ50" s="1"/>
      <c r="DA50" s="1"/>
      <c r="DK50" s="1"/>
      <c r="EN50" s="1"/>
      <c r="FN50" s="1"/>
    </row>
    <row r="51" spans="1:212" x14ac:dyDescent="0.45">
      <c r="A51">
        <v>51</v>
      </c>
      <c r="B51" t="str">
        <f>_xlfn.IFNA(VLOOKUP(Wszystkie[[#This Row],[Zakończono wypełnianie]],Zakończone[],2,0),"BRAK")</f>
        <v>BRAK</v>
      </c>
      <c r="C51" t="s">
        <v>596</v>
      </c>
      <c r="D51" t="s">
        <v>118</v>
      </c>
      <c r="E51" t="s">
        <v>359</v>
      </c>
      <c r="I51" t="s">
        <v>286</v>
      </c>
      <c r="J51" t="s">
        <v>597</v>
      </c>
      <c r="K51" t="s">
        <v>597</v>
      </c>
      <c r="L51">
        <v>0</v>
      </c>
      <c r="M51">
        <v>0</v>
      </c>
      <c r="N51" t="s">
        <v>122</v>
      </c>
      <c r="O51" s="1" t="s">
        <v>123</v>
      </c>
      <c r="AE51" s="1" t="s">
        <v>124</v>
      </c>
      <c r="AW51" s="1"/>
      <c r="CQ51" s="1"/>
      <c r="DA51" s="1"/>
      <c r="DK51" s="1"/>
      <c r="EN51" s="1"/>
      <c r="FN51" s="1"/>
    </row>
    <row r="52" spans="1:212" x14ac:dyDescent="0.45">
      <c r="A52">
        <v>50</v>
      </c>
      <c r="B52">
        <f>_xlfn.IFNA(VLOOKUP(Wszystkie[[#This Row],[Zakończono wypełnianie]],Zakończone[],2,0),"BRAK")</f>
        <v>30</v>
      </c>
      <c r="C52" t="s">
        <v>585</v>
      </c>
      <c r="D52" t="s">
        <v>118</v>
      </c>
      <c r="E52" t="s">
        <v>375</v>
      </c>
      <c r="I52" t="s">
        <v>119</v>
      </c>
      <c r="J52" t="s">
        <v>586</v>
      </c>
      <c r="K52" t="s">
        <v>587</v>
      </c>
      <c r="L52">
        <v>387</v>
      </c>
      <c r="M52">
        <v>0</v>
      </c>
      <c r="N52" t="s">
        <v>122</v>
      </c>
      <c r="O52" s="1" t="s">
        <v>416</v>
      </c>
      <c r="P52" t="s">
        <v>445</v>
      </c>
      <c r="Q52" t="s">
        <v>148</v>
      </c>
      <c r="R52" t="s">
        <v>588</v>
      </c>
      <c r="S52" t="s">
        <v>162</v>
      </c>
      <c r="T52" t="s">
        <v>150</v>
      </c>
      <c r="U52" t="s">
        <v>162</v>
      </c>
      <c r="V52" t="s">
        <v>589</v>
      </c>
      <c r="W52" t="s">
        <v>302</v>
      </c>
      <c r="X52" t="s">
        <v>153</v>
      </c>
      <c r="Z52" t="s">
        <v>590</v>
      </c>
      <c r="AA52" t="s">
        <v>591</v>
      </c>
      <c r="AB52" t="s">
        <v>172</v>
      </c>
      <c r="AD52" t="s">
        <v>533</v>
      </c>
      <c r="AE52" s="1" t="s">
        <v>123</v>
      </c>
      <c r="AW52" s="1" t="s">
        <v>123</v>
      </c>
      <c r="CQ52" s="1" t="s">
        <v>123</v>
      </c>
      <c r="DA52" s="1" t="s">
        <v>123</v>
      </c>
      <c r="DK52" s="1" t="s">
        <v>123</v>
      </c>
      <c r="EN52" s="1" t="s">
        <v>123</v>
      </c>
      <c r="FN52" s="1" t="s">
        <v>123</v>
      </c>
      <c r="FO52" t="s">
        <v>132</v>
      </c>
      <c r="GV52" t="s">
        <v>592</v>
      </c>
      <c r="GW52" t="s">
        <v>593</v>
      </c>
      <c r="GX52" t="s">
        <v>594</v>
      </c>
      <c r="GY52" t="s">
        <v>140</v>
      </c>
      <c r="GZ52">
        <v>1997</v>
      </c>
      <c r="HA52" t="s">
        <v>141</v>
      </c>
      <c r="HC52" t="s">
        <v>595</v>
      </c>
    </row>
    <row r="53" spans="1:212" x14ac:dyDescent="0.45">
      <c r="A53">
        <v>53</v>
      </c>
      <c r="B53">
        <f>_xlfn.IFNA(VLOOKUP(Wszystkie[[#This Row],[Zakończono wypełnianie]],Zakończone[],2,0),"BRAK")</f>
        <v>32</v>
      </c>
      <c r="C53" t="s">
        <v>610</v>
      </c>
      <c r="D53" t="s">
        <v>118</v>
      </c>
      <c r="E53" t="s">
        <v>548</v>
      </c>
      <c r="I53" t="s">
        <v>119</v>
      </c>
      <c r="J53" t="s">
        <v>611</v>
      </c>
      <c r="K53" t="s">
        <v>612</v>
      </c>
      <c r="L53">
        <v>551</v>
      </c>
      <c r="M53">
        <v>0</v>
      </c>
      <c r="N53" t="s">
        <v>122</v>
      </c>
      <c r="O53" s="1" t="s">
        <v>416</v>
      </c>
      <c r="P53" t="s">
        <v>445</v>
      </c>
      <c r="Q53" t="s">
        <v>148</v>
      </c>
      <c r="R53" t="s">
        <v>613</v>
      </c>
      <c r="S53" t="s">
        <v>150</v>
      </c>
      <c r="T53" t="s">
        <v>150</v>
      </c>
      <c r="U53" t="s">
        <v>151</v>
      </c>
      <c r="V53" t="s">
        <v>530</v>
      </c>
      <c r="W53" t="s">
        <v>131</v>
      </c>
      <c r="X53" t="s">
        <v>302</v>
      </c>
      <c r="Y53" t="s">
        <v>614</v>
      </c>
      <c r="Z53" t="s">
        <v>615</v>
      </c>
      <c r="AA53" t="s">
        <v>616</v>
      </c>
      <c r="AB53" t="s">
        <v>172</v>
      </c>
      <c r="AD53" t="s">
        <v>533</v>
      </c>
      <c r="AE53" s="1" t="s">
        <v>123</v>
      </c>
      <c r="AW53" s="1" t="s">
        <v>123</v>
      </c>
      <c r="CQ53" s="1" t="s">
        <v>123</v>
      </c>
      <c r="DA53" s="1" t="s">
        <v>123</v>
      </c>
      <c r="DK53" s="1" t="s">
        <v>123</v>
      </c>
      <c r="EN53" s="1" t="s">
        <v>123</v>
      </c>
      <c r="FN53" s="1" t="s">
        <v>123</v>
      </c>
      <c r="FO53" t="s">
        <v>132</v>
      </c>
      <c r="GV53" t="s">
        <v>617</v>
      </c>
      <c r="GW53" t="s">
        <v>618</v>
      </c>
      <c r="GX53" t="s">
        <v>619</v>
      </c>
      <c r="GY53" t="s">
        <v>140</v>
      </c>
      <c r="GZ53">
        <v>1998</v>
      </c>
      <c r="HA53" t="s">
        <v>398</v>
      </c>
      <c r="HC53" t="s">
        <v>620</v>
      </c>
    </row>
    <row r="54" spans="1:212" x14ac:dyDescent="0.45">
      <c r="A54">
        <v>54</v>
      </c>
      <c r="B54">
        <f>_xlfn.IFNA(VLOOKUP(Wszystkie[[#This Row],[Zakończono wypełnianie]],Zakończone[],2,0),"BRAK")</f>
        <v>33</v>
      </c>
      <c r="C54" t="s">
        <v>621</v>
      </c>
      <c r="D54" t="s">
        <v>118</v>
      </c>
      <c r="E54" t="s">
        <v>359</v>
      </c>
      <c r="I54" t="s">
        <v>119</v>
      </c>
      <c r="J54" t="s">
        <v>622</v>
      </c>
      <c r="K54" t="s">
        <v>623</v>
      </c>
      <c r="L54">
        <v>595</v>
      </c>
      <c r="M54">
        <v>0</v>
      </c>
      <c r="N54" t="s">
        <v>122</v>
      </c>
      <c r="O54" s="1" t="s">
        <v>416</v>
      </c>
      <c r="P54" t="s">
        <v>445</v>
      </c>
      <c r="Q54" t="s">
        <v>148</v>
      </c>
      <c r="R54" t="s">
        <v>624</v>
      </c>
      <c r="S54" t="s">
        <v>150</v>
      </c>
      <c r="T54" t="s">
        <v>150</v>
      </c>
      <c r="U54" t="s">
        <v>169</v>
      </c>
      <c r="V54">
        <v>12</v>
      </c>
      <c r="W54" t="s">
        <v>302</v>
      </c>
      <c r="X54" t="s">
        <v>226</v>
      </c>
      <c r="Z54" t="s">
        <v>625</v>
      </c>
      <c r="AA54" t="s">
        <v>626</v>
      </c>
      <c r="AB54" t="s">
        <v>172</v>
      </c>
      <c r="AD54" t="s">
        <v>424</v>
      </c>
      <c r="AE54" s="1" t="s">
        <v>123</v>
      </c>
      <c r="AW54" s="1" t="s">
        <v>123</v>
      </c>
      <c r="AX54" t="s">
        <v>132</v>
      </c>
      <c r="CQ54" s="1" t="s">
        <v>123</v>
      </c>
      <c r="DA54" s="1" t="s">
        <v>123</v>
      </c>
      <c r="DK54" s="1" t="s">
        <v>123</v>
      </c>
      <c r="EN54" s="1" t="s">
        <v>123</v>
      </c>
      <c r="FN54" s="1" t="s">
        <v>123</v>
      </c>
      <c r="FO54" t="s">
        <v>132</v>
      </c>
      <c r="GV54" t="s">
        <v>627</v>
      </c>
      <c r="GW54" t="s">
        <v>628</v>
      </c>
      <c r="GX54" t="s">
        <v>629</v>
      </c>
      <c r="GY54" t="s">
        <v>186</v>
      </c>
      <c r="GZ54" t="s">
        <v>630</v>
      </c>
      <c r="HA54" t="s">
        <v>398</v>
      </c>
      <c r="HC54" t="s">
        <v>631</v>
      </c>
      <c r="HD54" t="s">
        <v>632</v>
      </c>
    </row>
    <row r="55" spans="1:212" x14ac:dyDescent="0.45">
      <c r="A55">
        <v>55</v>
      </c>
      <c r="B55" t="str">
        <f>_xlfn.IFNA(VLOOKUP(Wszystkie[[#This Row],[Zakończono wypełnianie]],Zakończone[],2,0),"BRAK")</f>
        <v>BRAK</v>
      </c>
      <c r="C55" t="s">
        <v>633</v>
      </c>
      <c r="D55" t="s">
        <v>118</v>
      </c>
      <c r="E55" t="s">
        <v>359</v>
      </c>
      <c r="I55" t="s">
        <v>286</v>
      </c>
      <c r="J55" t="s">
        <v>634</v>
      </c>
      <c r="K55" t="s">
        <v>634</v>
      </c>
      <c r="L55">
        <v>0</v>
      </c>
      <c r="M55">
        <v>0</v>
      </c>
      <c r="N55" t="s">
        <v>122</v>
      </c>
      <c r="O55" s="1" t="s">
        <v>416</v>
      </c>
      <c r="AE55" s="1"/>
      <c r="AW55" s="1"/>
      <c r="CQ55" s="1"/>
      <c r="DA55" s="1"/>
      <c r="DK55" s="1"/>
      <c r="EN55" s="1"/>
      <c r="FN55" s="1"/>
    </row>
    <row r="56" spans="1:212" x14ac:dyDescent="0.45">
      <c r="A56">
        <v>56</v>
      </c>
      <c r="B56" t="str">
        <f>_xlfn.IFNA(VLOOKUP(Wszystkie[[#This Row],[Zakończono wypełnianie]],Zakończone[],2,0),"BRAK")</f>
        <v>BRAK</v>
      </c>
      <c r="C56" t="s">
        <v>635</v>
      </c>
      <c r="D56" t="s">
        <v>118</v>
      </c>
      <c r="E56" t="s">
        <v>375</v>
      </c>
      <c r="I56" t="s">
        <v>286</v>
      </c>
      <c r="J56" t="s">
        <v>636</v>
      </c>
      <c r="K56" t="s">
        <v>636</v>
      </c>
      <c r="L56">
        <v>0</v>
      </c>
      <c r="M56">
        <v>0</v>
      </c>
      <c r="N56" t="s">
        <v>122</v>
      </c>
      <c r="O56" s="1" t="s">
        <v>416</v>
      </c>
      <c r="AE56" s="1"/>
      <c r="AW56" s="1"/>
      <c r="CQ56" s="1"/>
      <c r="DA56" s="1"/>
      <c r="DK56" s="1"/>
      <c r="EN56" s="1"/>
      <c r="FN56" s="1"/>
    </row>
    <row r="57" spans="1:212" x14ac:dyDescent="0.45">
      <c r="A57">
        <v>57</v>
      </c>
      <c r="B57" t="str">
        <f>_xlfn.IFNA(VLOOKUP(Wszystkie[[#This Row],[Zakończono wypełnianie]],Zakończone[],2,0),"BRAK")</f>
        <v>BRAK</v>
      </c>
      <c r="C57" t="s">
        <v>637</v>
      </c>
      <c r="D57" t="s">
        <v>118</v>
      </c>
      <c r="E57" t="s">
        <v>548</v>
      </c>
      <c r="I57" t="s">
        <v>286</v>
      </c>
      <c r="J57" t="s">
        <v>638</v>
      </c>
      <c r="K57" t="s">
        <v>638</v>
      </c>
      <c r="L57">
        <v>0</v>
      </c>
      <c r="M57">
        <v>0</v>
      </c>
      <c r="N57" t="s">
        <v>122</v>
      </c>
      <c r="O57" s="1" t="s">
        <v>416</v>
      </c>
      <c r="P57" t="s">
        <v>639</v>
      </c>
      <c r="Q57" t="s">
        <v>148</v>
      </c>
      <c r="R57" t="s">
        <v>640</v>
      </c>
      <c r="S57" t="s">
        <v>169</v>
      </c>
      <c r="T57" t="s">
        <v>169</v>
      </c>
      <c r="U57" t="s">
        <v>151</v>
      </c>
      <c r="V57" t="s">
        <v>641</v>
      </c>
      <c r="W57" t="s">
        <v>302</v>
      </c>
      <c r="X57" t="s">
        <v>302</v>
      </c>
      <c r="Y57" t="s">
        <v>642</v>
      </c>
      <c r="Z57" t="s">
        <v>643</v>
      </c>
      <c r="AA57" t="s">
        <v>644</v>
      </c>
      <c r="AB57" t="s">
        <v>172</v>
      </c>
      <c r="AD57">
        <v>6</v>
      </c>
      <c r="AE57" s="1" t="s">
        <v>123</v>
      </c>
      <c r="AW57" s="1" t="s">
        <v>123</v>
      </c>
      <c r="CQ57" s="1" t="s">
        <v>123</v>
      </c>
      <c r="DA57" s="1" t="s">
        <v>123</v>
      </c>
      <c r="DK57" s="1" t="s">
        <v>123</v>
      </c>
      <c r="EN57" s="1" t="s">
        <v>123</v>
      </c>
      <c r="FN57" s="1" t="s">
        <v>123</v>
      </c>
      <c r="FO57" t="s">
        <v>132</v>
      </c>
    </row>
    <row r="58" spans="1:212" x14ac:dyDescent="0.45">
      <c r="A58">
        <v>59</v>
      </c>
      <c r="B58" t="str">
        <f>_xlfn.IFNA(VLOOKUP(Wszystkie[[#This Row],[Zakończono wypełnianie]],Zakończone[],2,0),"BRAK")</f>
        <v>BRAK</v>
      </c>
      <c r="C58" t="s">
        <v>654</v>
      </c>
      <c r="D58" t="s">
        <v>118</v>
      </c>
      <c r="E58" t="s">
        <v>375</v>
      </c>
      <c r="I58" t="s">
        <v>286</v>
      </c>
      <c r="J58" t="s">
        <v>655</v>
      </c>
      <c r="K58" t="s">
        <v>655</v>
      </c>
      <c r="L58">
        <v>0</v>
      </c>
      <c r="M58">
        <v>0</v>
      </c>
      <c r="N58" t="s">
        <v>122</v>
      </c>
      <c r="O58" s="1" t="s">
        <v>416</v>
      </c>
      <c r="AE58" s="1"/>
      <c r="AW58" s="1"/>
      <c r="CQ58" s="1"/>
      <c r="DA58" s="1"/>
      <c r="DK58" s="1"/>
      <c r="EN58" s="1"/>
      <c r="FN58" s="1"/>
    </row>
    <row r="59" spans="1:212" x14ac:dyDescent="0.45">
      <c r="A59">
        <v>58</v>
      </c>
      <c r="B59">
        <f>_xlfn.IFNA(VLOOKUP(Wszystkie[[#This Row],[Zakończono wypełnianie]],Zakończone[],2,0),"BRAK")</f>
        <v>34</v>
      </c>
      <c r="C59" t="s">
        <v>645</v>
      </c>
      <c r="D59" t="s">
        <v>118</v>
      </c>
      <c r="E59" t="s">
        <v>375</v>
      </c>
      <c r="I59" t="s">
        <v>119</v>
      </c>
      <c r="J59" t="s">
        <v>646</v>
      </c>
      <c r="K59" t="s">
        <v>647</v>
      </c>
      <c r="L59">
        <v>551</v>
      </c>
      <c r="M59">
        <v>0</v>
      </c>
      <c r="N59" t="s">
        <v>122</v>
      </c>
      <c r="O59" s="1" t="s">
        <v>416</v>
      </c>
      <c r="P59" t="s">
        <v>160</v>
      </c>
      <c r="Q59" t="s">
        <v>148</v>
      </c>
      <c r="R59" t="s">
        <v>648</v>
      </c>
      <c r="S59" t="s">
        <v>128</v>
      </c>
      <c r="T59" t="s">
        <v>162</v>
      </c>
      <c r="U59" t="s">
        <v>162</v>
      </c>
      <c r="V59" t="s">
        <v>237</v>
      </c>
      <c r="W59" t="s">
        <v>302</v>
      </c>
      <c r="X59" t="s">
        <v>153</v>
      </c>
      <c r="Z59" t="s">
        <v>649</v>
      </c>
      <c r="AA59" t="s">
        <v>650</v>
      </c>
      <c r="AB59" t="s">
        <v>157</v>
      </c>
      <c r="AD59">
        <v>8</v>
      </c>
      <c r="AE59" s="1" t="s">
        <v>123</v>
      </c>
      <c r="AW59" s="1" t="s">
        <v>123</v>
      </c>
      <c r="CQ59" s="1" t="s">
        <v>123</v>
      </c>
      <c r="DA59" s="1" t="s">
        <v>123</v>
      </c>
      <c r="DK59" s="1" t="s">
        <v>123</v>
      </c>
      <c r="EN59" s="1" t="s">
        <v>123</v>
      </c>
      <c r="FN59" s="1" t="s">
        <v>123</v>
      </c>
      <c r="FO59" t="s">
        <v>132</v>
      </c>
      <c r="GV59" t="s">
        <v>651</v>
      </c>
      <c r="GW59" t="s">
        <v>652</v>
      </c>
      <c r="GX59" t="s">
        <v>653</v>
      </c>
      <c r="GY59" t="s">
        <v>140</v>
      </c>
      <c r="GZ59">
        <v>1998</v>
      </c>
      <c r="HA59" t="s">
        <v>141</v>
      </c>
    </row>
    <row r="60" spans="1:212" x14ac:dyDescent="0.45">
      <c r="A60">
        <v>60</v>
      </c>
      <c r="B60">
        <f>_xlfn.IFNA(VLOOKUP(Wszystkie[[#This Row],[Zakończono wypełnianie]],Zakończone[],2,0),"BRAK")</f>
        <v>35</v>
      </c>
      <c r="C60" t="s">
        <v>656</v>
      </c>
      <c r="D60" t="s">
        <v>118</v>
      </c>
      <c r="E60" t="s">
        <v>359</v>
      </c>
      <c r="I60" t="s">
        <v>119</v>
      </c>
      <c r="J60" t="s">
        <v>657</v>
      </c>
      <c r="K60" t="s">
        <v>658</v>
      </c>
      <c r="L60">
        <v>770</v>
      </c>
      <c r="M60">
        <v>0</v>
      </c>
      <c r="N60" t="s">
        <v>122</v>
      </c>
      <c r="O60" s="1" t="s">
        <v>123</v>
      </c>
      <c r="AE60" s="1" t="s">
        <v>124</v>
      </c>
      <c r="AF60" t="s">
        <v>445</v>
      </c>
      <c r="AG60" t="s">
        <v>659</v>
      </c>
      <c r="AH60" t="s">
        <v>148</v>
      </c>
      <c r="AI60" t="s">
        <v>660</v>
      </c>
      <c r="AJ60" t="s">
        <v>169</v>
      </c>
      <c r="AK60" t="s">
        <v>169</v>
      </c>
      <c r="AL60" t="s">
        <v>169</v>
      </c>
      <c r="AM60" t="s">
        <v>150</v>
      </c>
      <c r="AN60" t="s">
        <v>132</v>
      </c>
      <c r="AO60" t="s">
        <v>661</v>
      </c>
      <c r="AP60" t="s">
        <v>302</v>
      </c>
      <c r="AQ60" t="s">
        <v>132</v>
      </c>
      <c r="AS60" t="s">
        <v>662</v>
      </c>
      <c r="AT60" t="s">
        <v>663</v>
      </c>
      <c r="AU60" t="s">
        <v>157</v>
      </c>
      <c r="AV60" t="s">
        <v>664</v>
      </c>
      <c r="AW60" s="1" t="s">
        <v>123</v>
      </c>
      <c r="CQ60" s="1" t="s">
        <v>123</v>
      </c>
      <c r="DA60" s="1" t="s">
        <v>214</v>
      </c>
      <c r="DB60" t="s">
        <v>445</v>
      </c>
      <c r="DC60" t="s">
        <v>518</v>
      </c>
      <c r="DD60" t="s">
        <v>169</v>
      </c>
      <c r="DE60" t="s">
        <v>169</v>
      </c>
      <c r="DF60" t="s">
        <v>169</v>
      </c>
      <c r="DG60" t="s">
        <v>169</v>
      </c>
      <c r="DH60" t="s">
        <v>169</v>
      </c>
      <c r="DI60" t="s">
        <v>150</v>
      </c>
      <c r="DK60" s="1" t="s">
        <v>123</v>
      </c>
      <c r="EN60" s="1" t="s">
        <v>123</v>
      </c>
      <c r="FN60" s="1" t="s">
        <v>123</v>
      </c>
      <c r="FO60" t="s">
        <v>132</v>
      </c>
      <c r="GV60" t="s">
        <v>665</v>
      </c>
      <c r="GW60" t="s">
        <v>666</v>
      </c>
      <c r="GX60" t="s">
        <v>667</v>
      </c>
      <c r="GY60" t="s">
        <v>140</v>
      </c>
      <c r="GZ60">
        <v>1989</v>
      </c>
      <c r="HA60" t="s">
        <v>141</v>
      </c>
    </row>
    <row r="61" spans="1:212" x14ac:dyDescent="0.45">
      <c r="A61">
        <v>61</v>
      </c>
      <c r="B61">
        <f>_xlfn.IFNA(VLOOKUP(Wszystkie[[#This Row],[Zakończono wypełnianie]],Zakończone[],2,0),"BRAK")</f>
        <v>36</v>
      </c>
      <c r="C61" t="s">
        <v>668</v>
      </c>
      <c r="D61" t="s">
        <v>118</v>
      </c>
      <c r="E61" t="s">
        <v>359</v>
      </c>
      <c r="I61" t="s">
        <v>119</v>
      </c>
      <c r="J61" t="s">
        <v>669</v>
      </c>
      <c r="K61" t="s">
        <v>670</v>
      </c>
      <c r="L61">
        <v>463</v>
      </c>
      <c r="M61">
        <v>0</v>
      </c>
      <c r="N61" t="s">
        <v>122</v>
      </c>
      <c r="O61" s="1" t="s">
        <v>123</v>
      </c>
      <c r="AE61" s="1" t="s">
        <v>124</v>
      </c>
      <c r="AF61" t="s">
        <v>445</v>
      </c>
      <c r="AG61">
        <v>2019</v>
      </c>
      <c r="AH61" t="s">
        <v>148</v>
      </c>
      <c r="AI61" t="s">
        <v>601</v>
      </c>
      <c r="AJ61" t="s">
        <v>162</v>
      </c>
      <c r="AK61" t="s">
        <v>162</v>
      </c>
      <c r="AL61" t="s">
        <v>129</v>
      </c>
      <c r="AM61" t="s">
        <v>129</v>
      </c>
      <c r="AN61" t="s">
        <v>129</v>
      </c>
      <c r="AO61">
        <v>4</v>
      </c>
      <c r="AP61" t="s">
        <v>152</v>
      </c>
      <c r="AQ61" t="s">
        <v>131</v>
      </c>
      <c r="AR61" t="s">
        <v>671</v>
      </c>
      <c r="AS61" t="s">
        <v>672</v>
      </c>
      <c r="AT61" t="s">
        <v>673</v>
      </c>
      <c r="AU61" t="s">
        <v>157</v>
      </c>
      <c r="AW61" s="1" t="s">
        <v>123</v>
      </c>
      <c r="AX61" t="s">
        <v>132</v>
      </c>
      <c r="CQ61" s="1" t="s">
        <v>123</v>
      </c>
      <c r="DA61" s="1" t="s">
        <v>123</v>
      </c>
      <c r="DK61" s="1" t="s">
        <v>123</v>
      </c>
      <c r="EN61" s="1" t="s">
        <v>123</v>
      </c>
      <c r="EO61" t="s">
        <v>180</v>
      </c>
      <c r="EP61" t="s">
        <v>132</v>
      </c>
      <c r="FN61" s="1" t="s">
        <v>123</v>
      </c>
      <c r="FO61" t="s">
        <v>132</v>
      </c>
      <c r="FQ61" t="s">
        <v>132</v>
      </c>
      <c r="GV61" t="s">
        <v>674</v>
      </c>
      <c r="GW61" t="s">
        <v>675</v>
      </c>
      <c r="GX61" t="s">
        <v>676</v>
      </c>
      <c r="GY61" t="s">
        <v>140</v>
      </c>
      <c r="GZ61">
        <v>1994</v>
      </c>
      <c r="HA61" t="s">
        <v>483</v>
      </c>
    </row>
    <row r="62" spans="1:212" x14ac:dyDescent="0.45">
      <c r="A62">
        <v>62</v>
      </c>
      <c r="B62" t="str">
        <f>_xlfn.IFNA(VLOOKUP(Wszystkie[[#This Row],[Zakończono wypełnianie]],Zakończone[],2,0),"BRAK")</f>
        <v>BRAK</v>
      </c>
      <c r="C62" t="s">
        <v>677</v>
      </c>
      <c r="D62" t="s">
        <v>118</v>
      </c>
      <c r="E62" t="s">
        <v>548</v>
      </c>
      <c r="I62" t="s">
        <v>286</v>
      </c>
      <c r="J62" t="s">
        <v>678</v>
      </c>
      <c r="K62" t="s">
        <v>678</v>
      </c>
      <c r="L62">
        <v>0</v>
      </c>
      <c r="M62">
        <v>0</v>
      </c>
      <c r="N62" t="s">
        <v>122</v>
      </c>
      <c r="O62" s="1" t="s">
        <v>416</v>
      </c>
      <c r="AE62" s="1"/>
      <c r="AW62" s="1"/>
      <c r="CQ62" s="1"/>
      <c r="DA62" s="1"/>
      <c r="DK62" s="1"/>
      <c r="EN62" s="1"/>
      <c r="FN62" s="1"/>
    </row>
    <row r="63" spans="1:212" x14ac:dyDescent="0.45">
      <c r="A63">
        <v>63</v>
      </c>
      <c r="B63">
        <f>_xlfn.IFNA(VLOOKUP(Wszystkie[[#This Row],[Zakończono wypełnianie]],Zakończone[],2,0),"BRAK")</f>
        <v>37</v>
      </c>
      <c r="C63" t="s">
        <v>679</v>
      </c>
      <c r="D63" t="s">
        <v>118</v>
      </c>
      <c r="E63" t="s">
        <v>359</v>
      </c>
      <c r="I63" t="s">
        <v>119</v>
      </c>
      <c r="J63" t="s">
        <v>680</v>
      </c>
      <c r="K63" t="s">
        <v>681</v>
      </c>
      <c r="L63">
        <v>770</v>
      </c>
      <c r="M63">
        <v>0</v>
      </c>
      <c r="N63" t="s">
        <v>122</v>
      </c>
      <c r="O63" s="1" t="s">
        <v>123</v>
      </c>
      <c r="AE63" s="1" t="s">
        <v>124</v>
      </c>
      <c r="AF63" t="s">
        <v>682</v>
      </c>
      <c r="AG63">
        <v>2017</v>
      </c>
      <c r="AH63" t="s">
        <v>148</v>
      </c>
      <c r="AI63" t="s">
        <v>601</v>
      </c>
      <c r="AJ63" t="s">
        <v>169</v>
      </c>
      <c r="AK63" t="s">
        <v>169</v>
      </c>
      <c r="AL63" t="s">
        <v>150</v>
      </c>
      <c r="AM63" t="s">
        <v>236</v>
      </c>
      <c r="AN63" t="s">
        <v>169</v>
      </c>
      <c r="AO63" t="s">
        <v>683</v>
      </c>
      <c r="AP63" t="s">
        <v>131</v>
      </c>
      <c r="AQ63" t="s">
        <v>153</v>
      </c>
      <c r="AR63" t="s">
        <v>684</v>
      </c>
      <c r="AS63" t="s">
        <v>685</v>
      </c>
      <c r="AT63" t="s">
        <v>686</v>
      </c>
      <c r="AU63" t="s">
        <v>157</v>
      </c>
      <c r="AW63" s="1" t="s">
        <v>123</v>
      </c>
      <c r="AX63" t="s">
        <v>132</v>
      </c>
      <c r="CQ63" s="1" t="s">
        <v>123</v>
      </c>
      <c r="DA63" s="1" t="s">
        <v>123</v>
      </c>
      <c r="DK63" s="1" t="s">
        <v>123</v>
      </c>
      <c r="EN63" s="1" t="s">
        <v>123</v>
      </c>
      <c r="EO63" t="s">
        <v>180</v>
      </c>
      <c r="EP63" t="s">
        <v>132</v>
      </c>
      <c r="FN63" s="1" t="s">
        <v>123</v>
      </c>
      <c r="FO63" t="s">
        <v>132</v>
      </c>
      <c r="FQ63" t="s">
        <v>132</v>
      </c>
      <c r="GV63" t="s">
        <v>687</v>
      </c>
      <c r="GW63" t="s">
        <v>688</v>
      </c>
      <c r="GX63" t="s">
        <v>689</v>
      </c>
      <c r="GY63" t="s">
        <v>140</v>
      </c>
      <c r="GZ63">
        <v>1994</v>
      </c>
      <c r="HA63" t="s">
        <v>246</v>
      </c>
      <c r="HC63" t="s">
        <v>142</v>
      </c>
      <c r="HD63" t="s">
        <v>142</v>
      </c>
    </row>
    <row r="64" spans="1:212" x14ac:dyDescent="0.45">
      <c r="A64">
        <v>64</v>
      </c>
      <c r="B64" t="str">
        <f>_xlfn.IFNA(VLOOKUP(Wszystkie[[#This Row],[Zakończono wypełnianie]],Zakończone[],2,0),"BRAK")</f>
        <v>BRAK</v>
      </c>
      <c r="C64" t="s">
        <v>690</v>
      </c>
      <c r="D64" t="s">
        <v>118</v>
      </c>
      <c r="E64" t="s">
        <v>359</v>
      </c>
      <c r="I64" t="s">
        <v>286</v>
      </c>
      <c r="J64" t="s">
        <v>691</v>
      </c>
      <c r="K64" t="s">
        <v>691</v>
      </c>
      <c r="L64">
        <v>0</v>
      </c>
      <c r="M64">
        <v>0</v>
      </c>
      <c r="N64" t="s">
        <v>122</v>
      </c>
      <c r="O64" s="1" t="s">
        <v>416</v>
      </c>
      <c r="AE64" s="1"/>
      <c r="AW64" s="1"/>
      <c r="CQ64" s="1"/>
      <c r="DA64" s="1"/>
      <c r="DK64" s="1"/>
      <c r="EN64" s="1"/>
      <c r="FN64" s="1"/>
    </row>
    <row r="65" spans="1:213" x14ac:dyDescent="0.45">
      <c r="A65">
        <v>65</v>
      </c>
      <c r="B65" t="str">
        <f>_xlfn.IFNA(VLOOKUP(Wszystkie[[#This Row],[Zakończono wypełnianie]],Zakończone[],2,0),"BRAK")</f>
        <v>BRAK</v>
      </c>
      <c r="C65" t="s">
        <v>692</v>
      </c>
      <c r="D65" t="s">
        <v>118</v>
      </c>
      <c r="E65" t="s">
        <v>375</v>
      </c>
      <c r="I65" t="s">
        <v>286</v>
      </c>
      <c r="J65" t="s">
        <v>693</v>
      </c>
      <c r="K65" t="s">
        <v>693</v>
      </c>
      <c r="L65">
        <v>0</v>
      </c>
      <c r="M65">
        <v>0</v>
      </c>
      <c r="N65" t="s">
        <v>122</v>
      </c>
      <c r="O65" s="1" t="s">
        <v>123</v>
      </c>
      <c r="AE65" s="1" t="s">
        <v>124</v>
      </c>
      <c r="AW65" s="1"/>
      <c r="CQ65" s="1"/>
      <c r="DA65" s="1"/>
      <c r="DK65" s="1"/>
      <c r="EN65" s="1"/>
      <c r="FN65" s="1"/>
    </row>
    <row r="66" spans="1:213" x14ac:dyDescent="0.45">
      <c r="A66">
        <v>66</v>
      </c>
      <c r="B66" t="str">
        <f>_xlfn.IFNA(VLOOKUP(Wszystkie[[#This Row],[Zakończono wypełnianie]],Zakończone[],2,0),"BRAK")</f>
        <v>BRAK</v>
      </c>
      <c r="C66" t="s">
        <v>694</v>
      </c>
      <c r="D66" t="s">
        <v>118</v>
      </c>
      <c r="E66" t="s">
        <v>359</v>
      </c>
      <c r="I66" t="s">
        <v>286</v>
      </c>
      <c r="J66" t="s">
        <v>695</v>
      </c>
      <c r="K66" t="s">
        <v>695</v>
      </c>
      <c r="L66">
        <v>0</v>
      </c>
      <c r="M66">
        <v>0</v>
      </c>
      <c r="N66" t="s">
        <v>122</v>
      </c>
      <c r="O66" s="1" t="s">
        <v>123</v>
      </c>
      <c r="AE66" s="1" t="s">
        <v>124</v>
      </c>
      <c r="AF66" t="s">
        <v>445</v>
      </c>
      <c r="AG66">
        <v>2018</v>
      </c>
      <c r="AH66" t="s">
        <v>148</v>
      </c>
      <c r="AI66" t="s">
        <v>461</v>
      </c>
      <c r="AJ66" t="s">
        <v>169</v>
      </c>
      <c r="AK66" t="s">
        <v>169</v>
      </c>
      <c r="AL66" t="s">
        <v>151</v>
      </c>
      <c r="AM66" t="s">
        <v>129</v>
      </c>
      <c r="AN66" t="s">
        <v>129</v>
      </c>
      <c r="AO66">
        <v>3</v>
      </c>
      <c r="AP66" t="s">
        <v>131</v>
      </c>
      <c r="AQ66" t="s">
        <v>302</v>
      </c>
      <c r="AS66" t="s">
        <v>696</v>
      </c>
      <c r="AT66" t="s">
        <v>697</v>
      </c>
      <c r="AU66" t="s">
        <v>157</v>
      </c>
      <c r="AW66" s="1" t="s">
        <v>123</v>
      </c>
      <c r="AX66" t="s">
        <v>132</v>
      </c>
      <c r="CQ66" s="1" t="s">
        <v>123</v>
      </c>
      <c r="DA66" s="1" t="s">
        <v>123</v>
      </c>
      <c r="DK66" s="1" t="s">
        <v>123</v>
      </c>
      <c r="EN66" s="1" t="s">
        <v>177</v>
      </c>
      <c r="EO66" t="s">
        <v>180</v>
      </c>
      <c r="EP66" t="s">
        <v>132</v>
      </c>
      <c r="FN66" s="1"/>
    </row>
    <row r="67" spans="1:213" x14ac:dyDescent="0.45">
      <c r="A67">
        <v>52</v>
      </c>
      <c r="B67">
        <f>_xlfn.IFNA(VLOOKUP(Wszystkie[[#This Row],[Zakończono wypełnianie]],Zakończone[],2,0),"BRAK")</f>
        <v>31</v>
      </c>
      <c r="C67" t="s">
        <v>598</v>
      </c>
      <c r="D67" t="s">
        <v>118</v>
      </c>
      <c r="E67" t="s">
        <v>359</v>
      </c>
      <c r="I67" t="s">
        <v>119</v>
      </c>
      <c r="J67" t="s">
        <v>599</v>
      </c>
      <c r="K67" t="s">
        <v>600</v>
      </c>
      <c r="L67">
        <v>61362</v>
      </c>
      <c r="M67">
        <v>0</v>
      </c>
      <c r="N67" t="s">
        <v>122</v>
      </c>
      <c r="O67" s="1" t="s">
        <v>123</v>
      </c>
      <c r="AE67" s="1" t="s">
        <v>124</v>
      </c>
      <c r="AF67" t="s">
        <v>445</v>
      </c>
      <c r="AG67">
        <v>2018</v>
      </c>
      <c r="AH67" t="s">
        <v>148</v>
      </c>
      <c r="AI67" t="s">
        <v>601</v>
      </c>
      <c r="AJ67" t="s">
        <v>150</v>
      </c>
      <c r="AK67" t="s">
        <v>162</v>
      </c>
      <c r="AL67" t="s">
        <v>128</v>
      </c>
      <c r="AM67" t="s">
        <v>129</v>
      </c>
      <c r="AN67" t="s">
        <v>132</v>
      </c>
      <c r="AO67" t="s">
        <v>602</v>
      </c>
      <c r="AP67" t="s">
        <v>131</v>
      </c>
      <c r="AQ67" t="s">
        <v>132</v>
      </c>
      <c r="AS67" t="s">
        <v>603</v>
      </c>
      <c r="AT67" t="s">
        <v>604</v>
      </c>
      <c r="AU67" t="s">
        <v>157</v>
      </c>
      <c r="AW67" s="1" t="s">
        <v>123</v>
      </c>
      <c r="AX67" t="s">
        <v>132</v>
      </c>
      <c r="CQ67" s="1" t="s">
        <v>123</v>
      </c>
      <c r="DA67" s="1" t="s">
        <v>123</v>
      </c>
      <c r="DK67" s="1" t="s">
        <v>123</v>
      </c>
      <c r="EN67" s="1" t="s">
        <v>123</v>
      </c>
      <c r="EO67" t="s">
        <v>180</v>
      </c>
      <c r="EP67" t="s">
        <v>132</v>
      </c>
      <c r="FN67" s="1" t="s">
        <v>123</v>
      </c>
      <c r="FO67" t="s">
        <v>132</v>
      </c>
      <c r="FQ67" t="s">
        <v>132</v>
      </c>
      <c r="GV67" t="s">
        <v>605</v>
      </c>
      <c r="GW67" t="s">
        <v>606</v>
      </c>
      <c r="GX67" t="s">
        <v>607</v>
      </c>
      <c r="GY67" t="s">
        <v>140</v>
      </c>
      <c r="GZ67">
        <v>1994</v>
      </c>
      <c r="HA67" t="s">
        <v>483</v>
      </c>
      <c r="HC67" t="s">
        <v>608</v>
      </c>
      <c r="HD67" t="s">
        <v>609</v>
      </c>
    </row>
    <row r="68" spans="1:213" x14ac:dyDescent="0.45">
      <c r="A68">
        <v>67</v>
      </c>
      <c r="B68">
        <f>_xlfn.IFNA(VLOOKUP(Wszystkie[[#This Row],[Zakończono wypełnianie]],Zakończone[],2,0),"BRAK")</f>
        <v>38</v>
      </c>
      <c r="C68" t="s">
        <v>698</v>
      </c>
      <c r="D68" t="s">
        <v>118</v>
      </c>
      <c r="E68" t="s">
        <v>359</v>
      </c>
      <c r="I68" t="s">
        <v>119</v>
      </c>
      <c r="J68" t="s">
        <v>699</v>
      </c>
      <c r="K68" t="s">
        <v>700</v>
      </c>
      <c r="L68">
        <v>1910</v>
      </c>
      <c r="M68">
        <v>0</v>
      </c>
      <c r="N68" t="s">
        <v>122</v>
      </c>
      <c r="O68" s="1" t="s">
        <v>123</v>
      </c>
      <c r="AE68" s="1" t="s">
        <v>124</v>
      </c>
      <c r="AF68" t="s">
        <v>701</v>
      </c>
      <c r="AG68">
        <v>2020</v>
      </c>
      <c r="AH68" t="s">
        <v>148</v>
      </c>
      <c r="AI68" t="s">
        <v>702</v>
      </c>
      <c r="AJ68" t="s">
        <v>162</v>
      </c>
      <c r="AK68" t="s">
        <v>162</v>
      </c>
      <c r="AL68" t="s">
        <v>236</v>
      </c>
      <c r="AM68" t="s">
        <v>236</v>
      </c>
      <c r="AN68" t="s">
        <v>132</v>
      </c>
      <c r="AO68" t="s">
        <v>703</v>
      </c>
      <c r="AP68" t="s">
        <v>131</v>
      </c>
      <c r="AQ68" t="s">
        <v>132</v>
      </c>
      <c r="AR68" t="s">
        <v>704</v>
      </c>
      <c r="AS68" t="s">
        <v>705</v>
      </c>
      <c r="AT68" t="s">
        <v>706</v>
      </c>
      <c r="AU68" t="s">
        <v>157</v>
      </c>
      <c r="AW68" s="1" t="s">
        <v>123</v>
      </c>
      <c r="AX68" t="s">
        <v>132</v>
      </c>
      <c r="CQ68" s="1" t="s">
        <v>123</v>
      </c>
      <c r="DA68" s="1" t="s">
        <v>123</v>
      </c>
      <c r="DK68" s="1" t="s">
        <v>123</v>
      </c>
      <c r="EN68" s="1" t="s">
        <v>123</v>
      </c>
      <c r="EO68" t="s">
        <v>180</v>
      </c>
      <c r="EP68" t="s">
        <v>132</v>
      </c>
      <c r="FN68" s="1" t="s">
        <v>123</v>
      </c>
      <c r="FO68" t="s">
        <v>132</v>
      </c>
      <c r="FQ68" t="s">
        <v>132</v>
      </c>
      <c r="GV68" t="s">
        <v>707</v>
      </c>
      <c r="GW68" t="s">
        <v>708</v>
      </c>
      <c r="GX68" t="s">
        <v>709</v>
      </c>
      <c r="GY68" t="s">
        <v>140</v>
      </c>
      <c r="GZ68">
        <v>1994</v>
      </c>
      <c r="HA68" t="s">
        <v>220</v>
      </c>
    </row>
    <row r="69" spans="1:213" x14ac:dyDescent="0.45">
      <c r="A69">
        <v>68</v>
      </c>
      <c r="B69" t="str">
        <f>_xlfn.IFNA(VLOOKUP(Wszystkie[[#This Row],[Zakończono wypełnianie]],Zakończone[],2,0),"BRAK")</f>
        <v>BRAK</v>
      </c>
      <c r="C69" t="s">
        <v>710</v>
      </c>
      <c r="D69" t="s">
        <v>118</v>
      </c>
      <c r="E69" t="s">
        <v>359</v>
      </c>
      <c r="I69" t="s">
        <v>286</v>
      </c>
      <c r="J69" t="s">
        <v>711</v>
      </c>
      <c r="K69" t="s">
        <v>711</v>
      </c>
      <c r="L69">
        <v>0</v>
      </c>
      <c r="M69">
        <v>0</v>
      </c>
      <c r="N69" t="s">
        <v>122</v>
      </c>
      <c r="O69" s="1" t="s">
        <v>416</v>
      </c>
      <c r="AE69" s="1"/>
      <c r="AW69" s="1"/>
      <c r="CQ69" s="1"/>
      <c r="DA69" s="1"/>
      <c r="DK69" s="1"/>
      <c r="EN69" s="1"/>
      <c r="FN69" s="1"/>
    </row>
    <row r="70" spans="1:213" x14ac:dyDescent="0.45">
      <c r="A70">
        <v>69</v>
      </c>
      <c r="B70" t="str">
        <f>_xlfn.IFNA(VLOOKUP(Wszystkie[[#This Row],[Zakończono wypełnianie]],Zakończone[],2,0),"BRAK")</f>
        <v>BRAK</v>
      </c>
      <c r="C70" t="s">
        <v>712</v>
      </c>
      <c r="D70" t="s">
        <v>118</v>
      </c>
      <c r="E70" t="s">
        <v>359</v>
      </c>
      <c r="I70" t="s">
        <v>286</v>
      </c>
      <c r="J70" t="s">
        <v>713</v>
      </c>
      <c r="K70" t="s">
        <v>713</v>
      </c>
      <c r="L70">
        <v>0</v>
      </c>
      <c r="M70">
        <v>0</v>
      </c>
      <c r="N70" t="s">
        <v>122</v>
      </c>
      <c r="O70" s="1" t="s">
        <v>123</v>
      </c>
      <c r="AE70" s="1" t="s">
        <v>124</v>
      </c>
      <c r="AW70" s="1"/>
      <c r="CQ70" s="1"/>
      <c r="DA70" s="1"/>
      <c r="DK70" s="1"/>
      <c r="EN70" s="1"/>
      <c r="FN70" s="1"/>
    </row>
    <row r="71" spans="1:213" x14ac:dyDescent="0.45">
      <c r="A71">
        <v>70</v>
      </c>
      <c r="B71">
        <f>_xlfn.IFNA(VLOOKUP(Wszystkie[[#This Row],[Zakończono wypełnianie]],Zakończone[],2,0),"BRAK")</f>
        <v>39</v>
      </c>
      <c r="C71" t="s">
        <v>714</v>
      </c>
      <c r="D71" t="s">
        <v>118</v>
      </c>
      <c r="I71" t="s">
        <v>119</v>
      </c>
      <c r="J71" t="s">
        <v>715</v>
      </c>
      <c r="K71" t="s">
        <v>716</v>
      </c>
      <c r="L71">
        <v>1868</v>
      </c>
      <c r="M71">
        <v>0</v>
      </c>
      <c r="N71" t="s">
        <v>122</v>
      </c>
      <c r="O71" s="1" t="s">
        <v>123</v>
      </c>
      <c r="AE71" s="1" t="s">
        <v>124</v>
      </c>
      <c r="AF71" t="s">
        <v>191</v>
      </c>
      <c r="AG71">
        <v>2008</v>
      </c>
      <c r="AH71" t="s">
        <v>126</v>
      </c>
      <c r="AI71" t="s">
        <v>717</v>
      </c>
      <c r="AJ71" t="s">
        <v>162</v>
      </c>
      <c r="AK71" t="s">
        <v>151</v>
      </c>
      <c r="AL71" t="s">
        <v>162</v>
      </c>
      <c r="AM71" t="s">
        <v>236</v>
      </c>
      <c r="AN71" t="s">
        <v>236</v>
      </c>
      <c r="AO71" t="s">
        <v>718</v>
      </c>
      <c r="AP71" t="s">
        <v>131</v>
      </c>
      <c r="AQ71" t="s">
        <v>302</v>
      </c>
      <c r="AR71" t="s">
        <v>719</v>
      </c>
      <c r="AS71" t="s">
        <v>720</v>
      </c>
      <c r="AT71" t="s">
        <v>721</v>
      </c>
      <c r="AU71" t="s">
        <v>172</v>
      </c>
      <c r="AW71" s="1" t="s">
        <v>123</v>
      </c>
      <c r="CQ71" s="1" t="s">
        <v>123</v>
      </c>
      <c r="DA71" s="1" t="s">
        <v>214</v>
      </c>
      <c r="DB71" t="s">
        <v>722</v>
      </c>
      <c r="DC71" t="s">
        <v>723</v>
      </c>
      <c r="DD71" t="s">
        <v>150</v>
      </c>
      <c r="DE71" t="s">
        <v>162</v>
      </c>
      <c r="DF71" t="s">
        <v>151</v>
      </c>
      <c r="DG71" t="s">
        <v>162</v>
      </c>
      <c r="DH71" t="s">
        <v>128</v>
      </c>
      <c r="DI71" t="s">
        <v>128</v>
      </c>
      <c r="DJ71" t="s">
        <v>724</v>
      </c>
      <c r="DK71" s="1" t="s">
        <v>123</v>
      </c>
      <c r="EN71" s="1" t="s">
        <v>177</v>
      </c>
      <c r="EO71" t="s">
        <v>180</v>
      </c>
      <c r="EP71">
        <v>1</v>
      </c>
      <c r="EQ71" t="s">
        <v>722</v>
      </c>
      <c r="ER71" t="s">
        <v>162</v>
      </c>
      <c r="ES71" t="s">
        <v>150</v>
      </c>
      <c r="ET71" t="s">
        <v>236</v>
      </c>
      <c r="EU71" t="s">
        <v>178</v>
      </c>
      <c r="EV71" t="s">
        <v>725</v>
      </c>
      <c r="EW71" t="s">
        <v>726</v>
      </c>
      <c r="EX71" t="s">
        <v>173</v>
      </c>
      <c r="FN71" s="1" t="s">
        <v>123</v>
      </c>
      <c r="FO71" t="s">
        <v>132</v>
      </c>
      <c r="FQ71" t="s">
        <v>132</v>
      </c>
      <c r="GV71" t="s">
        <v>727</v>
      </c>
      <c r="GW71" t="s">
        <v>728</v>
      </c>
      <c r="GX71" t="s">
        <v>729</v>
      </c>
      <c r="GY71" t="s">
        <v>186</v>
      </c>
      <c r="GZ71">
        <v>1983</v>
      </c>
      <c r="HA71" t="s">
        <v>141</v>
      </c>
      <c r="HC71" t="s">
        <v>730</v>
      </c>
      <c r="HE71" t="s">
        <v>731</v>
      </c>
    </row>
    <row r="72" spans="1:213" x14ac:dyDescent="0.45">
      <c r="A72">
        <v>71</v>
      </c>
      <c r="B72" t="str">
        <f>_xlfn.IFNA(VLOOKUP(Wszystkie[[#This Row],[Zakończono wypełnianie]],Zakończone[],2,0),"BRAK")</f>
        <v>BRAK</v>
      </c>
      <c r="C72" t="s">
        <v>732</v>
      </c>
      <c r="D72" t="s">
        <v>118</v>
      </c>
      <c r="E72" t="s">
        <v>733</v>
      </c>
      <c r="I72" t="s">
        <v>286</v>
      </c>
      <c r="J72" t="s">
        <v>734</v>
      </c>
      <c r="K72" t="s">
        <v>734</v>
      </c>
      <c r="L72">
        <v>0</v>
      </c>
      <c r="M72">
        <v>0</v>
      </c>
      <c r="N72" t="s">
        <v>122</v>
      </c>
      <c r="O72" s="1" t="s">
        <v>416</v>
      </c>
      <c r="AE72" s="1"/>
      <c r="AW72" s="1"/>
      <c r="CQ72" s="1"/>
      <c r="DA72" s="1"/>
      <c r="DK72" s="1"/>
      <c r="EN72" s="1"/>
      <c r="FN72" s="1"/>
    </row>
    <row r="73" spans="1:213" x14ac:dyDescent="0.45">
      <c r="A73">
        <v>72</v>
      </c>
      <c r="B73" t="str">
        <f>_xlfn.IFNA(VLOOKUP(Wszystkie[[#This Row],[Zakończono wypełnianie]],Zakończone[],2,0),"BRAK")</f>
        <v>BRAK</v>
      </c>
      <c r="C73" t="s">
        <v>735</v>
      </c>
      <c r="D73" t="s">
        <v>118</v>
      </c>
      <c r="I73" t="s">
        <v>286</v>
      </c>
      <c r="J73" t="s">
        <v>736</v>
      </c>
      <c r="K73" t="s">
        <v>736</v>
      </c>
      <c r="L73">
        <v>0</v>
      </c>
      <c r="M73">
        <v>0</v>
      </c>
      <c r="N73" t="s">
        <v>122</v>
      </c>
      <c r="O73" s="1" t="s">
        <v>416</v>
      </c>
      <c r="AE73" s="1"/>
      <c r="AW73" s="1"/>
      <c r="CQ73" s="1"/>
      <c r="DA73" s="1"/>
      <c r="DK73" s="1"/>
      <c r="EN73" s="1"/>
      <c r="FN73" s="1"/>
    </row>
    <row r="74" spans="1:213" x14ac:dyDescent="0.45">
      <c r="A74">
        <v>73</v>
      </c>
      <c r="B74" t="str">
        <f>_xlfn.IFNA(VLOOKUP(Wszystkie[[#This Row],[Zakończono wypełnianie]],Zakończone[],2,0),"BRAK")</f>
        <v>BRAK</v>
      </c>
      <c r="C74" t="s">
        <v>737</v>
      </c>
      <c r="D74" t="s">
        <v>118</v>
      </c>
      <c r="E74" t="s">
        <v>375</v>
      </c>
      <c r="I74" t="s">
        <v>286</v>
      </c>
      <c r="J74" t="s">
        <v>738</v>
      </c>
      <c r="K74" t="s">
        <v>738</v>
      </c>
      <c r="L74">
        <v>0</v>
      </c>
      <c r="M74">
        <v>0</v>
      </c>
      <c r="N74" t="s">
        <v>122</v>
      </c>
      <c r="O74" s="1" t="s">
        <v>123</v>
      </c>
      <c r="AE74" s="1" t="s">
        <v>124</v>
      </c>
      <c r="AW74" s="1"/>
      <c r="CQ74" s="1"/>
      <c r="DA74" s="1"/>
      <c r="DK74" s="1"/>
      <c r="EN74" s="1"/>
      <c r="FN74" s="1"/>
    </row>
    <row r="75" spans="1:213" x14ac:dyDescent="0.45">
      <c r="A75">
        <v>74</v>
      </c>
      <c r="B75">
        <f>_xlfn.IFNA(VLOOKUP(Wszystkie[[#This Row],[Zakończono wypełnianie]],Zakończone[],2,0),"BRAK")</f>
        <v>40</v>
      </c>
      <c r="C75" t="s">
        <v>739</v>
      </c>
      <c r="D75" t="s">
        <v>118</v>
      </c>
      <c r="I75" t="s">
        <v>119</v>
      </c>
      <c r="J75" t="s">
        <v>740</v>
      </c>
      <c r="K75" t="s">
        <v>741</v>
      </c>
      <c r="L75">
        <v>341</v>
      </c>
      <c r="M75">
        <v>0</v>
      </c>
      <c r="N75" t="s">
        <v>122</v>
      </c>
      <c r="O75" s="1" t="s">
        <v>123</v>
      </c>
      <c r="AE75" s="1" t="s">
        <v>124</v>
      </c>
      <c r="AF75" t="s">
        <v>742</v>
      </c>
      <c r="AG75">
        <v>2007</v>
      </c>
      <c r="AH75" t="s">
        <v>148</v>
      </c>
      <c r="AI75" t="s">
        <v>743</v>
      </c>
      <c r="AJ75" t="s">
        <v>236</v>
      </c>
      <c r="AK75" t="s">
        <v>129</v>
      </c>
      <c r="AL75" t="s">
        <v>128</v>
      </c>
      <c r="AM75" t="s">
        <v>162</v>
      </c>
      <c r="AN75" t="s">
        <v>150</v>
      </c>
      <c r="AO75" t="s">
        <v>237</v>
      </c>
      <c r="AP75" t="s">
        <v>302</v>
      </c>
      <c r="AQ75" t="s">
        <v>153</v>
      </c>
      <c r="AR75" t="s">
        <v>744</v>
      </c>
      <c r="AS75" t="s">
        <v>745</v>
      </c>
      <c r="AT75" t="s">
        <v>746</v>
      </c>
      <c r="AU75" t="s">
        <v>172</v>
      </c>
      <c r="AW75" s="1" t="s">
        <v>123</v>
      </c>
      <c r="AX75" t="s">
        <v>132</v>
      </c>
      <c r="CQ75" s="1" t="s">
        <v>387</v>
      </c>
      <c r="CR75" t="s">
        <v>747</v>
      </c>
      <c r="CS75" t="s">
        <v>748</v>
      </c>
      <c r="CT75" t="s">
        <v>150</v>
      </c>
      <c r="CU75" t="s">
        <v>150</v>
      </c>
      <c r="CV75" t="s">
        <v>169</v>
      </c>
      <c r="CW75" t="s">
        <v>169</v>
      </c>
      <c r="CX75" t="s">
        <v>150</v>
      </c>
      <c r="CY75" t="s">
        <v>150</v>
      </c>
      <c r="CZ75" t="s">
        <v>749</v>
      </c>
      <c r="DA75" s="1" t="s">
        <v>123</v>
      </c>
      <c r="DK75" s="1" t="s">
        <v>123</v>
      </c>
      <c r="EN75" s="1" t="s">
        <v>123</v>
      </c>
      <c r="EO75" t="s">
        <v>178</v>
      </c>
      <c r="EP75" t="s">
        <v>132</v>
      </c>
      <c r="FN75" s="1" t="s">
        <v>123</v>
      </c>
      <c r="FO75" t="s">
        <v>132</v>
      </c>
      <c r="FQ75" t="s">
        <v>132</v>
      </c>
      <c r="GV75" t="s">
        <v>750</v>
      </c>
      <c r="GW75" t="s">
        <v>751</v>
      </c>
      <c r="GX75" t="s">
        <v>752</v>
      </c>
      <c r="GY75" t="s">
        <v>186</v>
      </c>
      <c r="GZ75">
        <v>1983</v>
      </c>
      <c r="HA75" t="s">
        <v>398</v>
      </c>
      <c r="HC75" t="s">
        <v>753</v>
      </c>
      <c r="HD75" t="s">
        <v>532</v>
      </c>
    </row>
    <row r="76" spans="1:213" x14ac:dyDescent="0.45">
      <c r="A76">
        <v>75</v>
      </c>
      <c r="B76">
        <f>_xlfn.IFNA(VLOOKUP(Wszystkie[[#This Row],[Zakończono wypełnianie]],Zakończone[],2,0),"BRAK")</f>
        <v>41</v>
      </c>
      <c r="C76" t="s">
        <v>754</v>
      </c>
      <c r="D76" t="s">
        <v>118</v>
      </c>
      <c r="E76" t="s">
        <v>755</v>
      </c>
      <c r="I76" t="s">
        <v>119</v>
      </c>
      <c r="J76" t="s">
        <v>756</v>
      </c>
      <c r="K76" t="s">
        <v>757</v>
      </c>
      <c r="L76">
        <v>487</v>
      </c>
      <c r="M76">
        <v>0</v>
      </c>
      <c r="N76" t="s">
        <v>122</v>
      </c>
      <c r="O76" s="1" t="s">
        <v>416</v>
      </c>
      <c r="P76" t="s">
        <v>147</v>
      </c>
      <c r="Q76" t="s">
        <v>148</v>
      </c>
      <c r="R76" t="s">
        <v>758</v>
      </c>
      <c r="S76" t="s">
        <v>236</v>
      </c>
      <c r="T76" t="s">
        <v>129</v>
      </c>
      <c r="U76" t="s">
        <v>236</v>
      </c>
      <c r="V76" t="s">
        <v>718</v>
      </c>
      <c r="W76" t="s">
        <v>759</v>
      </c>
      <c r="X76" t="s">
        <v>194</v>
      </c>
      <c r="Y76" t="s">
        <v>760</v>
      </c>
      <c r="Z76" t="s">
        <v>761</v>
      </c>
      <c r="AA76" t="s">
        <v>762</v>
      </c>
      <c r="AB76" t="s">
        <v>157</v>
      </c>
      <c r="AD76" t="s">
        <v>763</v>
      </c>
      <c r="AE76" s="1" t="s">
        <v>124</v>
      </c>
      <c r="AF76" t="s">
        <v>223</v>
      </c>
      <c r="AG76">
        <v>2012</v>
      </c>
      <c r="AH76" t="s">
        <v>148</v>
      </c>
      <c r="AI76" t="s">
        <v>764</v>
      </c>
      <c r="AJ76" t="s">
        <v>236</v>
      </c>
      <c r="AK76" t="s">
        <v>236</v>
      </c>
      <c r="AL76" t="s">
        <v>236</v>
      </c>
      <c r="AM76" t="s">
        <v>129</v>
      </c>
      <c r="AN76" t="s">
        <v>236</v>
      </c>
      <c r="AO76" t="s">
        <v>237</v>
      </c>
      <c r="AP76" t="s">
        <v>302</v>
      </c>
      <c r="AQ76" t="s">
        <v>153</v>
      </c>
      <c r="AR76" t="s">
        <v>765</v>
      </c>
      <c r="AS76" t="s">
        <v>766</v>
      </c>
      <c r="AT76" t="s">
        <v>767</v>
      </c>
      <c r="AU76" t="s">
        <v>230</v>
      </c>
      <c r="AW76" s="1" t="s">
        <v>123</v>
      </c>
      <c r="AX76" t="s">
        <v>132</v>
      </c>
      <c r="CQ76" s="1" t="s">
        <v>123</v>
      </c>
      <c r="DA76" s="1" t="s">
        <v>123</v>
      </c>
      <c r="DK76" s="1" t="s">
        <v>123</v>
      </c>
      <c r="EN76" s="1" t="s">
        <v>123</v>
      </c>
      <c r="EO76" t="s">
        <v>180</v>
      </c>
      <c r="EP76" t="s">
        <v>132</v>
      </c>
      <c r="FN76" s="1" t="s">
        <v>123</v>
      </c>
      <c r="FO76" t="s">
        <v>132</v>
      </c>
      <c r="FQ76" t="s">
        <v>132</v>
      </c>
      <c r="GV76" t="s">
        <v>768</v>
      </c>
      <c r="GW76" t="s">
        <v>769</v>
      </c>
      <c r="GX76" t="s">
        <v>770</v>
      </c>
      <c r="GY76" t="s">
        <v>186</v>
      </c>
      <c r="GZ76">
        <v>1990</v>
      </c>
      <c r="HA76" t="s">
        <v>141</v>
      </c>
      <c r="HC76" t="s">
        <v>771</v>
      </c>
      <c r="HD76" t="s">
        <v>772</v>
      </c>
    </row>
    <row r="77" spans="1:213" x14ac:dyDescent="0.45">
      <c r="A77">
        <v>76</v>
      </c>
      <c r="B77">
        <f>_xlfn.IFNA(VLOOKUP(Wszystkie[[#This Row],[Zakończono wypełnianie]],Zakończone[],2,0),"BRAK")</f>
        <v>42</v>
      </c>
      <c r="C77" t="s">
        <v>773</v>
      </c>
      <c r="D77" t="s">
        <v>118</v>
      </c>
      <c r="E77" t="s">
        <v>774</v>
      </c>
      <c r="I77" t="s">
        <v>119</v>
      </c>
      <c r="J77" t="s">
        <v>775</v>
      </c>
      <c r="K77" t="s">
        <v>776</v>
      </c>
      <c r="L77">
        <v>1636</v>
      </c>
      <c r="M77">
        <v>0</v>
      </c>
      <c r="N77" t="s">
        <v>122</v>
      </c>
      <c r="O77" s="1" t="s">
        <v>123</v>
      </c>
      <c r="AE77" s="1" t="s">
        <v>124</v>
      </c>
      <c r="AF77" t="s">
        <v>777</v>
      </c>
      <c r="AG77">
        <v>2013</v>
      </c>
      <c r="AH77" t="s">
        <v>148</v>
      </c>
      <c r="AI77" t="s">
        <v>429</v>
      </c>
      <c r="AJ77" t="s">
        <v>128</v>
      </c>
      <c r="AK77" t="s">
        <v>151</v>
      </c>
      <c r="AL77" t="s">
        <v>162</v>
      </c>
      <c r="AM77" t="s">
        <v>129</v>
      </c>
      <c r="AN77" t="s">
        <v>236</v>
      </c>
      <c r="AO77">
        <v>0</v>
      </c>
      <c r="AP77" t="s">
        <v>131</v>
      </c>
      <c r="AQ77" t="s">
        <v>131</v>
      </c>
      <c r="AR77" t="s">
        <v>778</v>
      </c>
      <c r="AS77" t="s">
        <v>779</v>
      </c>
      <c r="AT77" t="s">
        <v>780</v>
      </c>
      <c r="AU77" t="s">
        <v>157</v>
      </c>
      <c r="AW77" s="1" t="s">
        <v>123</v>
      </c>
      <c r="CQ77" s="1" t="s">
        <v>123</v>
      </c>
      <c r="DA77" s="1" t="s">
        <v>214</v>
      </c>
      <c r="DB77" t="s">
        <v>777</v>
      </c>
      <c r="DC77" t="s">
        <v>781</v>
      </c>
      <c r="DD77" t="s">
        <v>129</v>
      </c>
      <c r="DE77" t="s">
        <v>150</v>
      </c>
      <c r="DF77" t="s">
        <v>129</v>
      </c>
      <c r="DG77" t="s">
        <v>236</v>
      </c>
      <c r="DH77" t="s">
        <v>151</v>
      </c>
      <c r="DI77" t="s">
        <v>151</v>
      </c>
      <c r="DJ77" t="s">
        <v>782</v>
      </c>
      <c r="DK77" s="1" t="s">
        <v>123</v>
      </c>
      <c r="EN77" s="1" t="s">
        <v>177</v>
      </c>
      <c r="EO77" t="s">
        <v>180</v>
      </c>
      <c r="EP77">
        <v>1</v>
      </c>
      <c r="EQ77" t="s">
        <v>783</v>
      </c>
      <c r="ER77" t="s">
        <v>150</v>
      </c>
      <c r="ES77" t="s">
        <v>150</v>
      </c>
      <c r="ET77" t="s">
        <v>236</v>
      </c>
      <c r="EU77" t="s">
        <v>178</v>
      </c>
      <c r="EV77" t="s">
        <v>784</v>
      </c>
      <c r="EW77" t="s">
        <v>785</v>
      </c>
      <c r="EX77" t="s">
        <v>173</v>
      </c>
      <c r="FN77" s="1" t="s">
        <v>123</v>
      </c>
      <c r="FO77" t="s">
        <v>132</v>
      </c>
      <c r="GV77" t="s">
        <v>786</v>
      </c>
      <c r="GW77" t="s">
        <v>787</v>
      </c>
      <c r="GX77" t="s">
        <v>788</v>
      </c>
      <c r="GY77" t="s">
        <v>140</v>
      </c>
      <c r="GZ77">
        <v>1988</v>
      </c>
      <c r="HA77" t="s">
        <v>246</v>
      </c>
      <c r="HC77" t="s">
        <v>789</v>
      </c>
      <c r="HE77" t="s">
        <v>790</v>
      </c>
    </row>
    <row r="78" spans="1:213" x14ac:dyDescent="0.45">
      <c r="A78">
        <v>77</v>
      </c>
      <c r="B78">
        <f>_xlfn.IFNA(VLOOKUP(Wszystkie[[#This Row],[Zakończono wypełnianie]],Zakończone[],2,0),"BRAK")</f>
        <v>43</v>
      </c>
      <c r="C78" t="s">
        <v>773</v>
      </c>
      <c r="D78" t="s">
        <v>118</v>
      </c>
      <c r="E78" t="s">
        <v>774</v>
      </c>
      <c r="I78" t="s">
        <v>119</v>
      </c>
      <c r="J78" t="s">
        <v>791</v>
      </c>
      <c r="K78" t="s">
        <v>792</v>
      </c>
      <c r="L78">
        <v>333</v>
      </c>
      <c r="M78">
        <v>0</v>
      </c>
      <c r="N78" t="s">
        <v>122</v>
      </c>
      <c r="O78" s="1" t="s">
        <v>123</v>
      </c>
      <c r="AE78" s="1" t="s">
        <v>124</v>
      </c>
      <c r="AF78" t="s">
        <v>742</v>
      </c>
      <c r="AG78">
        <v>2012</v>
      </c>
      <c r="AH78" t="s">
        <v>148</v>
      </c>
      <c r="AI78" t="s">
        <v>793</v>
      </c>
      <c r="AJ78" t="s">
        <v>151</v>
      </c>
      <c r="AK78" t="s">
        <v>151</v>
      </c>
      <c r="AL78" t="s">
        <v>129</v>
      </c>
      <c r="AM78" t="s">
        <v>129</v>
      </c>
      <c r="AN78" t="s">
        <v>128</v>
      </c>
      <c r="AO78">
        <v>3</v>
      </c>
      <c r="AP78" t="s">
        <v>131</v>
      </c>
      <c r="AQ78" t="s">
        <v>302</v>
      </c>
      <c r="AR78" t="s">
        <v>386</v>
      </c>
      <c r="AS78" t="s">
        <v>794</v>
      </c>
      <c r="AT78" t="s">
        <v>780</v>
      </c>
      <c r="AU78" t="s">
        <v>157</v>
      </c>
      <c r="AW78" s="1" t="s">
        <v>123</v>
      </c>
      <c r="AX78" t="s">
        <v>132</v>
      </c>
      <c r="CQ78" s="1" t="s">
        <v>123</v>
      </c>
      <c r="DA78" s="1" t="s">
        <v>123</v>
      </c>
      <c r="DK78" s="1" t="s">
        <v>123</v>
      </c>
      <c r="EN78" s="1" t="s">
        <v>123</v>
      </c>
      <c r="FN78" s="1" t="s">
        <v>123</v>
      </c>
      <c r="FO78" t="s">
        <v>132</v>
      </c>
      <c r="GV78" t="s">
        <v>786</v>
      </c>
      <c r="GW78" t="s">
        <v>787</v>
      </c>
      <c r="GX78" t="s">
        <v>788</v>
      </c>
      <c r="GY78" t="s">
        <v>186</v>
      </c>
      <c r="GZ78">
        <v>1987</v>
      </c>
      <c r="HA78" t="s">
        <v>141</v>
      </c>
      <c r="HC78" t="s">
        <v>795</v>
      </c>
    </row>
    <row r="79" spans="1:213" x14ac:dyDescent="0.45">
      <c r="A79">
        <v>78</v>
      </c>
      <c r="B79">
        <f>_xlfn.IFNA(VLOOKUP(Wszystkie[[#This Row],[Zakończono wypełnianie]],Zakończone[],2,0),"BRAK")</f>
        <v>44</v>
      </c>
      <c r="C79" t="s">
        <v>796</v>
      </c>
      <c r="D79" t="s">
        <v>118</v>
      </c>
      <c r="E79" t="s">
        <v>797</v>
      </c>
      <c r="I79" t="s">
        <v>119</v>
      </c>
      <c r="J79" t="s">
        <v>798</v>
      </c>
      <c r="K79" t="s">
        <v>799</v>
      </c>
      <c r="L79">
        <v>2364</v>
      </c>
      <c r="M79">
        <v>0</v>
      </c>
      <c r="N79" t="s">
        <v>122</v>
      </c>
      <c r="O79" s="1" t="s">
        <v>123</v>
      </c>
      <c r="P79" t="s">
        <v>800</v>
      </c>
      <c r="AE79" s="1" t="s">
        <v>124</v>
      </c>
      <c r="AF79" t="s">
        <v>800</v>
      </c>
      <c r="AG79">
        <v>2002</v>
      </c>
      <c r="AH79" t="s">
        <v>126</v>
      </c>
      <c r="AI79" t="s">
        <v>801</v>
      </c>
      <c r="AJ79" t="s">
        <v>150</v>
      </c>
      <c r="AK79" t="s">
        <v>162</v>
      </c>
      <c r="AL79" t="s">
        <v>151</v>
      </c>
      <c r="AM79" t="s">
        <v>129</v>
      </c>
      <c r="AN79" t="s">
        <v>236</v>
      </c>
      <c r="AO79">
        <v>3</v>
      </c>
      <c r="AP79" t="s">
        <v>152</v>
      </c>
      <c r="AQ79" t="s">
        <v>152</v>
      </c>
      <c r="AR79" t="s">
        <v>802</v>
      </c>
      <c r="AS79" t="s">
        <v>803</v>
      </c>
      <c r="AT79" t="s">
        <v>804</v>
      </c>
      <c r="AU79" t="s">
        <v>157</v>
      </c>
      <c r="AW79" s="1" t="s">
        <v>123</v>
      </c>
      <c r="CQ79" s="1" t="s">
        <v>123</v>
      </c>
      <c r="DA79" s="1" t="s">
        <v>123</v>
      </c>
      <c r="DK79" s="1" t="s">
        <v>123</v>
      </c>
      <c r="EN79" s="1" t="s">
        <v>123</v>
      </c>
      <c r="FN79" s="1" t="s">
        <v>123</v>
      </c>
      <c r="FO79" t="s">
        <v>132</v>
      </c>
      <c r="GV79" t="s">
        <v>805</v>
      </c>
      <c r="GW79" t="s">
        <v>806</v>
      </c>
      <c r="GX79" t="s">
        <v>807</v>
      </c>
      <c r="GY79" t="s">
        <v>140</v>
      </c>
      <c r="GZ79">
        <v>1978</v>
      </c>
      <c r="HA79" t="s">
        <v>141</v>
      </c>
      <c r="HC79" t="s">
        <v>386</v>
      </c>
      <c r="HD79" t="s">
        <v>386</v>
      </c>
    </row>
    <row r="80" spans="1:213" x14ac:dyDescent="0.45">
      <c r="A80">
        <v>13</v>
      </c>
      <c r="B80">
        <f>_xlfn.IFNA(VLOOKUP(Wszystkie[[#This Row],[Zakończono wypełnianie]],Zakończone[],2,0),"BRAK")</f>
        <v>12</v>
      </c>
      <c r="C80" t="s">
        <v>326</v>
      </c>
      <c r="D80" t="s">
        <v>118</v>
      </c>
      <c r="I80" t="s">
        <v>119</v>
      </c>
      <c r="J80" t="s">
        <v>327</v>
      </c>
      <c r="K80" t="s">
        <v>328</v>
      </c>
      <c r="L80">
        <v>1387173</v>
      </c>
      <c r="M80">
        <v>0</v>
      </c>
      <c r="N80" t="s">
        <v>122</v>
      </c>
      <c r="O80" s="1" t="s">
        <v>123</v>
      </c>
      <c r="AE80" s="1" t="s">
        <v>124</v>
      </c>
      <c r="AF80" t="s">
        <v>329</v>
      </c>
      <c r="AG80">
        <v>2011</v>
      </c>
      <c r="AH80" t="s">
        <v>126</v>
      </c>
      <c r="AI80" t="s">
        <v>330</v>
      </c>
      <c r="AJ80" t="s">
        <v>169</v>
      </c>
      <c r="AK80" t="s">
        <v>169</v>
      </c>
      <c r="AL80" t="s">
        <v>150</v>
      </c>
      <c r="AM80" t="s">
        <v>162</v>
      </c>
      <c r="AN80" t="s">
        <v>169</v>
      </c>
      <c r="AO80" t="s">
        <v>331</v>
      </c>
      <c r="AP80" t="s">
        <v>302</v>
      </c>
      <c r="AQ80" t="s">
        <v>226</v>
      </c>
      <c r="AR80" t="s">
        <v>332</v>
      </c>
      <c r="AS80" t="s">
        <v>333</v>
      </c>
      <c r="AT80" t="s">
        <v>334</v>
      </c>
      <c r="AU80" t="s">
        <v>157</v>
      </c>
      <c r="AV80" t="s">
        <v>335</v>
      </c>
      <c r="AW80" s="1" t="s">
        <v>123</v>
      </c>
      <c r="CQ80" s="1" t="s">
        <v>123</v>
      </c>
      <c r="DA80" s="1" t="s">
        <v>123</v>
      </c>
      <c r="DK80" s="1" t="s">
        <v>123</v>
      </c>
      <c r="EN80" s="1" t="s">
        <v>123</v>
      </c>
      <c r="FN80" s="1" t="s">
        <v>123</v>
      </c>
      <c r="FO80" t="s">
        <v>132</v>
      </c>
      <c r="GV80" t="s">
        <v>336</v>
      </c>
      <c r="GW80" t="s">
        <v>337</v>
      </c>
      <c r="GX80" t="s">
        <v>338</v>
      </c>
      <c r="GY80" t="s">
        <v>186</v>
      </c>
      <c r="GZ80">
        <v>1987</v>
      </c>
      <c r="HA80" t="s">
        <v>246</v>
      </c>
      <c r="HC80" t="s">
        <v>339</v>
      </c>
      <c r="HD80" t="s">
        <v>340</v>
      </c>
    </row>
    <row r="81" spans="1:212" x14ac:dyDescent="0.45">
      <c r="A81">
        <v>79</v>
      </c>
      <c r="B81" t="str">
        <f>_xlfn.IFNA(VLOOKUP(Wszystkie[[#This Row],[Zakończono wypełnianie]],Zakończone[],2,0),"BRAK")</f>
        <v>BRAK</v>
      </c>
      <c r="C81" t="s">
        <v>808</v>
      </c>
      <c r="D81" t="s">
        <v>118</v>
      </c>
      <c r="E81" t="s">
        <v>809</v>
      </c>
      <c r="I81" t="s">
        <v>286</v>
      </c>
      <c r="J81" t="s">
        <v>810</v>
      </c>
      <c r="K81" t="s">
        <v>810</v>
      </c>
      <c r="L81">
        <v>0</v>
      </c>
      <c r="M81">
        <v>0</v>
      </c>
      <c r="N81" t="s">
        <v>122</v>
      </c>
      <c r="O81" s="1" t="s">
        <v>416</v>
      </c>
      <c r="AE81" s="1"/>
      <c r="AW81" s="1"/>
      <c r="CQ81" s="1"/>
      <c r="DA81" s="1"/>
      <c r="DK81" s="1"/>
      <c r="EN81" s="1"/>
      <c r="FN81" s="1"/>
    </row>
    <row r="82" spans="1:212" x14ac:dyDescent="0.45">
      <c r="A82">
        <v>80</v>
      </c>
      <c r="B82">
        <f>_xlfn.IFNA(VLOOKUP(Wszystkie[[#This Row],[Zakończono wypełnianie]],Zakończone[],2,0),"BRAK")</f>
        <v>45</v>
      </c>
      <c r="C82" t="s">
        <v>370</v>
      </c>
      <c r="D82" t="s">
        <v>118</v>
      </c>
      <c r="E82" t="s">
        <v>774</v>
      </c>
      <c r="I82" t="s">
        <v>119</v>
      </c>
      <c r="J82" t="s">
        <v>811</v>
      </c>
      <c r="K82" t="s">
        <v>812</v>
      </c>
      <c r="L82">
        <v>1671</v>
      </c>
      <c r="M82">
        <v>0</v>
      </c>
      <c r="N82" t="s">
        <v>122</v>
      </c>
      <c r="O82" s="1" t="s">
        <v>123</v>
      </c>
      <c r="AE82" s="1" t="s">
        <v>124</v>
      </c>
      <c r="AF82" t="s">
        <v>813</v>
      </c>
      <c r="AG82">
        <v>1956</v>
      </c>
      <c r="AH82" t="s">
        <v>148</v>
      </c>
      <c r="AI82" t="s">
        <v>601</v>
      </c>
      <c r="AJ82" t="s">
        <v>162</v>
      </c>
      <c r="AK82" t="s">
        <v>162</v>
      </c>
      <c r="AL82" t="s">
        <v>150</v>
      </c>
      <c r="AM82" t="s">
        <v>236</v>
      </c>
      <c r="AN82" t="s">
        <v>236</v>
      </c>
      <c r="AO82" t="s">
        <v>814</v>
      </c>
      <c r="AP82" t="s">
        <v>131</v>
      </c>
      <c r="AQ82" t="s">
        <v>131</v>
      </c>
      <c r="AS82" t="s">
        <v>815</v>
      </c>
      <c r="AT82" t="s">
        <v>816</v>
      </c>
      <c r="AU82" t="s">
        <v>172</v>
      </c>
      <c r="AV82" t="s">
        <v>817</v>
      </c>
      <c r="AW82" s="1" t="s">
        <v>123</v>
      </c>
      <c r="CQ82" s="1" t="s">
        <v>123</v>
      </c>
      <c r="DA82" s="1" t="s">
        <v>123</v>
      </c>
      <c r="DK82" s="1" t="s">
        <v>123</v>
      </c>
      <c r="EN82" s="1" t="s">
        <v>123</v>
      </c>
      <c r="EO82" t="s">
        <v>180</v>
      </c>
      <c r="EP82" t="s">
        <v>132</v>
      </c>
      <c r="FN82" s="1" t="s">
        <v>123</v>
      </c>
      <c r="FO82" t="s">
        <v>132</v>
      </c>
      <c r="FQ82" t="s">
        <v>132</v>
      </c>
      <c r="GV82" t="s">
        <v>818</v>
      </c>
      <c r="GW82" t="s">
        <v>819</v>
      </c>
      <c r="GX82" t="s">
        <v>820</v>
      </c>
      <c r="GY82" t="s">
        <v>140</v>
      </c>
      <c r="GZ82">
        <v>1933</v>
      </c>
      <c r="HA82" t="s">
        <v>220</v>
      </c>
    </row>
    <row r="83" spans="1:212" x14ac:dyDescent="0.45">
      <c r="A83">
        <v>81</v>
      </c>
      <c r="B83">
        <f>_xlfn.IFNA(VLOOKUP(Wszystkie[[#This Row],[Zakończono wypełnianie]],Zakończone[],2,0),"BRAK")</f>
        <v>46</v>
      </c>
      <c r="C83" t="s">
        <v>370</v>
      </c>
      <c r="D83" t="s">
        <v>118</v>
      </c>
      <c r="E83" t="s">
        <v>774</v>
      </c>
      <c r="I83" t="s">
        <v>119</v>
      </c>
      <c r="J83" t="s">
        <v>821</v>
      </c>
      <c r="K83" t="s">
        <v>822</v>
      </c>
      <c r="L83">
        <v>3447</v>
      </c>
      <c r="M83">
        <v>0</v>
      </c>
      <c r="N83" t="s">
        <v>122</v>
      </c>
      <c r="O83" s="1" t="s">
        <v>123</v>
      </c>
      <c r="AE83" s="1" t="s">
        <v>124</v>
      </c>
      <c r="AF83" t="s">
        <v>813</v>
      </c>
      <c r="AG83">
        <v>1960</v>
      </c>
      <c r="AH83" t="s">
        <v>148</v>
      </c>
      <c r="AI83" t="s">
        <v>823</v>
      </c>
      <c r="AJ83" t="s">
        <v>150</v>
      </c>
      <c r="AK83" t="s">
        <v>150</v>
      </c>
      <c r="AL83" t="s">
        <v>151</v>
      </c>
      <c r="AM83" t="s">
        <v>236</v>
      </c>
      <c r="AN83" t="s">
        <v>236</v>
      </c>
      <c r="AO83" t="s">
        <v>814</v>
      </c>
      <c r="AP83" t="s">
        <v>131</v>
      </c>
      <c r="AQ83" t="s">
        <v>131</v>
      </c>
      <c r="AS83" t="s">
        <v>824</v>
      </c>
      <c r="AT83" t="s">
        <v>825</v>
      </c>
      <c r="AU83" t="s">
        <v>157</v>
      </c>
      <c r="AW83" s="1" t="s">
        <v>123</v>
      </c>
      <c r="CQ83" s="1" t="s">
        <v>123</v>
      </c>
      <c r="DA83" s="1" t="s">
        <v>123</v>
      </c>
      <c r="DK83" s="1" t="s">
        <v>123</v>
      </c>
      <c r="EN83" s="1" t="s">
        <v>123</v>
      </c>
      <c r="FN83" s="1" t="s">
        <v>123</v>
      </c>
      <c r="FO83" t="s">
        <v>132</v>
      </c>
      <c r="GV83" t="s">
        <v>826</v>
      </c>
      <c r="GW83" t="s">
        <v>824</v>
      </c>
      <c r="GX83" t="s">
        <v>827</v>
      </c>
      <c r="GY83" t="s">
        <v>186</v>
      </c>
      <c r="GZ83">
        <v>1934</v>
      </c>
      <c r="HA83" t="s">
        <v>220</v>
      </c>
    </row>
    <row r="84" spans="1:212" x14ac:dyDescent="0.45">
      <c r="A84">
        <v>82</v>
      </c>
      <c r="B84">
        <f>_xlfn.IFNA(VLOOKUP(Wszystkie[[#This Row],[Zakończono wypełnianie]],Zakończone[],2,0),"BRAK")</f>
        <v>47</v>
      </c>
      <c r="C84" t="s">
        <v>828</v>
      </c>
      <c r="D84" t="s">
        <v>118</v>
      </c>
      <c r="I84" t="s">
        <v>119</v>
      </c>
      <c r="J84" t="s">
        <v>829</v>
      </c>
      <c r="K84" t="s">
        <v>830</v>
      </c>
      <c r="L84">
        <v>3349</v>
      </c>
      <c r="M84">
        <v>0</v>
      </c>
      <c r="N84" t="s">
        <v>122</v>
      </c>
      <c r="O84" s="1" t="s">
        <v>123</v>
      </c>
      <c r="AE84" s="1" t="s">
        <v>123</v>
      </c>
      <c r="AW84" s="1" t="s">
        <v>123</v>
      </c>
      <c r="AX84" t="s">
        <v>132</v>
      </c>
      <c r="CQ84" s="1" t="s">
        <v>123</v>
      </c>
      <c r="DA84" s="1" t="s">
        <v>123</v>
      </c>
      <c r="DK84" s="1" t="s">
        <v>123</v>
      </c>
      <c r="EN84" s="1" t="s">
        <v>177</v>
      </c>
      <c r="EO84" t="s">
        <v>178</v>
      </c>
      <c r="EP84">
        <v>1</v>
      </c>
      <c r="EQ84" t="s">
        <v>191</v>
      </c>
      <c r="ER84" t="s">
        <v>162</v>
      </c>
      <c r="ES84" t="s">
        <v>162</v>
      </c>
      <c r="ET84" t="s">
        <v>128</v>
      </c>
      <c r="EU84" t="s">
        <v>178</v>
      </c>
      <c r="EV84" t="s">
        <v>831</v>
      </c>
      <c r="EW84" t="s">
        <v>832</v>
      </c>
      <c r="EX84" t="s">
        <v>173</v>
      </c>
      <c r="FN84" s="1" t="s">
        <v>123</v>
      </c>
      <c r="FO84" t="s">
        <v>132</v>
      </c>
      <c r="FQ84" t="s">
        <v>132</v>
      </c>
      <c r="GV84" t="s">
        <v>833</v>
      </c>
      <c r="GW84" t="s">
        <v>834</v>
      </c>
      <c r="GX84" t="s">
        <v>835</v>
      </c>
      <c r="GY84" t="s">
        <v>140</v>
      </c>
      <c r="GZ84">
        <v>1977</v>
      </c>
      <c r="HA84" t="s">
        <v>398</v>
      </c>
      <c r="HC84" t="s">
        <v>836</v>
      </c>
    </row>
    <row r="85" spans="1:212" x14ac:dyDescent="0.45">
      <c r="A85">
        <v>83</v>
      </c>
      <c r="B85">
        <f>_xlfn.IFNA(VLOOKUP(Wszystkie[[#This Row],[Zakończono wypełnianie]],Zakończone[],2,0),"BRAK")</f>
        <v>48</v>
      </c>
      <c r="C85" t="s">
        <v>837</v>
      </c>
      <c r="D85" t="s">
        <v>118</v>
      </c>
      <c r="I85" t="s">
        <v>119</v>
      </c>
      <c r="J85" t="s">
        <v>838</v>
      </c>
      <c r="K85" t="s">
        <v>839</v>
      </c>
      <c r="L85">
        <v>3312</v>
      </c>
      <c r="M85">
        <v>0</v>
      </c>
      <c r="N85" t="s">
        <v>122</v>
      </c>
      <c r="O85" s="1" t="s">
        <v>123</v>
      </c>
      <c r="AE85" s="1" t="s">
        <v>124</v>
      </c>
      <c r="AF85" t="s">
        <v>840</v>
      </c>
      <c r="AG85">
        <v>1978</v>
      </c>
      <c r="AH85" t="s">
        <v>126</v>
      </c>
      <c r="AI85" t="s">
        <v>841</v>
      </c>
      <c r="AJ85" t="s">
        <v>169</v>
      </c>
      <c r="AK85" t="s">
        <v>169</v>
      </c>
      <c r="AL85" t="s">
        <v>151</v>
      </c>
      <c r="AM85" t="s">
        <v>150</v>
      </c>
      <c r="AN85" t="s">
        <v>150</v>
      </c>
      <c r="AO85">
        <v>2</v>
      </c>
      <c r="AP85" t="s">
        <v>302</v>
      </c>
      <c r="AQ85" t="s">
        <v>226</v>
      </c>
      <c r="AR85" t="s">
        <v>842</v>
      </c>
      <c r="AS85" t="s">
        <v>843</v>
      </c>
      <c r="AT85" t="s">
        <v>386</v>
      </c>
      <c r="AU85" t="s">
        <v>157</v>
      </c>
      <c r="AW85" s="1" t="s">
        <v>159</v>
      </c>
      <c r="AX85">
        <v>2</v>
      </c>
      <c r="AY85" t="s">
        <v>191</v>
      </c>
      <c r="AZ85">
        <v>2005</v>
      </c>
      <c r="BA85" t="s">
        <v>126</v>
      </c>
      <c r="BB85" t="s">
        <v>844</v>
      </c>
      <c r="BC85" t="s">
        <v>150</v>
      </c>
      <c r="BD85" t="s">
        <v>150</v>
      </c>
      <c r="BE85" t="s">
        <v>169</v>
      </c>
      <c r="BF85" t="s">
        <v>162</v>
      </c>
      <c r="BG85" t="s">
        <v>162</v>
      </c>
      <c r="BH85">
        <v>3</v>
      </c>
      <c r="BI85" t="s">
        <v>845</v>
      </c>
      <c r="BJ85" t="s">
        <v>157</v>
      </c>
      <c r="BL85" t="s">
        <v>148</v>
      </c>
      <c r="BM85" t="s">
        <v>166</v>
      </c>
      <c r="BN85" t="s">
        <v>191</v>
      </c>
      <c r="BO85">
        <v>2007</v>
      </c>
      <c r="BP85" t="s">
        <v>126</v>
      </c>
      <c r="BQ85" t="s">
        <v>844</v>
      </c>
      <c r="BR85" t="s">
        <v>150</v>
      </c>
      <c r="BS85" t="s">
        <v>150</v>
      </c>
      <c r="BT85" t="s">
        <v>150</v>
      </c>
      <c r="BU85" t="s">
        <v>162</v>
      </c>
      <c r="BV85" t="s">
        <v>162</v>
      </c>
      <c r="BW85">
        <v>3</v>
      </c>
      <c r="BX85" t="s">
        <v>148</v>
      </c>
      <c r="BY85" t="s">
        <v>157</v>
      </c>
      <c r="CA85" t="s">
        <v>148</v>
      </c>
      <c r="CB85" t="s">
        <v>173</v>
      </c>
      <c r="CQ85" s="1" t="s">
        <v>123</v>
      </c>
      <c r="DA85" s="1" t="s">
        <v>214</v>
      </c>
      <c r="DB85" t="s">
        <v>846</v>
      </c>
      <c r="DC85" t="s">
        <v>847</v>
      </c>
      <c r="DD85" t="s">
        <v>150</v>
      </c>
      <c r="DE85" t="s">
        <v>150</v>
      </c>
      <c r="DF85" t="s">
        <v>150</v>
      </c>
      <c r="DG85" t="s">
        <v>150</v>
      </c>
      <c r="DH85" t="s">
        <v>150</v>
      </c>
      <c r="DI85" t="s">
        <v>162</v>
      </c>
      <c r="DJ85" t="s">
        <v>848</v>
      </c>
      <c r="DK85" s="1" t="s">
        <v>123</v>
      </c>
      <c r="EN85" s="1" t="s">
        <v>123</v>
      </c>
      <c r="EO85" t="s">
        <v>180</v>
      </c>
      <c r="EP85" t="s">
        <v>132</v>
      </c>
      <c r="FN85" s="1" t="s">
        <v>123</v>
      </c>
      <c r="FO85" t="s">
        <v>132</v>
      </c>
      <c r="FQ85" t="s">
        <v>132</v>
      </c>
      <c r="GV85" t="s">
        <v>849</v>
      </c>
      <c r="GW85" t="s">
        <v>850</v>
      </c>
      <c r="GX85" t="s">
        <v>851</v>
      </c>
      <c r="GY85" t="s">
        <v>186</v>
      </c>
      <c r="GZ85">
        <v>1954</v>
      </c>
      <c r="HA85" t="s">
        <v>141</v>
      </c>
      <c r="HC85" t="s">
        <v>852</v>
      </c>
      <c r="HD85" t="s">
        <v>853</v>
      </c>
    </row>
    <row r="86" spans="1:212" x14ac:dyDescent="0.45">
      <c r="A86">
        <v>84</v>
      </c>
      <c r="B86">
        <f>_xlfn.IFNA(VLOOKUP(Wszystkie[[#This Row],[Zakończono wypełnianie]],Zakończone[],2,0),"BRAK")</f>
        <v>49</v>
      </c>
      <c r="C86" t="s">
        <v>854</v>
      </c>
      <c r="D86" t="s">
        <v>118</v>
      </c>
      <c r="I86" t="s">
        <v>119</v>
      </c>
      <c r="J86" t="s">
        <v>855</v>
      </c>
      <c r="K86" t="s">
        <v>856</v>
      </c>
      <c r="L86">
        <v>1349</v>
      </c>
      <c r="M86">
        <v>0</v>
      </c>
      <c r="N86" t="s">
        <v>122</v>
      </c>
      <c r="O86" s="1" t="s">
        <v>416</v>
      </c>
      <c r="P86" t="s">
        <v>179</v>
      </c>
      <c r="Q86" t="s">
        <v>148</v>
      </c>
      <c r="R86" t="s">
        <v>857</v>
      </c>
      <c r="S86" t="s">
        <v>162</v>
      </c>
      <c r="T86" t="s">
        <v>162</v>
      </c>
      <c r="U86" t="s">
        <v>151</v>
      </c>
      <c r="V86" t="s">
        <v>718</v>
      </c>
      <c r="W86" t="s">
        <v>152</v>
      </c>
      <c r="X86" t="s">
        <v>759</v>
      </c>
      <c r="Y86" t="s">
        <v>858</v>
      </c>
      <c r="Z86" t="s">
        <v>859</v>
      </c>
      <c r="AA86" t="s">
        <v>860</v>
      </c>
      <c r="AC86" t="s">
        <v>861</v>
      </c>
      <c r="AD86">
        <v>2</v>
      </c>
      <c r="AE86" s="1" t="s">
        <v>124</v>
      </c>
      <c r="AF86" t="s">
        <v>862</v>
      </c>
      <c r="AG86">
        <v>2019</v>
      </c>
      <c r="AH86" t="s">
        <v>148</v>
      </c>
      <c r="AI86" t="s">
        <v>863</v>
      </c>
      <c r="AJ86" t="s">
        <v>150</v>
      </c>
      <c r="AK86" t="s">
        <v>150</v>
      </c>
      <c r="AL86" t="s">
        <v>169</v>
      </c>
      <c r="AM86" t="s">
        <v>151</v>
      </c>
      <c r="AN86" t="s">
        <v>150</v>
      </c>
      <c r="AO86" t="s">
        <v>864</v>
      </c>
      <c r="AP86" t="s">
        <v>302</v>
      </c>
      <c r="AQ86" t="s">
        <v>759</v>
      </c>
      <c r="AR86" t="s">
        <v>865</v>
      </c>
      <c r="AS86" t="s">
        <v>866</v>
      </c>
      <c r="AT86" t="s">
        <v>867</v>
      </c>
      <c r="AU86" t="s">
        <v>157</v>
      </c>
      <c r="AW86" s="1" t="s">
        <v>123</v>
      </c>
      <c r="AX86" t="s">
        <v>132</v>
      </c>
      <c r="CQ86" s="1" t="s">
        <v>123</v>
      </c>
      <c r="DA86" s="1" t="s">
        <v>123</v>
      </c>
      <c r="DK86" s="1" t="s">
        <v>123</v>
      </c>
      <c r="EN86" s="1" t="s">
        <v>123</v>
      </c>
      <c r="FN86" s="1" t="s">
        <v>123</v>
      </c>
      <c r="FO86" t="s">
        <v>132</v>
      </c>
      <c r="GV86" t="s">
        <v>868</v>
      </c>
      <c r="GW86" t="s">
        <v>869</v>
      </c>
      <c r="GX86" t="s">
        <v>870</v>
      </c>
      <c r="GY86" t="s">
        <v>186</v>
      </c>
      <c r="GZ86">
        <v>1991</v>
      </c>
      <c r="HA86" t="s">
        <v>220</v>
      </c>
      <c r="HB86" t="s">
        <v>871</v>
      </c>
      <c r="HC86" t="s">
        <v>872</v>
      </c>
      <c r="HD86" t="s">
        <v>386</v>
      </c>
    </row>
    <row r="87" spans="1:212" x14ac:dyDescent="0.45">
      <c r="A87">
        <v>85</v>
      </c>
      <c r="B87">
        <f>_xlfn.IFNA(VLOOKUP(Wszystkie[[#This Row],[Zakończono wypełnianie]],Zakończone[],2,0),"BRAK")</f>
        <v>50</v>
      </c>
      <c r="C87" t="s">
        <v>873</v>
      </c>
      <c r="D87" t="s">
        <v>118</v>
      </c>
      <c r="E87" t="s">
        <v>797</v>
      </c>
      <c r="I87" t="s">
        <v>119</v>
      </c>
      <c r="J87" t="s">
        <v>874</v>
      </c>
      <c r="K87" t="s">
        <v>875</v>
      </c>
      <c r="L87">
        <v>1971</v>
      </c>
      <c r="M87">
        <v>0</v>
      </c>
      <c r="N87" t="s">
        <v>122</v>
      </c>
      <c r="O87" s="1" t="s">
        <v>123</v>
      </c>
      <c r="AE87" s="1" t="s">
        <v>124</v>
      </c>
      <c r="AF87" t="s">
        <v>223</v>
      </c>
      <c r="AG87">
        <v>2012</v>
      </c>
      <c r="AH87" t="s">
        <v>148</v>
      </c>
      <c r="AI87" t="s">
        <v>876</v>
      </c>
      <c r="AJ87" t="s">
        <v>150</v>
      </c>
      <c r="AK87" t="s">
        <v>162</v>
      </c>
      <c r="AL87" t="s">
        <v>128</v>
      </c>
      <c r="AM87" t="s">
        <v>236</v>
      </c>
      <c r="AN87" t="s">
        <v>151</v>
      </c>
      <c r="AO87">
        <v>2</v>
      </c>
      <c r="AP87" t="s">
        <v>131</v>
      </c>
      <c r="AQ87" t="s">
        <v>153</v>
      </c>
      <c r="AR87" t="s">
        <v>877</v>
      </c>
      <c r="AS87" t="s">
        <v>532</v>
      </c>
      <c r="AT87" t="s">
        <v>532</v>
      </c>
      <c r="AU87" t="s">
        <v>157</v>
      </c>
      <c r="AV87" t="s">
        <v>878</v>
      </c>
      <c r="AW87" s="1" t="s">
        <v>123</v>
      </c>
      <c r="CQ87" s="1" t="s">
        <v>123</v>
      </c>
      <c r="DA87" s="1" t="s">
        <v>123</v>
      </c>
      <c r="DK87" s="1" t="s">
        <v>123</v>
      </c>
      <c r="EN87" s="1" t="s">
        <v>123</v>
      </c>
      <c r="FN87" s="1" t="s">
        <v>123</v>
      </c>
      <c r="FO87" t="s">
        <v>132</v>
      </c>
      <c r="GV87" t="s">
        <v>532</v>
      </c>
      <c r="GW87" t="s">
        <v>532</v>
      </c>
      <c r="GX87" t="s">
        <v>532</v>
      </c>
      <c r="GY87" t="s">
        <v>186</v>
      </c>
      <c r="GZ87">
        <v>1988</v>
      </c>
      <c r="HA87" t="s">
        <v>246</v>
      </c>
      <c r="HD87" t="s">
        <v>879</v>
      </c>
    </row>
    <row r="88" spans="1:212" x14ac:dyDescent="0.45">
      <c r="A88">
        <v>86</v>
      </c>
      <c r="B88">
        <f>_xlfn.IFNA(VLOOKUP(Wszystkie[[#This Row],[Zakończono wypełnianie]],Zakończone[],2,0),"BRAK")</f>
        <v>51</v>
      </c>
      <c r="C88" t="s">
        <v>873</v>
      </c>
      <c r="D88" t="s">
        <v>118</v>
      </c>
      <c r="E88" t="s">
        <v>797</v>
      </c>
      <c r="I88" t="s">
        <v>119</v>
      </c>
      <c r="J88" t="s">
        <v>880</v>
      </c>
      <c r="K88" t="s">
        <v>881</v>
      </c>
      <c r="L88">
        <v>2138</v>
      </c>
      <c r="M88">
        <v>0</v>
      </c>
      <c r="N88" t="s">
        <v>122</v>
      </c>
      <c r="O88" s="1" t="s">
        <v>123</v>
      </c>
      <c r="AE88" s="1" t="s">
        <v>124</v>
      </c>
      <c r="AF88" t="s">
        <v>191</v>
      </c>
      <c r="AG88">
        <v>2005</v>
      </c>
      <c r="AH88" t="s">
        <v>126</v>
      </c>
      <c r="AI88" t="s">
        <v>882</v>
      </c>
      <c r="AJ88" t="s">
        <v>162</v>
      </c>
      <c r="AK88" t="s">
        <v>162</v>
      </c>
      <c r="AL88" t="s">
        <v>162</v>
      </c>
      <c r="AM88" t="s">
        <v>236</v>
      </c>
      <c r="AN88" t="s">
        <v>128</v>
      </c>
      <c r="AO88" t="s">
        <v>883</v>
      </c>
      <c r="AP88" t="s">
        <v>131</v>
      </c>
      <c r="AQ88" t="s">
        <v>302</v>
      </c>
      <c r="AR88" t="s">
        <v>884</v>
      </c>
      <c r="AS88" t="s">
        <v>532</v>
      </c>
      <c r="AT88" t="s">
        <v>532</v>
      </c>
      <c r="AU88" t="s">
        <v>157</v>
      </c>
      <c r="AV88" t="s">
        <v>878</v>
      </c>
      <c r="AW88" s="1" t="s">
        <v>123</v>
      </c>
      <c r="CQ88" s="1" t="s">
        <v>123</v>
      </c>
      <c r="DA88" s="1" t="s">
        <v>123</v>
      </c>
      <c r="DK88" s="1" t="s">
        <v>123</v>
      </c>
      <c r="EN88" s="1" t="s">
        <v>177</v>
      </c>
      <c r="EO88" t="s">
        <v>178</v>
      </c>
      <c r="EP88">
        <v>1</v>
      </c>
      <c r="EQ88" t="s">
        <v>747</v>
      </c>
      <c r="ER88" t="s">
        <v>162</v>
      </c>
      <c r="ES88" t="s">
        <v>162</v>
      </c>
      <c r="ET88" t="s">
        <v>151</v>
      </c>
      <c r="EU88" t="s">
        <v>178</v>
      </c>
      <c r="EV88" t="s">
        <v>885</v>
      </c>
      <c r="EW88" t="s">
        <v>886</v>
      </c>
      <c r="EX88" t="s">
        <v>173</v>
      </c>
      <c r="FN88" s="1" t="s">
        <v>123</v>
      </c>
      <c r="FO88" t="s">
        <v>132</v>
      </c>
      <c r="GV88" t="s">
        <v>887</v>
      </c>
      <c r="GW88" t="s">
        <v>532</v>
      </c>
      <c r="GX88" t="s">
        <v>532</v>
      </c>
      <c r="GY88" t="s">
        <v>140</v>
      </c>
      <c r="GZ88">
        <v>1981</v>
      </c>
      <c r="HA88" t="s">
        <v>141</v>
      </c>
    </row>
    <row r="89" spans="1:212" x14ac:dyDescent="0.45">
      <c r="A89">
        <v>87</v>
      </c>
      <c r="B89">
        <f>_xlfn.IFNA(VLOOKUP(Wszystkie[[#This Row],[Zakończono wypełnianie]],Zakończone[],2,0),"BRAK")</f>
        <v>52</v>
      </c>
      <c r="C89" t="s">
        <v>873</v>
      </c>
      <c r="D89" t="s">
        <v>118</v>
      </c>
      <c r="E89" t="s">
        <v>797</v>
      </c>
      <c r="I89" t="s">
        <v>119</v>
      </c>
      <c r="J89" t="s">
        <v>888</v>
      </c>
      <c r="K89" t="s">
        <v>889</v>
      </c>
      <c r="L89">
        <v>1595</v>
      </c>
      <c r="M89">
        <v>0</v>
      </c>
      <c r="N89" t="s">
        <v>122</v>
      </c>
      <c r="O89" s="1" t="s">
        <v>123</v>
      </c>
      <c r="AE89" s="1" t="s">
        <v>124</v>
      </c>
      <c r="AF89" t="s">
        <v>191</v>
      </c>
      <c r="AG89">
        <v>1975</v>
      </c>
      <c r="AH89" t="s">
        <v>126</v>
      </c>
      <c r="AI89" t="s">
        <v>890</v>
      </c>
      <c r="AJ89" t="s">
        <v>150</v>
      </c>
      <c r="AK89" t="s">
        <v>162</v>
      </c>
      <c r="AL89" t="s">
        <v>128</v>
      </c>
      <c r="AM89" t="s">
        <v>169</v>
      </c>
      <c r="AN89" t="s">
        <v>169</v>
      </c>
      <c r="AO89" t="s">
        <v>883</v>
      </c>
      <c r="AP89" t="s">
        <v>194</v>
      </c>
      <c r="AQ89" t="s">
        <v>194</v>
      </c>
      <c r="AR89" t="s">
        <v>891</v>
      </c>
      <c r="AS89" t="s">
        <v>532</v>
      </c>
      <c r="AT89" t="s">
        <v>532</v>
      </c>
      <c r="AU89" t="s">
        <v>892</v>
      </c>
      <c r="AW89" s="1" t="s">
        <v>159</v>
      </c>
      <c r="AY89" t="s">
        <v>893</v>
      </c>
      <c r="AZ89">
        <v>2002</v>
      </c>
      <c r="BA89" t="s">
        <v>126</v>
      </c>
      <c r="BB89" t="s">
        <v>894</v>
      </c>
      <c r="BC89" t="s">
        <v>150</v>
      </c>
      <c r="BD89" t="s">
        <v>150</v>
      </c>
      <c r="BE89" t="s">
        <v>150</v>
      </c>
      <c r="BF89" t="s">
        <v>236</v>
      </c>
      <c r="BG89" t="s">
        <v>128</v>
      </c>
      <c r="BH89">
        <v>3</v>
      </c>
      <c r="BJ89" t="s">
        <v>157</v>
      </c>
      <c r="BM89" t="s">
        <v>173</v>
      </c>
      <c r="CQ89" s="1" t="s">
        <v>123</v>
      </c>
      <c r="DA89" s="1" t="s">
        <v>123</v>
      </c>
      <c r="DK89" s="1" t="s">
        <v>123</v>
      </c>
      <c r="EN89" s="1" t="s">
        <v>123</v>
      </c>
      <c r="FN89" s="1" t="s">
        <v>123</v>
      </c>
      <c r="FO89" t="s">
        <v>132</v>
      </c>
      <c r="GV89" t="s">
        <v>532</v>
      </c>
      <c r="GW89" t="s">
        <v>532</v>
      </c>
      <c r="GX89" t="s">
        <v>532</v>
      </c>
      <c r="GY89" t="s">
        <v>186</v>
      </c>
      <c r="GZ89">
        <v>1950</v>
      </c>
      <c r="HA89" t="s">
        <v>141</v>
      </c>
    </row>
    <row r="90" spans="1:212" x14ac:dyDescent="0.45">
      <c r="A90">
        <v>88</v>
      </c>
      <c r="B90">
        <f>_xlfn.IFNA(VLOOKUP(Wszystkie[[#This Row],[Zakończono wypełnianie]],Zakończone[],2,0),"BRAK")</f>
        <v>53</v>
      </c>
      <c r="C90" t="s">
        <v>873</v>
      </c>
      <c r="D90" t="s">
        <v>118</v>
      </c>
      <c r="E90" t="s">
        <v>797</v>
      </c>
      <c r="I90" t="s">
        <v>119</v>
      </c>
      <c r="J90" t="s">
        <v>895</v>
      </c>
      <c r="K90" t="s">
        <v>896</v>
      </c>
      <c r="L90">
        <v>1418</v>
      </c>
      <c r="M90">
        <v>0</v>
      </c>
      <c r="N90" t="s">
        <v>122</v>
      </c>
      <c r="O90" s="1" t="s">
        <v>123</v>
      </c>
      <c r="AE90" s="1" t="s">
        <v>124</v>
      </c>
      <c r="AF90" t="s">
        <v>191</v>
      </c>
      <c r="AG90">
        <v>1975</v>
      </c>
      <c r="AH90" t="s">
        <v>126</v>
      </c>
      <c r="AI90" t="s">
        <v>897</v>
      </c>
      <c r="AJ90" t="s">
        <v>150</v>
      </c>
      <c r="AK90" t="s">
        <v>162</v>
      </c>
      <c r="AL90" t="s">
        <v>150</v>
      </c>
      <c r="AM90" t="s">
        <v>162</v>
      </c>
      <c r="AN90" t="s">
        <v>162</v>
      </c>
      <c r="AO90" t="s">
        <v>898</v>
      </c>
      <c r="AP90" t="s">
        <v>153</v>
      </c>
      <c r="AQ90" t="s">
        <v>153</v>
      </c>
      <c r="AS90" t="s">
        <v>532</v>
      </c>
      <c r="AT90" t="s">
        <v>532</v>
      </c>
      <c r="AU90" t="s">
        <v>157</v>
      </c>
      <c r="AW90" s="1" t="s">
        <v>159</v>
      </c>
      <c r="AX90">
        <v>1</v>
      </c>
      <c r="AY90" t="s">
        <v>191</v>
      </c>
      <c r="AZ90">
        <v>2011</v>
      </c>
      <c r="BA90" t="s">
        <v>126</v>
      </c>
      <c r="BB90" t="s">
        <v>899</v>
      </c>
      <c r="BC90" t="s">
        <v>162</v>
      </c>
      <c r="BD90" t="s">
        <v>150</v>
      </c>
      <c r="BE90" t="s">
        <v>236</v>
      </c>
      <c r="BF90" t="s">
        <v>132</v>
      </c>
      <c r="BG90" t="s">
        <v>132</v>
      </c>
      <c r="BH90" t="s">
        <v>900</v>
      </c>
      <c r="BI90" t="s">
        <v>901</v>
      </c>
      <c r="BJ90" t="s">
        <v>157</v>
      </c>
      <c r="BK90" t="s">
        <v>878</v>
      </c>
      <c r="BM90" t="s">
        <v>173</v>
      </c>
      <c r="CQ90" s="1" t="s">
        <v>123</v>
      </c>
      <c r="DA90" s="1" t="s">
        <v>123</v>
      </c>
      <c r="DK90" s="1" t="s">
        <v>123</v>
      </c>
      <c r="EN90" s="1" t="s">
        <v>123</v>
      </c>
      <c r="FN90" s="1" t="s">
        <v>123</v>
      </c>
      <c r="FO90" t="s">
        <v>132</v>
      </c>
      <c r="GV90" t="s">
        <v>532</v>
      </c>
      <c r="GW90" t="s">
        <v>532</v>
      </c>
      <c r="GX90" t="s">
        <v>532</v>
      </c>
      <c r="GY90" t="s">
        <v>140</v>
      </c>
      <c r="GZ90">
        <v>1950</v>
      </c>
      <c r="HA90" t="s">
        <v>141</v>
      </c>
    </row>
    <row r="91" spans="1:212" x14ac:dyDescent="0.45">
      <c r="A91">
        <v>89</v>
      </c>
      <c r="B91">
        <f>_xlfn.IFNA(VLOOKUP(Wszystkie[[#This Row],[Zakończono wypełnianie]],Zakończone[],2,0),"BRAK")</f>
        <v>54</v>
      </c>
      <c r="C91" t="s">
        <v>902</v>
      </c>
      <c r="D91" t="s">
        <v>118</v>
      </c>
      <c r="I91" t="s">
        <v>119</v>
      </c>
      <c r="J91" t="s">
        <v>903</v>
      </c>
      <c r="K91" t="s">
        <v>904</v>
      </c>
      <c r="L91">
        <v>255</v>
      </c>
      <c r="M91">
        <v>0</v>
      </c>
      <c r="N91" t="s">
        <v>122</v>
      </c>
      <c r="O91" s="1" t="s">
        <v>123</v>
      </c>
      <c r="AE91" s="1" t="s">
        <v>124</v>
      </c>
      <c r="AF91" t="s">
        <v>905</v>
      </c>
      <c r="AG91">
        <v>2009</v>
      </c>
      <c r="AH91" t="s">
        <v>126</v>
      </c>
      <c r="AI91" t="s">
        <v>906</v>
      </c>
      <c r="AJ91" t="s">
        <v>151</v>
      </c>
      <c r="AK91" t="s">
        <v>151</v>
      </c>
      <c r="AL91" t="s">
        <v>150</v>
      </c>
      <c r="AM91" t="s">
        <v>128</v>
      </c>
      <c r="AN91" t="s">
        <v>162</v>
      </c>
      <c r="AO91" t="s">
        <v>907</v>
      </c>
      <c r="AP91" t="s">
        <v>131</v>
      </c>
      <c r="AQ91" t="s">
        <v>759</v>
      </c>
      <c r="AR91" t="s">
        <v>908</v>
      </c>
      <c r="AS91" t="s">
        <v>908</v>
      </c>
      <c r="AT91" t="s">
        <v>909</v>
      </c>
      <c r="AU91" t="s">
        <v>172</v>
      </c>
      <c r="AW91" s="1" t="s">
        <v>123</v>
      </c>
      <c r="AX91" t="s">
        <v>132</v>
      </c>
      <c r="CQ91" s="1" t="s">
        <v>123</v>
      </c>
      <c r="DA91" s="1" t="s">
        <v>123</v>
      </c>
      <c r="DK91" s="1" t="s">
        <v>123</v>
      </c>
      <c r="EN91" s="1" t="s">
        <v>123</v>
      </c>
      <c r="EO91" t="s">
        <v>180</v>
      </c>
      <c r="EP91" t="s">
        <v>132</v>
      </c>
      <c r="FN91" s="1" t="s">
        <v>123</v>
      </c>
      <c r="FO91" t="s">
        <v>132</v>
      </c>
      <c r="FQ91" t="s">
        <v>132</v>
      </c>
      <c r="GV91" t="s">
        <v>910</v>
      </c>
      <c r="GW91" t="s">
        <v>911</v>
      </c>
      <c r="GX91" t="s">
        <v>912</v>
      </c>
      <c r="GY91" t="s">
        <v>186</v>
      </c>
      <c r="GZ91">
        <v>1983</v>
      </c>
      <c r="HA91" t="s">
        <v>141</v>
      </c>
    </row>
    <row r="92" spans="1:212" x14ac:dyDescent="0.45">
      <c r="A92">
        <v>90</v>
      </c>
      <c r="B92" t="str">
        <f>_xlfn.IFNA(VLOOKUP(Wszystkie[[#This Row],[Zakończono wypełnianie]],Zakończone[],2,0),"BRAK")</f>
        <v>BRAK</v>
      </c>
      <c r="C92" t="s">
        <v>913</v>
      </c>
      <c r="D92" t="s">
        <v>118</v>
      </c>
      <c r="I92" t="s">
        <v>286</v>
      </c>
      <c r="J92" t="s">
        <v>914</v>
      </c>
      <c r="K92" t="s">
        <v>914</v>
      </c>
      <c r="L92">
        <v>0</v>
      </c>
      <c r="M92">
        <v>0</v>
      </c>
      <c r="N92" t="s">
        <v>122</v>
      </c>
      <c r="O92" s="1" t="s">
        <v>123</v>
      </c>
      <c r="AE92" s="1" t="s">
        <v>124</v>
      </c>
      <c r="AW92" s="1"/>
      <c r="CQ92" s="1"/>
      <c r="DA92" s="1"/>
      <c r="DK92" s="1"/>
      <c r="EN92" s="1"/>
      <c r="FN92" s="1"/>
    </row>
    <row r="93" spans="1:212" x14ac:dyDescent="0.45">
      <c r="A93">
        <v>91</v>
      </c>
      <c r="B93">
        <f>_xlfn.IFNA(VLOOKUP(Wszystkie[[#This Row],[Zakończono wypełnianie]],Zakończone[],2,0),"BRAK")</f>
        <v>55</v>
      </c>
      <c r="C93" t="s">
        <v>915</v>
      </c>
      <c r="D93" t="s">
        <v>118</v>
      </c>
      <c r="I93" t="s">
        <v>119</v>
      </c>
      <c r="J93" t="s">
        <v>916</v>
      </c>
      <c r="K93" t="s">
        <v>917</v>
      </c>
      <c r="L93">
        <v>76609</v>
      </c>
      <c r="M93">
        <v>0</v>
      </c>
      <c r="N93" t="s">
        <v>122</v>
      </c>
      <c r="O93" s="1" t="s">
        <v>123</v>
      </c>
      <c r="AE93" s="1" t="s">
        <v>124</v>
      </c>
      <c r="AF93" t="s">
        <v>223</v>
      </c>
      <c r="AG93" t="s">
        <v>918</v>
      </c>
      <c r="AH93" t="s">
        <v>148</v>
      </c>
      <c r="AI93" t="s">
        <v>919</v>
      </c>
      <c r="AJ93" t="s">
        <v>169</v>
      </c>
      <c r="AK93" t="s">
        <v>169</v>
      </c>
      <c r="AL93" t="s">
        <v>150</v>
      </c>
      <c r="AM93" t="s">
        <v>128</v>
      </c>
      <c r="AN93" t="s">
        <v>128</v>
      </c>
      <c r="AO93" t="s">
        <v>920</v>
      </c>
      <c r="AP93" t="s">
        <v>302</v>
      </c>
      <c r="AQ93" t="s">
        <v>302</v>
      </c>
      <c r="AR93" t="s">
        <v>921</v>
      </c>
      <c r="AS93" t="s">
        <v>922</v>
      </c>
      <c r="AT93" t="s">
        <v>923</v>
      </c>
      <c r="AU93" t="s">
        <v>157</v>
      </c>
      <c r="AW93" s="1" t="s">
        <v>159</v>
      </c>
      <c r="AX93">
        <v>2</v>
      </c>
      <c r="AY93" t="s">
        <v>223</v>
      </c>
      <c r="AZ93">
        <v>2009</v>
      </c>
      <c r="BA93" t="s">
        <v>148</v>
      </c>
      <c r="BB93" t="s">
        <v>924</v>
      </c>
      <c r="BC93" t="s">
        <v>169</v>
      </c>
      <c r="BD93" t="s">
        <v>169</v>
      </c>
      <c r="BE93" t="s">
        <v>169</v>
      </c>
      <c r="BF93" t="s">
        <v>128</v>
      </c>
      <c r="BG93" t="s">
        <v>128</v>
      </c>
      <c r="BH93" t="s">
        <v>925</v>
      </c>
      <c r="BI93" t="s">
        <v>926</v>
      </c>
      <c r="BJ93" t="s">
        <v>157</v>
      </c>
      <c r="BL93" t="s">
        <v>927</v>
      </c>
      <c r="BM93" t="s">
        <v>173</v>
      </c>
      <c r="CQ93" s="1" t="s">
        <v>387</v>
      </c>
      <c r="CR93" t="s">
        <v>223</v>
      </c>
      <c r="CS93" t="s">
        <v>928</v>
      </c>
      <c r="CT93" t="s">
        <v>169</v>
      </c>
      <c r="CU93" t="s">
        <v>162</v>
      </c>
      <c r="CV93" t="s">
        <v>128</v>
      </c>
      <c r="CW93" t="s">
        <v>169</v>
      </c>
      <c r="CX93" t="s">
        <v>169</v>
      </c>
      <c r="CY93" t="s">
        <v>169</v>
      </c>
      <c r="CZ93" t="s">
        <v>929</v>
      </c>
      <c r="DA93" s="1" t="s">
        <v>214</v>
      </c>
      <c r="DB93" t="s">
        <v>223</v>
      </c>
      <c r="DC93" t="s">
        <v>928</v>
      </c>
      <c r="DD93" t="s">
        <v>169</v>
      </c>
      <c r="DE93" t="s">
        <v>162</v>
      </c>
      <c r="DF93" t="s">
        <v>128</v>
      </c>
      <c r="DG93" t="s">
        <v>169</v>
      </c>
      <c r="DH93" t="s">
        <v>169</v>
      </c>
      <c r="DI93" t="s">
        <v>150</v>
      </c>
      <c r="DJ93" t="s">
        <v>930</v>
      </c>
      <c r="DK93" s="1" t="s">
        <v>123</v>
      </c>
      <c r="EN93" s="1" t="s">
        <v>177</v>
      </c>
      <c r="EO93" t="s">
        <v>180</v>
      </c>
      <c r="EP93">
        <v>1</v>
      </c>
      <c r="EQ93" t="s">
        <v>223</v>
      </c>
      <c r="ER93" t="s">
        <v>169</v>
      </c>
      <c r="ES93" t="s">
        <v>169</v>
      </c>
      <c r="ET93" t="s">
        <v>236</v>
      </c>
      <c r="EU93" t="s">
        <v>180</v>
      </c>
      <c r="EV93" t="s">
        <v>931</v>
      </c>
      <c r="EW93" t="s">
        <v>932</v>
      </c>
      <c r="EX93" t="s">
        <v>173</v>
      </c>
      <c r="FN93" s="1" t="s">
        <v>123</v>
      </c>
      <c r="FO93" t="s">
        <v>132</v>
      </c>
      <c r="FQ93" t="s">
        <v>132</v>
      </c>
      <c r="GV93" t="s">
        <v>933</v>
      </c>
      <c r="GW93" t="s">
        <v>934</v>
      </c>
      <c r="GX93" t="s">
        <v>935</v>
      </c>
      <c r="GY93" t="s">
        <v>140</v>
      </c>
      <c r="GZ93">
        <v>1957</v>
      </c>
      <c r="HA93" t="s">
        <v>141</v>
      </c>
      <c r="HC93" t="s">
        <v>936</v>
      </c>
    </row>
    <row r="94" spans="1:212" x14ac:dyDescent="0.45">
      <c r="A94">
        <v>92</v>
      </c>
      <c r="B94" t="str">
        <f>_xlfn.IFNA(VLOOKUP(Wszystkie[[#This Row],[Zakończono wypełnianie]],Zakończone[],2,0),"BRAK")</f>
        <v>BRAK</v>
      </c>
      <c r="C94" t="s">
        <v>739</v>
      </c>
      <c r="D94" t="s">
        <v>118</v>
      </c>
      <c r="I94" t="s">
        <v>286</v>
      </c>
      <c r="J94" t="s">
        <v>937</v>
      </c>
      <c r="K94" t="s">
        <v>937</v>
      </c>
      <c r="L94">
        <v>0</v>
      </c>
      <c r="M94">
        <v>0</v>
      </c>
      <c r="N94" t="s">
        <v>122</v>
      </c>
      <c r="O94" s="1" t="s">
        <v>123</v>
      </c>
      <c r="AE94" s="1" t="s">
        <v>124</v>
      </c>
      <c r="AW94" s="1"/>
      <c r="CQ94" s="1"/>
      <c r="DA94" s="1"/>
      <c r="DK94" s="1"/>
      <c r="EN94" s="1"/>
      <c r="FN94" s="1"/>
    </row>
    <row r="95" spans="1:212" x14ac:dyDescent="0.45">
      <c r="A95">
        <v>93</v>
      </c>
      <c r="B95">
        <f>_xlfn.IFNA(VLOOKUP(Wszystkie[[#This Row],[Zakończono wypełnianie]],Zakończone[],2,0),"BRAK")</f>
        <v>56</v>
      </c>
      <c r="C95" t="s">
        <v>938</v>
      </c>
      <c r="D95" t="s">
        <v>118</v>
      </c>
      <c r="I95" t="s">
        <v>119</v>
      </c>
      <c r="J95" t="s">
        <v>939</v>
      </c>
      <c r="K95" t="s">
        <v>940</v>
      </c>
      <c r="L95">
        <v>451</v>
      </c>
      <c r="M95">
        <v>0</v>
      </c>
      <c r="N95" t="s">
        <v>122</v>
      </c>
      <c r="O95" s="1" t="s">
        <v>123</v>
      </c>
      <c r="AE95" s="1" t="s">
        <v>124</v>
      </c>
      <c r="AF95" t="s">
        <v>941</v>
      </c>
      <c r="AG95">
        <v>2004</v>
      </c>
      <c r="AH95" t="s">
        <v>148</v>
      </c>
      <c r="AI95" t="s">
        <v>942</v>
      </c>
      <c r="AJ95" t="s">
        <v>150</v>
      </c>
      <c r="AK95" t="s">
        <v>150</v>
      </c>
      <c r="AL95" t="s">
        <v>150</v>
      </c>
      <c r="AM95" t="s">
        <v>150</v>
      </c>
      <c r="AN95" t="s">
        <v>169</v>
      </c>
      <c r="AO95" t="s">
        <v>237</v>
      </c>
      <c r="AP95" t="s">
        <v>302</v>
      </c>
      <c r="AQ95" t="s">
        <v>943</v>
      </c>
      <c r="AR95" t="s">
        <v>944</v>
      </c>
      <c r="AS95" t="s">
        <v>945</v>
      </c>
      <c r="AT95" t="s">
        <v>946</v>
      </c>
      <c r="AU95" t="s">
        <v>157</v>
      </c>
      <c r="AW95" s="1" t="s">
        <v>123</v>
      </c>
      <c r="AX95" t="s">
        <v>132</v>
      </c>
      <c r="CQ95" s="1" t="s">
        <v>123</v>
      </c>
      <c r="DA95" s="1" t="s">
        <v>123</v>
      </c>
      <c r="DK95" s="1" t="s">
        <v>123</v>
      </c>
      <c r="EN95" s="1" t="s">
        <v>177</v>
      </c>
      <c r="EO95" t="s">
        <v>178</v>
      </c>
      <c r="EP95">
        <v>1</v>
      </c>
      <c r="EQ95" t="s">
        <v>747</v>
      </c>
      <c r="ER95" t="s">
        <v>169</v>
      </c>
      <c r="ES95" t="s">
        <v>169</v>
      </c>
      <c r="ET95" t="s">
        <v>169</v>
      </c>
      <c r="EU95" t="s">
        <v>178</v>
      </c>
      <c r="EV95" t="s">
        <v>947</v>
      </c>
      <c r="EW95" t="s">
        <v>948</v>
      </c>
      <c r="EX95" t="s">
        <v>173</v>
      </c>
      <c r="FN95" s="1" t="s">
        <v>123</v>
      </c>
      <c r="FO95" t="s">
        <v>132</v>
      </c>
      <c r="FQ95" t="s">
        <v>132</v>
      </c>
      <c r="GV95" t="s">
        <v>949</v>
      </c>
      <c r="GW95" t="s">
        <v>950</v>
      </c>
      <c r="GX95" t="s">
        <v>951</v>
      </c>
      <c r="GY95" t="s">
        <v>186</v>
      </c>
      <c r="GZ95">
        <v>1984</v>
      </c>
      <c r="HA95" t="s">
        <v>141</v>
      </c>
      <c r="HB95" t="s">
        <v>952</v>
      </c>
      <c r="HC95" t="s">
        <v>953</v>
      </c>
      <c r="HD95" t="s">
        <v>954</v>
      </c>
    </row>
    <row r="96" spans="1:212" x14ac:dyDescent="0.45">
      <c r="A96">
        <v>94</v>
      </c>
      <c r="B96">
        <f>_xlfn.IFNA(VLOOKUP(Wszystkie[[#This Row],[Zakończono wypełnianie]],Zakończone[],2,0),"BRAK")</f>
        <v>57</v>
      </c>
      <c r="C96" t="s">
        <v>955</v>
      </c>
      <c r="D96" t="s">
        <v>118</v>
      </c>
      <c r="E96" t="s">
        <v>774</v>
      </c>
      <c r="I96" t="s">
        <v>119</v>
      </c>
      <c r="J96" t="s">
        <v>956</v>
      </c>
      <c r="K96" t="s">
        <v>957</v>
      </c>
      <c r="L96">
        <v>1186</v>
      </c>
      <c r="M96">
        <v>0</v>
      </c>
      <c r="N96" t="s">
        <v>122</v>
      </c>
      <c r="O96" s="1" t="s">
        <v>416</v>
      </c>
      <c r="P96" t="s">
        <v>223</v>
      </c>
      <c r="Q96" t="s">
        <v>148</v>
      </c>
      <c r="R96" t="s">
        <v>958</v>
      </c>
      <c r="S96" t="s">
        <v>151</v>
      </c>
      <c r="T96" t="s">
        <v>128</v>
      </c>
      <c r="U96" t="s">
        <v>236</v>
      </c>
      <c r="V96" t="s">
        <v>959</v>
      </c>
      <c r="W96" t="s">
        <v>302</v>
      </c>
      <c r="X96" t="s">
        <v>153</v>
      </c>
      <c r="Y96" t="s">
        <v>960</v>
      </c>
      <c r="Z96" t="s">
        <v>961</v>
      </c>
      <c r="AA96" t="s">
        <v>962</v>
      </c>
      <c r="AB96" t="s">
        <v>157</v>
      </c>
      <c r="AD96">
        <v>4</v>
      </c>
      <c r="AE96" s="1" t="s">
        <v>123</v>
      </c>
      <c r="AW96" s="1" t="s">
        <v>123</v>
      </c>
      <c r="AX96" t="s">
        <v>132</v>
      </c>
      <c r="CQ96" s="1" t="s">
        <v>123</v>
      </c>
      <c r="DA96" s="1" t="s">
        <v>123</v>
      </c>
      <c r="DK96" s="1" t="s">
        <v>123</v>
      </c>
      <c r="EN96" s="1" t="s">
        <v>123</v>
      </c>
      <c r="EO96" t="s">
        <v>180</v>
      </c>
      <c r="EP96" t="s">
        <v>132</v>
      </c>
      <c r="FN96" s="1" t="s">
        <v>123</v>
      </c>
      <c r="FO96" t="s">
        <v>132</v>
      </c>
      <c r="GV96" t="s">
        <v>826</v>
      </c>
      <c r="GW96" t="s">
        <v>824</v>
      </c>
      <c r="GX96" t="s">
        <v>820</v>
      </c>
      <c r="GY96" t="s">
        <v>140</v>
      </c>
      <c r="GZ96">
        <v>1993</v>
      </c>
      <c r="HA96" t="s">
        <v>483</v>
      </c>
    </row>
    <row r="97" spans="1:212" x14ac:dyDescent="0.45">
      <c r="A97">
        <v>95</v>
      </c>
      <c r="B97">
        <f>_xlfn.IFNA(VLOOKUP(Wszystkie[[#This Row],[Zakończono wypełnianie]],Zakończone[],2,0),"BRAK")</f>
        <v>58</v>
      </c>
      <c r="C97" t="s">
        <v>955</v>
      </c>
      <c r="D97" t="s">
        <v>118</v>
      </c>
      <c r="E97" t="s">
        <v>774</v>
      </c>
      <c r="I97" t="s">
        <v>119</v>
      </c>
      <c r="J97" t="s">
        <v>963</v>
      </c>
      <c r="K97" t="s">
        <v>964</v>
      </c>
      <c r="L97">
        <v>456</v>
      </c>
      <c r="M97">
        <v>0</v>
      </c>
      <c r="N97" t="s">
        <v>122</v>
      </c>
      <c r="O97" s="1" t="s">
        <v>123</v>
      </c>
      <c r="AE97" s="1" t="s">
        <v>123</v>
      </c>
      <c r="AW97" s="1" t="s">
        <v>123</v>
      </c>
      <c r="CQ97" s="1" t="s">
        <v>123</v>
      </c>
      <c r="DA97" s="1" t="s">
        <v>123</v>
      </c>
      <c r="DK97" s="1" t="s">
        <v>123</v>
      </c>
      <c r="EN97" s="1" t="s">
        <v>123</v>
      </c>
      <c r="EO97" t="s">
        <v>178</v>
      </c>
      <c r="FN97" s="1" t="s">
        <v>123</v>
      </c>
      <c r="FO97" t="s">
        <v>132</v>
      </c>
      <c r="GV97" t="s">
        <v>818</v>
      </c>
      <c r="GW97" t="s">
        <v>824</v>
      </c>
      <c r="GX97" t="s">
        <v>788</v>
      </c>
      <c r="GY97" t="s">
        <v>186</v>
      </c>
      <c r="GZ97">
        <v>1992</v>
      </c>
      <c r="HA97" t="s">
        <v>141</v>
      </c>
      <c r="HC97" t="s">
        <v>965</v>
      </c>
      <c r="HD97" t="s">
        <v>966</v>
      </c>
    </row>
    <row r="98" spans="1:212" x14ac:dyDescent="0.45">
      <c r="A98">
        <v>96</v>
      </c>
      <c r="B98">
        <f>_xlfn.IFNA(VLOOKUP(Wszystkie[[#This Row],[Zakończono wypełnianie]],Zakończone[],2,0),"BRAK")</f>
        <v>59</v>
      </c>
      <c r="C98" t="s">
        <v>370</v>
      </c>
      <c r="D98" t="s">
        <v>118</v>
      </c>
      <c r="E98" t="s">
        <v>774</v>
      </c>
      <c r="I98" t="s">
        <v>119</v>
      </c>
      <c r="J98" t="s">
        <v>967</v>
      </c>
      <c r="K98" t="s">
        <v>968</v>
      </c>
      <c r="L98">
        <v>5160</v>
      </c>
      <c r="M98">
        <v>0</v>
      </c>
      <c r="N98" t="s">
        <v>122</v>
      </c>
      <c r="O98" s="1" t="s">
        <v>123</v>
      </c>
      <c r="AE98" s="1" t="s">
        <v>124</v>
      </c>
      <c r="AF98" t="s">
        <v>191</v>
      </c>
      <c r="AG98">
        <v>2000</v>
      </c>
      <c r="AH98" t="s">
        <v>148</v>
      </c>
      <c r="AI98" t="s">
        <v>969</v>
      </c>
      <c r="AJ98" t="s">
        <v>151</v>
      </c>
      <c r="AK98" t="s">
        <v>151</v>
      </c>
      <c r="AL98" t="s">
        <v>162</v>
      </c>
      <c r="AM98" t="s">
        <v>162</v>
      </c>
      <c r="AN98" t="s">
        <v>150</v>
      </c>
      <c r="AO98">
        <v>0</v>
      </c>
      <c r="AP98" t="s">
        <v>153</v>
      </c>
      <c r="AQ98" t="s">
        <v>226</v>
      </c>
      <c r="AR98" t="s">
        <v>802</v>
      </c>
      <c r="AS98" t="s">
        <v>824</v>
      </c>
      <c r="AT98" t="s">
        <v>780</v>
      </c>
      <c r="AU98" t="s">
        <v>230</v>
      </c>
      <c r="AV98" t="s">
        <v>970</v>
      </c>
      <c r="AW98" s="1" t="s">
        <v>123</v>
      </c>
      <c r="AX98" t="s">
        <v>132</v>
      </c>
      <c r="CQ98" s="1" t="s">
        <v>123</v>
      </c>
      <c r="DA98" s="1" t="s">
        <v>123</v>
      </c>
      <c r="DK98" s="1" t="s">
        <v>123</v>
      </c>
      <c r="EN98" s="1" t="s">
        <v>123</v>
      </c>
      <c r="FN98" s="1" t="s">
        <v>123</v>
      </c>
      <c r="FO98" t="s">
        <v>132</v>
      </c>
      <c r="FQ98" t="s">
        <v>132</v>
      </c>
      <c r="GV98" t="s">
        <v>786</v>
      </c>
      <c r="GW98" t="s">
        <v>787</v>
      </c>
      <c r="GX98" t="s">
        <v>807</v>
      </c>
      <c r="GY98" t="s">
        <v>186</v>
      </c>
      <c r="GZ98">
        <v>1968</v>
      </c>
      <c r="HA98" t="s">
        <v>398</v>
      </c>
      <c r="HB98" t="s">
        <v>971</v>
      </c>
      <c r="HC98" t="s">
        <v>972</v>
      </c>
    </row>
    <row r="99" spans="1:212" x14ac:dyDescent="0.45">
      <c r="A99">
        <v>97</v>
      </c>
      <c r="B99">
        <f>_xlfn.IFNA(VLOOKUP(Wszystkie[[#This Row],[Zakończono wypełnianie]],Zakończone[],2,0),"BRAK")</f>
        <v>60</v>
      </c>
      <c r="C99" t="s">
        <v>370</v>
      </c>
      <c r="D99" t="s">
        <v>118</v>
      </c>
      <c r="E99" t="s">
        <v>774</v>
      </c>
      <c r="I99" t="s">
        <v>119</v>
      </c>
      <c r="J99" t="s">
        <v>973</v>
      </c>
      <c r="K99" t="s">
        <v>974</v>
      </c>
      <c r="L99">
        <v>1963</v>
      </c>
      <c r="M99">
        <v>0</v>
      </c>
      <c r="N99" t="s">
        <v>122</v>
      </c>
      <c r="O99" s="1" t="s">
        <v>123</v>
      </c>
      <c r="AE99" s="1" t="s">
        <v>124</v>
      </c>
      <c r="AF99" t="s">
        <v>975</v>
      </c>
      <c r="AG99">
        <v>1996</v>
      </c>
      <c r="AH99" t="s">
        <v>148</v>
      </c>
      <c r="AI99" t="s">
        <v>601</v>
      </c>
      <c r="AJ99" t="s">
        <v>128</v>
      </c>
      <c r="AK99" t="s">
        <v>151</v>
      </c>
      <c r="AL99" t="s">
        <v>169</v>
      </c>
      <c r="AM99" t="s">
        <v>129</v>
      </c>
      <c r="AN99" t="s">
        <v>129</v>
      </c>
      <c r="AO99" t="s">
        <v>976</v>
      </c>
      <c r="AP99" t="s">
        <v>131</v>
      </c>
      <c r="AQ99" t="s">
        <v>131</v>
      </c>
      <c r="AR99" t="s">
        <v>802</v>
      </c>
      <c r="AS99" t="s">
        <v>824</v>
      </c>
      <c r="AT99" t="s">
        <v>977</v>
      </c>
      <c r="AU99" t="s">
        <v>230</v>
      </c>
      <c r="AW99" s="1" t="s">
        <v>123</v>
      </c>
      <c r="AX99" t="s">
        <v>132</v>
      </c>
      <c r="CQ99" s="1" t="s">
        <v>123</v>
      </c>
      <c r="DA99" s="1" t="s">
        <v>123</v>
      </c>
      <c r="DK99" s="1" t="s">
        <v>123</v>
      </c>
      <c r="EN99" s="1" t="s">
        <v>123</v>
      </c>
      <c r="EO99" t="s">
        <v>178</v>
      </c>
      <c r="EP99" t="s">
        <v>132</v>
      </c>
      <c r="FN99" s="1" t="s">
        <v>123</v>
      </c>
      <c r="FO99" t="s">
        <v>132</v>
      </c>
      <c r="FQ99" t="s">
        <v>132</v>
      </c>
      <c r="GV99" t="s">
        <v>978</v>
      </c>
      <c r="GW99" t="s">
        <v>819</v>
      </c>
      <c r="GX99" t="s">
        <v>979</v>
      </c>
      <c r="GY99" t="s">
        <v>140</v>
      </c>
      <c r="GZ99">
        <v>1962</v>
      </c>
      <c r="HA99" t="s">
        <v>220</v>
      </c>
      <c r="HC99" t="s">
        <v>980</v>
      </c>
      <c r="HD99" t="s">
        <v>386</v>
      </c>
    </row>
    <row r="100" spans="1:212" x14ac:dyDescent="0.45">
      <c r="A100">
        <v>98</v>
      </c>
      <c r="B100" t="str">
        <f>_xlfn.IFNA(VLOOKUP(Wszystkie[[#This Row],[Zakończono wypełnianie]],Zakończone[],2,0),"BRAK")</f>
        <v>BRAK</v>
      </c>
      <c r="C100" t="s">
        <v>981</v>
      </c>
      <c r="D100" t="s">
        <v>118</v>
      </c>
      <c r="E100" t="s">
        <v>982</v>
      </c>
      <c r="I100" t="s">
        <v>286</v>
      </c>
      <c r="J100" t="s">
        <v>983</v>
      </c>
      <c r="K100" t="s">
        <v>983</v>
      </c>
      <c r="L100">
        <v>0</v>
      </c>
      <c r="M100">
        <v>0</v>
      </c>
      <c r="N100" t="s">
        <v>122</v>
      </c>
      <c r="O100" s="1"/>
      <c r="AE100" s="1"/>
      <c r="AW100" s="1"/>
      <c r="CQ100" s="1"/>
      <c r="DA100" s="1"/>
      <c r="DK100" s="1"/>
      <c r="EN100" s="1"/>
      <c r="FN100" s="1"/>
    </row>
    <row r="101" spans="1:212" x14ac:dyDescent="0.45">
      <c r="A101">
        <v>99</v>
      </c>
      <c r="B101">
        <f>_xlfn.IFNA(VLOOKUP(Wszystkie[[#This Row],[Zakończono wypełnianie]],Zakończone[],2,0),"BRAK")</f>
        <v>61</v>
      </c>
      <c r="C101" t="s">
        <v>984</v>
      </c>
      <c r="D101" t="s">
        <v>118</v>
      </c>
      <c r="E101" t="s">
        <v>774</v>
      </c>
      <c r="I101" t="s">
        <v>119</v>
      </c>
      <c r="J101" t="s">
        <v>985</v>
      </c>
      <c r="K101" t="s">
        <v>986</v>
      </c>
      <c r="L101">
        <v>1348</v>
      </c>
      <c r="M101">
        <v>0</v>
      </c>
      <c r="N101" t="s">
        <v>122</v>
      </c>
      <c r="O101" s="1" t="s">
        <v>123</v>
      </c>
      <c r="AE101" s="1" t="s">
        <v>124</v>
      </c>
      <c r="AF101" t="s">
        <v>987</v>
      </c>
      <c r="AG101">
        <v>2015</v>
      </c>
      <c r="AH101" t="s">
        <v>148</v>
      </c>
      <c r="AI101" t="s">
        <v>988</v>
      </c>
      <c r="AJ101" t="s">
        <v>169</v>
      </c>
      <c r="AK101" t="s">
        <v>150</v>
      </c>
      <c r="AL101" t="s">
        <v>151</v>
      </c>
      <c r="AM101" t="s">
        <v>151</v>
      </c>
      <c r="AN101" t="s">
        <v>151</v>
      </c>
      <c r="AO101" t="s">
        <v>883</v>
      </c>
      <c r="AP101" t="s">
        <v>131</v>
      </c>
      <c r="AQ101" t="s">
        <v>302</v>
      </c>
      <c r="AS101" t="s">
        <v>989</v>
      </c>
      <c r="AT101" t="s">
        <v>990</v>
      </c>
      <c r="AU101" t="s">
        <v>157</v>
      </c>
      <c r="AW101" s="1" t="s">
        <v>123</v>
      </c>
      <c r="CQ101" s="1" t="s">
        <v>123</v>
      </c>
      <c r="DA101" s="1" t="s">
        <v>123</v>
      </c>
      <c r="DK101" s="1" t="s">
        <v>123</v>
      </c>
      <c r="EN101" s="1" t="s">
        <v>123</v>
      </c>
      <c r="FN101" s="1" t="s">
        <v>123</v>
      </c>
      <c r="FO101" t="s">
        <v>132</v>
      </c>
      <c r="GV101" t="s">
        <v>786</v>
      </c>
      <c r="GW101" t="s">
        <v>991</v>
      </c>
      <c r="GX101" t="s">
        <v>820</v>
      </c>
      <c r="GY101" t="s">
        <v>140</v>
      </c>
      <c r="GZ101">
        <v>1991</v>
      </c>
      <c r="HA101" t="s">
        <v>220</v>
      </c>
    </row>
    <row r="102" spans="1:212" x14ac:dyDescent="0.45">
      <c r="A102">
        <v>100</v>
      </c>
      <c r="B102">
        <f>_xlfn.IFNA(VLOOKUP(Wszystkie[[#This Row],[Zakończono wypełnianie]],Zakończone[],2,0),"BRAK")</f>
        <v>62</v>
      </c>
      <c r="C102" t="s">
        <v>984</v>
      </c>
      <c r="D102" t="s">
        <v>118</v>
      </c>
      <c r="E102" t="s">
        <v>992</v>
      </c>
      <c r="I102" t="s">
        <v>119</v>
      </c>
      <c r="J102" t="s">
        <v>993</v>
      </c>
      <c r="K102" t="s">
        <v>994</v>
      </c>
      <c r="L102">
        <v>1026</v>
      </c>
      <c r="M102">
        <v>0</v>
      </c>
      <c r="N102" t="s">
        <v>122</v>
      </c>
      <c r="O102" s="1" t="s">
        <v>123</v>
      </c>
      <c r="AE102" s="1" t="s">
        <v>124</v>
      </c>
      <c r="AF102" t="s">
        <v>995</v>
      </c>
      <c r="AG102">
        <v>2010</v>
      </c>
      <c r="AH102" t="s">
        <v>148</v>
      </c>
      <c r="AI102" t="s">
        <v>429</v>
      </c>
      <c r="AJ102" t="s">
        <v>169</v>
      </c>
      <c r="AK102" t="s">
        <v>169</v>
      </c>
      <c r="AL102" t="s">
        <v>150</v>
      </c>
      <c r="AM102" t="s">
        <v>236</v>
      </c>
      <c r="AN102" t="s">
        <v>128</v>
      </c>
      <c r="AO102" t="s">
        <v>883</v>
      </c>
      <c r="AP102" t="s">
        <v>152</v>
      </c>
      <c r="AQ102" t="s">
        <v>131</v>
      </c>
      <c r="AR102" t="s">
        <v>996</v>
      </c>
      <c r="AS102" t="s">
        <v>794</v>
      </c>
      <c r="AT102" t="s">
        <v>780</v>
      </c>
      <c r="AU102" t="s">
        <v>230</v>
      </c>
      <c r="AW102" s="1" t="s">
        <v>123</v>
      </c>
      <c r="AX102" t="s">
        <v>132</v>
      </c>
      <c r="CQ102" s="1" t="s">
        <v>123</v>
      </c>
      <c r="DA102" s="1" t="s">
        <v>123</v>
      </c>
      <c r="DK102" s="1" t="s">
        <v>123</v>
      </c>
      <c r="EN102" s="1" t="s">
        <v>123</v>
      </c>
      <c r="EO102" t="s">
        <v>180</v>
      </c>
      <c r="EP102" t="s">
        <v>132</v>
      </c>
      <c r="FN102" s="1" t="s">
        <v>123</v>
      </c>
      <c r="FO102" t="s">
        <v>132</v>
      </c>
      <c r="FQ102" t="s">
        <v>132</v>
      </c>
      <c r="GV102" t="s">
        <v>786</v>
      </c>
      <c r="GW102" t="s">
        <v>819</v>
      </c>
      <c r="GX102" t="s">
        <v>820</v>
      </c>
      <c r="GY102" t="s">
        <v>186</v>
      </c>
      <c r="GZ102">
        <v>1986</v>
      </c>
      <c r="HA102" t="s">
        <v>483</v>
      </c>
      <c r="HC102" t="s">
        <v>386</v>
      </c>
      <c r="HD102" t="s">
        <v>386</v>
      </c>
    </row>
    <row r="103" spans="1:212" x14ac:dyDescent="0.45">
      <c r="A103">
        <v>101</v>
      </c>
      <c r="B103" t="str">
        <f>_xlfn.IFNA(VLOOKUP(Wszystkie[[#This Row],[Zakończono wypełnianie]],Zakończone[],2,0),"BRAK")</f>
        <v>BRAK</v>
      </c>
      <c r="C103" t="s">
        <v>997</v>
      </c>
      <c r="D103" t="s">
        <v>118</v>
      </c>
      <c r="I103" t="s">
        <v>286</v>
      </c>
      <c r="J103" t="s">
        <v>998</v>
      </c>
      <c r="K103" t="s">
        <v>998</v>
      </c>
      <c r="L103">
        <v>0</v>
      </c>
      <c r="M103">
        <v>0</v>
      </c>
      <c r="N103" t="s">
        <v>122</v>
      </c>
      <c r="O103" s="1" t="s">
        <v>123</v>
      </c>
      <c r="AE103" s="1" t="s">
        <v>124</v>
      </c>
      <c r="AW103" s="1"/>
      <c r="CQ103" s="1"/>
      <c r="DA103" s="1"/>
      <c r="DK103" s="1"/>
      <c r="EN103" s="1"/>
      <c r="FN103" s="1"/>
    </row>
    <row r="104" spans="1:212" x14ac:dyDescent="0.45">
      <c r="A104">
        <v>102</v>
      </c>
      <c r="B104">
        <f>_xlfn.IFNA(VLOOKUP(Wszystkie[[#This Row],[Zakończono wypełnianie]],Zakończone[],2,0),"BRAK")</f>
        <v>63</v>
      </c>
      <c r="C104" t="s">
        <v>999</v>
      </c>
      <c r="D104" t="s">
        <v>118</v>
      </c>
      <c r="E104" t="s">
        <v>260</v>
      </c>
      <c r="I104" t="s">
        <v>119</v>
      </c>
      <c r="J104" t="s">
        <v>1000</v>
      </c>
      <c r="K104" t="s">
        <v>1001</v>
      </c>
      <c r="L104">
        <v>18013</v>
      </c>
      <c r="M104">
        <v>0</v>
      </c>
      <c r="N104" t="s">
        <v>122</v>
      </c>
      <c r="O104" s="1" t="s">
        <v>123</v>
      </c>
      <c r="AE104" s="1" t="s">
        <v>124</v>
      </c>
      <c r="AF104" t="s">
        <v>1002</v>
      </c>
      <c r="AG104">
        <v>1996</v>
      </c>
      <c r="AH104" t="s">
        <v>148</v>
      </c>
      <c r="AI104" t="s">
        <v>1003</v>
      </c>
      <c r="AJ104" t="s">
        <v>150</v>
      </c>
      <c r="AK104" t="s">
        <v>150</v>
      </c>
      <c r="AL104" t="s">
        <v>162</v>
      </c>
      <c r="AM104" t="s">
        <v>129</v>
      </c>
      <c r="AN104" t="s">
        <v>236</v>
      </c>
      <c r="AO104">
        <v>1</v>
      </c>
      <c r="AP104" t="s">
        <v>131</v>
      </c>
      <c r="AQ104" t="s">
        <v>153</v>
      </c>
      <c r="AR104" t="s">
        <v>1004</v>
      </c>
      <c r="AS104" t="s">
        <v>1005</v>
      </c>
      <c r="AT104" t="s">
        <v>532</v>
      </c>
      <c r="AU104" t="s">
        <v>157</v>
      </c>
      <c r="AV104" t="s">
        <v>1006</v>
      </c>
      <c r="AW104" s="1" t="s">
        <v>123</v>
      </c>
      <c r="AX104" t="s">
        <v>132</v>
      </c>
      <c r="CQ104" s="1" t="s">
        <v>123</v>
      </c>
      <c r="DA104" s="1" t="s">
        <v>123</v>
      </c>
      <c r="DK104" s="1" t="s">
        <v>123</v>
      </c>
      <c r="EN104" s="1" t="s">
        <v>177</v>
      </c>
      <c r="EO104" t="s">
        <v>178</v>
      </c>
      <c r="EP104" t="s">
        <v>132</v>
      </c>
      <c r="EQ104" t="s">
        <v>1002</v>
      </c>
      <c r="ER104" t="s">
        <v>236</v>
      </c>
      <c r="ES104" t="s">
        <v>236</v>
      </c>
      <c r="ET104" t="s">
        <v>151</v>
      </c>
      <c r="EU104" t="s">
        <v>178</v>
      </c>
      <c r="EV104" t="s">
        <v>1007</v>
      </c>
      <c r="EW104" t="s">
        <v>1008</v>
      </c>
      <c r="EX104" t="s">
        <v>173</v>
      </c>
      <c r="FN104" s="1" t="s">
        <v>123</v>
      </c>
      <c r="FO104" t="s">
        <v>132</v>
      </c>
      <c r="FQ104" t="s">
        <v>132</v>
      </c>
      <c r="GV104" t="s">
        <v>1009</v>
      </c>
      <c r="GW104" t="s">
        <v>1007</v>
      </c>
      <c r="GX104" t="s">
        <v>1009</v>
      </c>
      <c r="GY104" t="s">
        <v>186</v>
      </c>
      <c r="GZ104">
        <v>1966</v>
      </c>
      <c r="HA104" t="s">
        <v>141</v>
      </c>
    </row>
    <row r="105" spans="1:212" x14ac:dyDescent="0.45">
      <c r="A105">
        <v>103</v>
      </c>
      <c r="B105" t="str">
        <f>_xlfn.IFNA(VLOOKUP(Wszystkie[[#This Row],[Zakończono wypełnianie]],Zakończone[],2,0),"BRAK")</f>
        <v>BRAK</v>
      </c>
      <c r="C105" t="s">
        <v>1010</v>
      </c>
      <c r="D105" t="s">
        <v>118</v>
      </c>
      <c r="I105" t="s">
        <v>286</v>
      </c>
      <c r="J105" t="s">
        <v>1011</v>
      </c>
      <c r="K105" t="s">
        <v>1011</v>
      </c>
      <c r="L105">
        <v>0</v>
      </c>
      <c r="M105">
        <v>0</v>
      </c>
      <c r="N105" t="s">
        <v>122</v>
      </c>
      <c r="O105" s="1" t="s">
        <v>123</v>
      </c>
      <c r="AE105" s="1" t="s">
        <v>123</v>
      </c>
      <c r="AW105" s="1"/>
      <c r="CQ105" s="1"/>
      <c r="DA105" s="1"/>
      <c r="DK105" s="1"/>
      <c r="EN105" s="1"/>
      <c r="FN105" s="1"/>
    </row>
    <row r="106" spans="1:212" x14ac:dyDescent="0.45">
      <c r="A106">
        <v>104</v>
      </c>
      <c r="B106" t="str">
        <f>_xlfn.IFNA(VLOOKUP(Wszystkie[[#This Row],[Zakończono wypełnianie]],Zakończone[],2,0),"BRAK")</f>
        <v>BRAK</v>
      </c>
      <c r="C106" t="s">
        <v>1012</v>
      </c>
      <c r="D106" t="s">
        <v>118</v>
      </c>
      <c r="I106" t="s">
        <v>286</v>
      </c>
      <c r="J106" t="s">
        <v>1013</v>
      </c>
      <c r="K106" t="s">
        <v>1013</v>
      </c>
      <c r="L106">
        <v>0</v>
      </c>
      <c r="M106">
        <v>0</v>
      </c>
      <c r="N106" t="s">
        <v>122</v>
      </c>
      <c r="O106" s="1" t="s">
        <v>123</v>
      </c>
      <c r="AE106" s="1" t="s">
        <v>124</v>
      </c>
      <c r="AW106" s="1"/>
      <c r="CQ106" s="1"/>
      <c r="DA106" s="1"/>
      <c r="DK106" s="1"/>
      <c r="EN106" s="1"/>
      <c r="FN106" s="1"/>
    </row>
    <row r="107" spans="1:212" x14ac:dyDescent="0.45">
      <c r="A107">
        <v>105</v>
      </c>
      <c r="B107">
        <f>_xlfn.IFNA(VLOOKUP(Wszystkie[[#This Row],[Zakończono wypełnianie]],Zakończone[],2,0),"BRAK")</f>
        <v>64</v>
      </c>
      <c r="C107" t="s">
        <v>1014</v>
      </c>
      <c r="D107" t="s">
        <v>118</v>
      </c>
      <c r="I107" t="s">
        <v>119</v>
      </c>
      <c r="J107" t="s">
        <v>1015</v>
      </c>
      <c r="K107" t="s">
        <v>1016</v>
      </c>
      <c r="L107">
        <v>1293</v>
      </c>
      <c r="M107">
        <v>0</v>
      </c>
      <c r="N107" t="s">
        <v>122</v>
      </c>
      <c r="O107" s="1" t="s">
        <v>123</v>
      </c>
      <c r="AE107" s="1" t="s">
        <v>124</v>
      </c>
      <c r="AF107" t="s">
        <v>742</v>
      </c>
      <c r="AG107">
        <v>2003</v>
      </c>
      <c r="AH107" t="s">
        <v>148</v>
      </c>
      <c r="AI107" t="s">
        <v>1017</v>
      </c>
      <c r="AJ107" t="s">
        <v>128</v>
      </c>
      <c r="AK107" t="s">
        <v>128</v>
      </c>
      <c r="AL107" t="s">
        <v>128</v>
      </c>
      <c r="AM107" t="s">
        <v>236</v>
      </c>
      <c r="AN107" t="s">
        <v>132</v>
      </c>
      <c r="AO107" t="s">
        <v>1018</v>
      </c>
      <c r="AP107" t="s">
        <v>131</v>
      </c>
      <c r="AQ107" t="s">
        <v>131</v>
      </c>
      <c r="AS107" t="s">
        <v>1019</v>
      </c>
      <c r="AT107" t="s">
        <v>1020</v>
      </c>
      <c r="AU107" t="s">
        <v>157</v>
      </c>
      <c r="AW107" s="1" t="s">
        <v>123</v>
      </c>
      <c r="AX107" t="s">
        <v>132</v>
      </c>
      <c r="CQ107" s="1" t="s">
        <v>123</v>
      </c>
      <c r="DA107" s="1" t="s">
        <v>123</v>
      </c>
      <c r="DK107" s="1" t="s">
        <v>123</v>
      </c>
      <c r="EN107" s="1" t="s">
        <v>123</v>
      </c>
      <c r="EO107" t="s">
        <v>180</v>
      </c>
      <c r="EP107" t="s">
        <v>132</v>
      </c>
      <c r="FN107" s="1" t="s">
        <v>123</v>
      </c>
      <c r="FO107" t="s">
        <v>132</v>
      </c>
      <c r="FQ107" t="s">
        <v>132</v>
      </c>
      <c r="GV107" t="s">
        <v>276</v>
      </c>
      <c r="GW107" t="s">
        <v>1021</v>
      </c>
      <c r="GX107" t="s">
        <v>1022</v>
      </c>
      <c r="GY107" t="s">
        <v>140</v>
      </c>
      <c r="GZ107">
        <v>1980</v>
      </c>
      <c r="HA107" t="s">
        <v>483</v>
      </c>
      <c r="HC107" t="s">
        <v>1023</v>
      </c>
    </row>
    <row r="108" spans="1:212" x14ac:dyDescent="0.45">
      <c r="A108">
        <v>106</v>
      </c>
      <c r="B108" t="str">
        <f>_xlfn.IFNA(VLOOKUP(Wszystkie[[#This Row],[Zakończono wypełnianie]],Zakończone[],2,0),"BRAK")</f>
        <v>BRAK</v>
      </c>
      <c r="C108" t="s">
        <v>1024</v>
      </c>
      <c r="D108" t="s">
        <v>118</v>
      </c>
      <c r="I108" t="s">
        <v>286</v>
      </c>
      <c r="J108" t="s">
        <v>1025</v>
      </c>
      <c r="K108" t="s">
        <v>1025</v>
      </c>
      <c r="L108">
        <v>0</v>
      </c>
      <c r="M108">
        <v>0</v>
      </c>
      <c r="N108" t="s">
        <v>122</v>
      </c>
      <c r="O108" s="1" t="s">
        <v>123</v>
      </c>
      <c r="AE108" s="1" t="s">
        <v>124</v>
      </c>
      <c r="AW108" s="1"/>
      <c r="CQ108" s="1"/>
      <c r="DA108" s="1"/>
      <c r="DK108" s="1"/>
      <c r="EN108" s="1"/>
      <c r="FN108" s="1"/>
    </row>
    <row r="109" spans="1:212" x14ac:dyDescent="0.45">
      <c r="A109">
        <v>107</v>
      </c>
      <c r="B109" t="str">
        <f>_xlfn.IFNA(VLOOKUP(Wszystkie[[#This Row],[Zakończono wypełnianie]],Zakończone[],2,0),"BRAK")</f>
        <v>BRAK</v>
      </c>
      <c r="C109" t="s">
        <v>1026</v>
      </c>
      <c r="D109" t="s">
        <v>118</v>
      </c>
      <c r="E109" t="s">
        <v>1027</v>
      </c>
      <c r="I109" t="s">
        <v>286</v>
      </c>
      <c r="J109" t="s">
        <v>1028</v>
      </c>
      <c r="K109" t="s">
        <v>1028</v>
      </c>
      <c r="L109">
        <v>0</v>
      </c>
      <c r="M109">
        <v>0</v>
      </c>
      <c r="N109" t="s">
        <v>122</v>
      </c>
      <c r="O109" s="1" t="s">
        <v>123</v>
      </c>
      <c r="AE109" s="1" t="s">
        <v>124</v>
      </c>
      <c r="AW109" s="1"/>
      <c r="CQ109" s="1"/>
      <c r="DA109" s="1"/>
      <c r="DK109" s="1"/>
      <c r="EN109" s="1"/>
      <c r="FN109" s="1"/>
    </row>
    <row r="110" spans="1:212" x14ac:dyDescent="0.45">
      <c r="A110">
        <v>108</v>
      </c>
      <c r="B110" t="str">
        <f>_xlfn.IFNA(VLOOKUP(Wszystkie[[#This Row],[Zakończono wypełnianie]],Zakończone[],2,0),"BRAK")</f>
        <v>BRAK</v>
      </c>
      <c r="C110" t="s">
        <v>1029</v>
      </c>
      <c r="D110" t="s">
        <v>118</v>
      </c>
      <c r="I110" t="s">
        <v>286</v>
      </c>
      <c r="J110" t="s">
        <v>1030</v>
      </c>
      <c r="K110" t="s">
        <v>1030</v>
      </c>
      <c r="L110">
        <v>0</v>
      </c>
      <c r="M110">
        <v>0</v>
      </c>
      <c r="N110" t="s">
        <v>122</v>
      </c>
      <c r="O110" s="1" t="s">
        <v>123</v>
      </c>
      <c r="AE110" s="1" t="s">
        <v>124</v>
      </c>
      <c r="AW110" s="1"/>
      <c r="CQ110" s="1"/>
      <c r="DA110" s="1"/>
      <c r="DK110" s="1"/>
      <c r="EN110" s="1"/>
      <c r="FN110" s="1"/>
    </row>
    <row r="111" spans="1:212" x14ac:dyDescent="0.45">
      <c r="A111">
        <v>109</v>
      </c>
      <c r="B111" t="str">
        <f>_xlfn.IFNA(VLOOKUP(Wszystkie[[#This Row],[Zakończono wypełnianie]],Zakończone[],2,0),"BRAK")</f>
        <v>BRAK</v>
      </c>
      <c r="C111" t="s">
        <v>1031</v>
      </c>
      <c r="D111" t="s">
        <v>118</v>
      </c>
      <c r="I111" t="s">
        <v>286</v>
      </c>
      <c r="J111" t="s">
        <v>1032</v>
      </c>
      <c r="K111" t="s">
        <v>1032</v>
      </c>
      <c r="L111">
        <v>0</v>
      </c>
      <c r="M111">
        <v>0</v>
      </c>
      <c r="N111" t="s">
        <v>122</v>
      </c>
      <c r="O111" s="1" t="s">
        <v>123</v>
      </c>
      <c r="AE111" s="1" t="s">
        <v>124</v>
      </c>
      <c r="AW111" s="1"/>
      <c r="CQ111" s="1"/>
      <c r="DA111" s="1"/>
      <c r="DK111" s="1"/>
      <c r="EN111" s="1"/>
      <c r="FN111" s="1"/>
    </row>
    <row r="112" spans="1:212" x14ac:dyDescent="0.45">
      <c r="A112">
        <v>110</v>
      </c>
      <c r="B112">
        <f>_xlfn.IFNA(VLOOKUP(Wszystkie[[#This Row],[Zakończono wypełnianie]],Zakończone[],2,0),"BRAK")</f>
        <v>65</v>
      </c>
      <c r="C112" t="s">
        <v>1033</v>
      </c>
      <c r="D112" t="s">
        <v>118</v>
      </c>
      <c r="E112" t="s">
        <v>1034</v>
      </c>
      <c r="I112" t="s">
        <v>119</v>
      </c>
      <c r="J112" t="s">
        <v>1035</v>
      </c>
      <c r="K112" t="s">
        <v>1036</v>
      </c>
      <c r="L112">
        <v>1167</v>
      </c>
      <c r="M112">
        <v>0</v>
      </c>
      <c r="N112" t="s">
        <v>122</v>
      </c>
      <c r="O112" s="1" t="s">
        <v>123</v>
      </c>
      <c r="AE112" s="1" t="s">
        <v>124</v>
      </c>
      <c r="AF112" t="s">
        <v>1037</v>
      </c>
      <c r="AG112" t="s">
        <v>1038</v>
      </c>
      <c r="AH112" t="s">
        <v>126</v>
      </c>
      <c r="AI112" t="s">
        <v>1039</v>
      </c>
      <c r="AJ112" t="s">
        <v>128</v>
      </c>
      <c r="AK112" t="s">
        <v>151</v>
      </c>
      <c r="AL112" t="s">
        <v>236</v>
      </c>
      <c r="AM112" t="s">
        <v>129</v>
      </c>
      <c r="AN112" t="s">
        <v>129</v>
      </c>
      <c r="AO112">
        <v>5</v>
      </c>
      <c r="AP112" t="s">
        <v>302</v>
      </c>
      <c r="AQ112" t="s">
        <v>302</v>
      </c>
      <c r="AS112" t="s">
        <v>1040</v>
      </c>
      <c r="AT112" t="s">
        <v>1041</v>
      </c>
      <c r="AU112" t="s">
        <v>892</v>
      </c>
      <c r="AV112" t="s">
        <v>1042</v>
      </c>
      <c r="AW112" s="1" t="s">
        <v>123</v>
      </c>
      <c r="AX112" t="s">
        <v>132</v>
      </c>
      <c r="CQ112" s="1" t="s">
        <v>123</v>
      </c>
      <c r="DA112" s="1" t="s">
        <v>123</v>
      </c>
      <c r="DK112" s="1" t="s">
        <v>123</v>
      </c>
      <c r="EN112" s="1" t="s">
        <v>123</v>
      </c>
      <c r="EO112" t="s">
        <v>180</v>
      </c>
      <c r="EP112" t="s">
        <v>132</v>
      </c>
      <c r="FN112" s="1" t="s">
        <v>123</v>
      </c>
      <c r="FO112" t="s">
        <v>132</v>
      </c>
      <c r="FQ112" t="s">
        <v>132</v>
      </c>
      <c r="GV112" t="s">
        <v>1043</v>
      </c>
      <c r="GW112" t="s">
        <v>1044</v>
      </c>
      <c r="GX112" t="s">
        <v>1045</v>
      </c>
      <c r="GY112" t="s">
        <v>186</v>
      </c>
      <c r="GZ112">
        <v>1982</v>
      </c>
      <c r="HA112" t="s">
        <v>246</v>
      </c>
    </row>
    <row r="113" spans="1:212" x14ac:dyDescent="0.45">
      <c r="A113">
        <v>111</v>
      </c>
      <c r="B113">
        <f>_xlfn.IFNA(VLOOKUP(Wszystkie[[#This Row],[Zakończono wypełnianie]],Zakończone[],2,0),"BRAK")</f>
        <v>66</v>
      </c>
      <c r="C113" t="s">
        <v>1046</v>
      </c>
      <c r="D113" t="s">
        <v>118</v>
      </c>
      <c r="I113" t="s">
        <v>119</v>
      </c>
      <c r="J113" t="s">
        <v>1047</v>
      </c>
      <c r="K113" t="s">
        <v>1048</v>
      </c>
      <c r="L113">
        <v>1978</v>
      </c>
      <c r="M113">
        <v>0</v>
      </c>
      <c r="N113" t="s">
        <v>122</v>
      </c>
      <c r="O113" s="1" t="s">
        <v>123</v>
      </c>
      <c r="AE113" s="1" t="s">
        <v>124</v>
      </c>
      <c r="AF113" t="s">
        <v>1049</v>
      </c>
      <c r="AG113">
        <v>2009</v>
      </c>
      <c r="AH113" t="s">
        <v>148</v>
      </c>
      <c r="AI113" t="s">
        <v>1050</v>
      </c>
      <c r="AJ113" t="s">
        <v>150</v>
      </c>
      <c r="AK113" t="s">
        <v>162</v>
      </c>
      <c r="AL113" t="s">
        <v>169</v>
      </c>
      <c r="AM113" t="s">
        <v>162</v>
      </c>
      <c r="AN113" t="s">
        <v>150</v>
      </c>
      <c r="AO113" t="s">
        <v>1051</v>
      </c>
      <c r="AP113" t="s">
        <v>302</v>
      </c>
      <c r="AQ113" t="s">
        <v>153</v>
      </c>
      <c r="AR113" t="s">
        <v>1052</v>
      </c>
      <c r="AS113" t="s">
        <v>1053</v>
      </c>
      <c r="AT113" t="s">
        <v>1054</v>
      </c>
      <c r="AU113" t="s">
        <v>230</v>
      </c>
      <c r="AV113" t="s">
        <v>1050</v>
      </c>
      <c r="AW113" s="1" t="s">
        <v>123</v>
      </c>
      <c r="AX113" t="s">
        <v>132</v>
      </c>
      <c r="CQ113" s="1" t="s">
        <v>123</v>
      </c>
      <c r="DA113" s="1" t="s">
        <v>123</v>
      </c>
      <c r="DK113" s="1" t="s">
        <v>123</v>
      </c>
      <c r="EN113" s="1" t="s">
        <v>123</v>
      </c>
      <c r="EO113" t="s">
        <v>180</v>
      </c>
      <c r="EP113" t="s">
        <v>132</v>
      </c>
      <c r="FN113" s="1" t="s">
        <v>123</v>
      </c>
      <c r="FO113" t="s">
        <v>132</v>
      </c>
      <c r="FQ113" t="s">
        <v>132</v>
      </c>
      <c r="GV113" t="s">
        <v>1055</v>
      </c>
      <c r="GW113" t="s">
        <v>1056</v>
      </c>
      <c r="GX113" t="s">
        <v>1057</v>
      </c>
      <c r="GY113" t="s">
        <v>186</v>
      </c>
      <c r="GZ113">
        <v>1978</v>
      </c>
      <c r="HA113" t="s">
        <v>141</v>
      </c>
      <c r="HC113" t="s">
        <v>1058</v>
      </c>
    </row>
    <row r="114" spans="1:212" x14ac:dyDescent="0.45">
      <c r="A114">
        <v>112</v>
      </c>
      <c r="B114" t="str">
        <f>_xlfn.IFNA(VLOOKUP(Wszystkie[[#This Row],[Zakończono wypełnianie]],Zakończone[],2,0),"BRAK")</f>
        <v>BRAK</v>
      </c>
      <c r="C114" t="s">
        <v>1059</v>
      </c>
      <c r="D114" t="s">
        <v>118</v>
      </c>
      <c r="I114" t="s">
        <v>286</v>
      </c>
      <c r="J114" t="s">
        <v>1060</v>
      </c>
      <c r="K114" t="s">
        <v>1060</v>
      </c>
      <c r="L114">
        <v>0</v>
      </c>
      <c r="M114">
        <v>0</v>
      </c>
      <c r="N114" t="s">
        <v>122</v>
      </c>
      <c r="O114" s="1" t="s">
        <v>123</v>
      </c>
      <c r="AE114" s="1" t="s">
        <v>124</v>
      </c>
      <c r="AF114" t="s">
        <v>1061</v>
      </c>
      <c r="AG114">
        <v>2009</v>
      </c>
      <c r="AH114" t="s">
        <v>148</v>
      </c>
      <c r="AI114" t="s">
        <v>1062</v>
      </c>
      <c r="AJ114" t="s">
        <v>169</v>
      </c>
      <c r="AK114" t="s">
        <v>169</v>
      </c>
      <c r="AL114" t="s">
        <v>151</v>
      </c>
      <c r="AM114" t="s">
        <v>150</v>
      </c>
      <c r="AN114" t="s">
        <v>169</v>
      </c>
      <c r="AO114" t="s">
        <v>237</v>
      </c>
      <c r="AP114" t="s">
        <v>131</v>
      </c>
      <c r="AQ114" t="s">
        <v>302</v>
      </c>
      <c r="AS114" t="s">
        <v>1063</v>
      </c>
      <c r="AT114" t="s">
        <v>1064</v>
      </c>
      <c r="AU114" t="s">
        <v>230</v>
      </c>
      <c r="AW114" s="1" t="s">
        <v>123</v>
      </c>
      <c r="CQ114" s="1" t="s">
        <v>123</v>
      </c>
      <c r="DA114" s="1" t="s">
        <v>123</v>
      </c>
      <c r="DK114" s="1" t="s">
        <v>123</v>
      </c>
      <c r="EN114" s="1" t="s">
        <v>123</v>
      </c>
      <c r="FN114" s="1" t="s">
        <v>123</v>
      </c>
      <c r="FO114" t="s">
        <v>132</v>
      </c>
    </row>
    <row r="115" spans="1:212" x14ac:dyDescent="0.45">
      <c r="A115">
        <v>114</v>
      </c>
      <c r="B115">
        <f>_xlfn.IFNA(VLOOKUP(Wszystkie[[#This Row],[Zakończono wypełnianie]],Zakończone[],2,0),"BRAK")</f>
        <v>68</v>
      </c>
      <c r="C115" t="s">
        <v>1077</v>
      </c>
      <c r="D115" t="s">
        <v>118</v>
      </c>
      <c r="I115" t="s">
        <v>119</v>
      </c>
      <c r="J115" t="s">
        <v>1078</v>
      </c>
      <c r="K115" t="s">
        <v>1079</v>
      </c>
      <c r="L115">
        <v>862</v>
      </c>
      <c r="M115">
        <v>0</v>
      </c>
      <c r="N115" t="s">
        <v>122</v>
      </c>
      <c r="O115" s="1" t="s">
        <v>123</v>
      </c>
      <c r="AE115" s="1" t="s">
        <v>124</v>
      </c>
      <c r="AF115" t="s">
        <v>223</v>
      </c>
      <c r="AG115">
        <v>2007</v>
      </c>
      <c r="AH115" t="s">
        <v>148</v>
      </c>
      <c r="AI115" t="s">
        <v>969</v>
      </c>
      <c r="AJ115" t="s">
        <v>151</v>
      </c>
      <c r="AK115" t="s">
        <v>151</v>
      </c>
      <c r="AL115" t="s">
        <v>150</v>
      </c>
      <c r="AM115" t="s">
        <v>162</v>
      </c>
      <c r="AN115" t="s">
        <v>150</v>
      </c>
      <c r="AO115" t="s">
        <v>237</v>
      </c>
      <c r="AP115" t="s">
        <v>131</v>
      </c>
      <c r="AQ115" t="s">
        <v>302</v>
      </c>
      <c r="AS115" t="s">
        <v>1080</v>
      </c>
      <c r="AT115" t="s">
        <v>1081</v>
      </c>
      <c r="AU115" t="s">
        <v>230</v>
      </c>
      <c r="AW115" s="1" t="s">
        <v>123</v>
      </c>
      <c r="AX115" t="s">
        <v>132</v>
      </c>
      <c r="CQ115" s="1" t="s">
        <v>123</v>
      </c>
      <c r="DA115" s="1" t="s">
        <v>123</v>
      </c>
      <c r="DK115" s="1" t="s">
        <v>123</v>
      </c>
      <c r="EN115" s="1" t="s">
        <v>123</v>
      </c>
      <c r="EO115" t="s">
        <v>178</v>
      </c>
      <c r="EP115" t="s">
        <v>132</v>
      </c>
      <c r="EQ115" t="s">
        <v>1082</v>
      </c>
      <c r="ER115" t="s">
        <v>151</v>
      </c>
      <c r="ES115" t="s">
        <v>151</v>
      </c>
      <c r="ET115" t="s">
        <v>151</v>
      </c>
      <c r="EU115" t="s">
        <v>178</v>
      </c>
      <c r="EW115" t="s">
        <v>1083</v>
      </c>
      <c r="EX115" t="s">
        <v>173</v>
      </c>
      <c r="FN115" s="1" t="s">
        <v>123</v>
      </c>
      <c r="FO115" t="s">
        <v>132</v>
      </c>
      <c r="FQ115" t="s">
        <v>132</v>
      </c>
      <c r="GV115" t="s">
        <v>1084</v>
      </c>
      <c r="GW115" t="s">
        <v>1085</v>
      </c>
      <c r="GX115" t="s">
        <v>1086</v>
      </c>
      <c r="GY115" t="s">
        <v>140</v>
      </c>
      <c r="GZ115">
        <v>1982</v>
      </c>
      <c r="HA115" t="s">
        <v>141</v>
      </c>
    </row>
    <row r="116" spans="1:212" x14ac:dyDescent="0.45">
      <c r="A116">
        <v>113</v>
      </c>
      <c r="B116">
        <f>_xlfn.IFNA(VLOOKUP(Wszystkie[[#This Row],[Zakończono wypełnianie]],Zakończone[],2,0),"BRAK")</f>
        <v>67</v>
      </c>
      <c r="C116" t="s">
        <v>1065</v>
      </c>
      <c r="D116" t="s">
        <v>118</v>
      </c>
      <c r="I116" t="s">
        <v>119</v>
      </c>
      <c r="J116" t="s">
        <v>1066</v>
      </c>
      <c r="K116" t="s">
        <v>1067</v>
      </c>
      <c r="L116">
        <v>2803</v>
      </c>
      <c r="M116">
        <v>0</v>
      </c>
      <c r="N116" t="s">
        <v>122</v>
      </c>
      <c r="O116" s="1" t="s">
        <v>123</v>
      </c>
      <c r="AE116" s="1" t="s">
        <v>124</v>
      </c>
      <c r="AF116" t="s">
        <v>1068</v>
      </c>
      <c r="AG116">
        <v>2019</v>
      </c>
      <c r="AH116" t="s">
        <v>148</v>
      </c>
      <c r="AI116" t="s">
        <v>1069</v>
      </c>
      <c r="AJ116" t="s">
        <v>128</v>
      </c>
      <c r="AK116" t="s">
        <v>151</v>
      </c>
      <c r="AL116" t="s">
        <v>128</v>
      </c>
      <c r="AM116" t="s">
        <v>129</v>
      </c>
      <c r="AN116" t="s">
        <v>132</v>
      </c>
      <c r="AO116" t="s">
        <v>1070</v>
      </c>
      <c r="AP116" t="s">
        <v>153</v>
      </c>
      <c r="AQ116" t="s">
        <v>132</v>
      </c>
      <c r="AS116" t="s">
        <v>1071</v>
      </c>
      <c r="AT116" t="s">
        <v>1072</v>
      </c>
      <c r="AU116" t="s">
        <v>892</v>
      </c>
      <c r="AW116" s="1" t="s">
        <v>123</v>
      </c>
      <c r="CQ116" s="1" t="s">
        <v>123</v>
      </c>
      <c r="DA116" s="1" t="s">
        <v>123</v>
      </c>
      <c r="DK116" s="1" t="s">
        <v>123</v>
      </c>
      <c r="EN116" s="1" t="s">
        <v>123</v>
      </c>
      <c r="FN116" s="1" t="s">
        <v>123</v>
      </c>
      <c r="FO116" t="s">
        <v>132</v>
      </c>
      <c r="GV116" t="s">
        <v>1073</v>
      </c>
      <c r="GW116" t="s">
        <v>1074</v>
      </c>
      <c r="GX116" t="s">
        <v>1075</v>
      </c>
      <c r="GY116" t="s">
        <v>140</v>
      </c>
      <c r="GZ116">
        <v>1991</v>
      </c>
      <c r="HA116" t="s">
        <v>398</v>
      </c>
      <c r="HD116" t="s">
        <v>1076</v>
      </c>
    </row>
    <row r="117" spans="1:212" x14ac:dyDescent="0.45">
      <c r="A117">
        <v>115</v>
      </c>
      <c r="B117">
        <f>_xlfn.IFNA(VLOOKUP(Wszystkie[[#This Row],[Zakończono wypełnianie]],Zakończone[],2,0),"BRAK")</f>
        <v>69</v>
      </c>
      <c r="C117" t="s">
        <v>1087</v>
      </c>
      <c r="D117" t="s">
        <v>118</v>
      </c>
      <c r="I117" t="s">
        <v>119</v>
      </c>
      <c r="J117" t="s">
        <v>1088</v>
      </c>
      <c r="K117" t="s">
        <v>1089</v>
      </c>
      <c r="L117">
        <v>1206</v>
      </c>
      <c r="M117">
        <v>0</v>
      </c>
      <c r="N117" t="s">
        <v>122</v>
      </c>
      <c r="O117" s="1" t="s">
        <v>123</v>
      </c>
      <c r="AE117" s="1" t="s">
        <v>124</v>
      </c>
      <c r="AF117" t="s">
        <v>1090</v>
      </c>
      <c r="AG117">
        <v>2004</v>
      </c>
      <c r="AH117" t="s">
        <v>126</v>
      </c>
      <c r="AI117" t="s">
        <v>844</v>
      </c>
      <c r="AJ117" t="s">
        <v>162</v>
      </c>
      <c r="AK117" t="s">
        <v>162</v>
      </c>
      <c r="AL117" t="s">
        <v>150</v>
      </c>
      <c r="AM117" t="s">
        <v>151</v>
      </c>
      <c r="AN117" t="s">
        <v>150</v>
      </c>
      <c r="AO117" t="s">
        <v>237</v>
      </c>
      <c r="AP117" t="s">
        <v>302</v>
      </c>
      <c r="AQ117" t="s">
        <v>226</v>
      </c>
      <c r="AR117" t="s">
        <v>1091</v>
      </c>
      <c r="AS117" t="s">
        <v>1092</v>
      </c>
      <c r="AT117" t="s">
        <v>1093</v>
      </c>
      <c r="AU117" t="s">
        <v>157</v>
      </c>
      <c r="AW117" s="1" t="s">
        <v>123</v>
      </c>
      <c r="CQ117" s="1" t="s">
        <v>123</v>
      </c>
      <c r="DA117" s="1" t="s">
        <v>123</v>
      </c>
      <c r="DK117" s="1" t="s">
        <v>123</v>
      </c>
      <c r="EN117" s="1" t="s">
        <v>123</v>
      </c>
      <c r="FN117" s="1" t="s">
        <v>123</v>
      </c>
      <c r="FO117" t="s">
        <v>132</v>
      </c>
      <c r="GV117" t="s">
        <v>1094</v>
      </c>
      <c r="GW117" t="s">
        <v>1095</v>
      </c>
      <c r="GX117" t="s">
        <v>1096</v>
      </c>
      <c r="GY117" t="s">
        <v>140</v>
      </c>
      <c r="GZ117">
        <v>1976</v>
      </c>
      <c r="HA117" t="s">
        <v>141</v>
      </c>
    </row>
    <row r="118" spans="1:212" x14ac:dyDescent="0.45">
      <c r="A118">
        <v>116</v>
      </c>
      <c r="B118" t="str">
        <f>_xlfn.IFNA(VLOOKUP(Wszystkie[[#This Row],[Zakończono wypełnianie]],Zakończone[],2,0),"BRAK")</f>
        <v>BRAK</v>
      </c>
      <c r="C118" t="s">
        <v>1087</v>
      </c>
      <c r="D118" t="s">
        <v>118</v>
      </c>
      <c r="I118" t="s">
        <v>286</v>
      </c>
      <c r="J118" t="s">
        <v>1097</v>
      </c>
      <c r="K118" t="s">
        <v>1097</v>
      </c>
      <c r="L118">
        <v>0</v>
      </c>
      <c r="M118">
        <v>0</v>
      </c>
      <c r="N118" t="s">
        <v>122</v>
      </c>
      <c r="O118" s="1" t="s">
        <v>123</v>
      </c>
      <c r="AE118" s="1" t="s">
        <v>124</v>
      </c>
      <c r="AW118" s="1" t="s">
        <v>123</v>
      </c>
      <c r="CQ118" s="1" t="s">
        <v>123</v>
      </c>
      <c r="DA118" s="1" t="s">
        <v>123</v>
      </c>
      <c r="DK118" s="1" t="s">
        <v>123</v>
      </c>
      <c r="EN118" s="1" t="s">
        <v>123</v>
      </c>
      <c r="FN118" s="1"/>
    </row>
    <row r="119" spans="1:212" x14ac:dyDescent="0.45">
      <c r="A119">
        <v>118</v>
      </c>
      <c r="B119" t="str">
        <f>_xlfn.IFNA(VLOOKUP(Wszystkie[[#This Row],[Zakończono wypełnianie]],Zakończone[],2,0),"BRAK")</f>
        <v>BRAK</v>
      </c>
      <c r="C119" t="s">
        <v>1098</v>
      </c>
      <c r="D119" t="s">
        <v>118</v>
      </c>
      <c r="I119" t="s">
        <v>286</v>
      </c>
      <c r="J119" t="s">
        <v>1106</v>
      </c>
      <c r="K119" t="s">
        <v>1106</v>
      </c>
      <c r="L119">
        <v>0</v>
      </c>
      <c r="M119">
        <v>0</v>
      </c>
      <c r="N119" t="s">
        <v>122</v>
      </c>
      <c r="O119" s="1" t="s">
        <v>416</v>
      </c>
      <c r="P119" t="s">
        <v>1107</v>
      </c>
      <c r="Q119" t="s">
        <v>126</v>
      </c>
      <c r="R119" t="s">
        <v>844</v>
      </c>
      <c r="S119" t="s">
        <v>150</v>
      </c>
      <c r="T119" t="s">
        <v>162</v>
      </c>
      <c r="U119" t="s">
        <v>129</v>
      </c>
      <c r="V119">
        <v>12</v>
      </c>
      <c r="W119" t="s">
        <v>302</v>
      </c>
      <c r="X119" t="s">
        <v>209</v>
      </c>
      <c r="Y119" t="s">
        <v>1108</v>
      </c>
      <c r="Z119" t="s">
        <v>1109</v>
      </c>
      <c r="AA119" t="s">
        <v>1110</v>
      </c>
      <c r="AB119" t="s">
        <v>172</v>
      </c>
      <c r="AD119">
        <v>7</v>
      </c>
      <c r="AE119" s="1" t="s">
        <v>123</v>
      </c>
      <c r="AW119" s="1" t="s">
        <v>159</v>
      </c>
      <c r="AX119">
        <v>3</v>
      </c>
      <c r="CQ119" s="1"/>
      <c r="DA119" s="1"/>
      <c r="DK119" s="1"/>
      <c r="EN119" s="1"/>
      <c r="FN119" s="1"/>
    </row>
    <row r="120" spans="1:212" x14ac:dyDescent="0.45">
      <c r="A120">
        <v>117</v>
      </c>
      <c r="B120">
        <f>_xlfn.IFNA(VLOOKUP(Wszystkie[[#This Row],[Zakończono wypełnianie]],Zakończone[],2,0),"BRAK")</f>
        <v>70</v>
      </c>
      <c r="C120" t="s">
        <v>1098</v>
      </c>
      <c r="D120" t="s">
        <v>118</v>
      </c>
      <c r="I120" t="s">
        <v>119</v>
      </c>
      <c r="J120" t="s">
        <v>1099</v>
      </c>
      <c r="K120" t="s">
        <v>1100</v>
      </c>
      <c r="L120">
        <v>358</v>
      </c>
      <c r="M120">
        <v>0</v>
      </c>
      <c r="N120" t="s">
        <v>122</v>
      </c>
      <c r="O120" s="1" t="s">
        <v>123</v>
      </c>
      <c r="AE120" s="1" t="s">
        <v>124</v>
      </c>
      <c r="AF120" t="s">
        <v>1090</v>
      </c>
      <c r="AG120">
        <v>2018</v>
      </c>
      <c r="AH120" t="s">
        <v>126</v>
      </c>
      <c r="AI120" t="s">
        <v>844</v>
      </c>
      <c r="AJ120" t="s">
        <v>150</v>
      </c>
      <c r="AK120" t="s">
        <v>151</v>
      </c>
      <c r="AL120" t="s">
        <v>162</v>
      </c>
      <c r="AM120" t="s">
        <v>150</v>
      </c>
      <c r="AN120" t="s">
        <v>132</v>
      </c>
      <c r="AO120">
        <v>1</v>
      </c>
      <c r="AP120" t="s">
        <v>153</v>
      </c>
      <c r="AQ120" t="s">
        <v>132</v>
      </c>
      <c r="AS120" t="s">
        <v>1101</v>
      </c>
      <c r="AT120" t="s">
        <v>1102</v>
      </c>
      <c r="AU120" t="s">
        <v>157</v>
      </c>
      <c r="AW120" s="1" t="s">
        <v>123</v>
      </c>
      <c r="AX120" t="s">
        <v>132</v>
      </c>
      <c r="CQ120" s="1" t="s">
        <v>123</v>
      </c>
      <c r="DA120" s="1" t="s">
        <v>123</v>
      </c>
      <c r="DK120" s="1" t="s">
        <v>123</v>
      </c>
      <c r="EN120" s="1" t="s">
        <v>123</v>
      </c>
      <c r="FN120" s="1" t="s">
        <v>123</v>
      </c>
      <c r="GV120" t="s">
        <v>1103</v>
      </c>
      <c r="GW120" t="s">
        <v>1104</v>
      </c>
      <c r="GX120" t="s">
        <v>1105</v>
      </c>
      <c r="GY120" t="s">
        <v>140</v>
      </c>
      <c r="GZ120">
        <v>1991</v>
      </c>
      <c r="HA120" t="s">
        <v>141</v>
      </c>
    </row>
    <row r="121" spans="1:212" x14ac:dyDescent="0.45">
      <c r="A121">
        <v>119</v>
      </c>
      <c r="B121" t="str">
        <f>_xlfn.IFNA(VLOOKUP(Wszystkie[[#This Row],[Zakończono wypełnianie]],Zakończone[],2,0),"BRAK")</f>
        <v>BRAK</v>
      </c>
      <c r="C121" t="s">
        <v>1098</v>
      </c>
      <c r="D121" t="s">
        <v>118</v>
      </c>
      <c r="I121" t="s">
        <v>286</v>
      </c>
      <c r="J121" t="s">
        <v>1111</v>
      </c>
      <c r="K121" t="s">
        <v>1111</v>
      </c>
      <c r="L121">
        <v>0</v>
      </c>
      <c r="M121">
        <v>0</v>
      </c>
      <c r="N121" t="s">
        <v>122</v>
      </c>
      <c r="O121" s="1" t="s">
        <v>123</v>
      </c>
      <c r="AE121" s="1" t="s">
        <v>124</v>
      </c>
      <c r="AF121" t="s">
        <v>1090</v>
      </c>
      <c r="AG121">
        <v>2001</v>
      </c>
      <c r="AH121" t="s">
        <v>126</v>
      </c>
      <c r="AI121" t="s">
        <v>844</v>
      </c>
      <c r="AJ121" t="s">
        <v>162</v>
      </c>
      <c r="AK121" t="s">
        <v>162</v>
      </c>
      <c r="AL121" t="s">
        <v>151</v>
      </c>
      <c r="AM121" t="s">
        <v>162</v>
      </c>
      <c r="AN121" t="s">
        <v>151</v>
      </c>
      <c r="AO121">
        <v>1</v>
      </c>
      <c r="AP121" t="s">
        <v>302</v>
      </c>
      <c r="AQ121" t="s">
        <v>153</v>
      </c>
      <c r="AU121" t="s">
        <v>172</v>
      </c>
      <c r="AW121" s="1"/>
      <c r="CQ121" s="1"/>
      <c r="DA121" s="1"/>
      <c r="DK121" s="1"/>
      <c r="EN121" s="1"/>
      <c r="FN121" s="1"/>
    </row>
    <row r="122" spans="1:212" x14ac:dyDescent="0.45">
      <c r="A122">
        <v>120</v>
      </c>
      <c r="B122" t="str">
        <f>_xlfn.IFNA(VLOOKUP(Wszystkie[[#This Row],[Zakończono wypełnianie]],Zakończone[],2,0),"BRAK")</f>
        <v>BRAK</v>
      </c>
      <c r="C122" t="s">
        <v>1098</v>
      </c>
      <c r="D122" t="s">
        <v>118</v>
      </c>
      <c r="I122" t="s">
        <v>286</v>
      </c>
      <c r="J122" t="s">
        <v>1112</v>
      </c>
      <c r="K122" t="s">
        <v>1112</v>
      </c>
      <c r="L122">
        <v>0</v>
      </c>
      <c r="M122">
        <v>0</v>
      </c>
      <c r="N122" t="s">
        <v>122</v>
      </c>
      <c r="O122" s="1"/>
      <c r="AE122" s="1"/>
      <c r="AW122" s="1"/>
      <c r="CQ122" s="1"/>
      <c r="DA122" s="1"/>
      <c r="DK122" s="1"/>
      <c r="EN122" s="1"/>
      <c r="FN122" s="1"/>
    </row>
    <row r="123" spans="1:212" x14ac:dyDescent="0.45">
      <c r="A123">
        <v>121</v>
      </c>
      <c r="B123" t="str">
        <f>_xlfn.IFNA(VLOOKUP(Wszystkie[[#This Row],[Zakończono wypełnianie]],Zakończone[],2,0),"BRAK")</f>
        <v>BRAK</v>
      </c>
      <c r="C123" t="s">
        <v>1098</v>
      </c>
      <c r="D123" t="s">
        <v>118</v>
      </c>
      <c r="I123" t="s">
        <v>286</v>
      </c>
      <c r="J123" t="s">
        <v>1113</v>
      </c>
      <c r="K123" t="s">
        <v>1113</v>
      </c>
      <c r="L123">
        <v>0</v>
      </c>
      <c r="M123">
        <v>0</v>
      </c>
      <c r="N123" t="s">
        <v>122</v>
      </c>
      <c r="O123" s="1" t="s">
        <v>123</v>
      </c>
      <c r="AE123" s="1" t="s">
        <v>124</v>
      </c>
      <c r="AF123" t="s">
        <v>1114</v>
      </c>
      <c r="AG123">
        <v>1977</v>
      </c>
      <c r="AH123" t="s">
        <v>126</v>
      </c>
      <c r="AI123" t="s">
        <v>1115</v>
      </c>
      <c r="AJ123" t="s">
        <v>169</v>
      </c>
      <c r="AK123" t="s">
        <v>150</v>
      </c>
      <c r="AL123" t="s">
        <v>151</v>
      </c>
      <c r="AM123" t="s">
        <v>236</v>
      </c>
      <c r="AN123" t="s">
        <v>236</v>
      </c>
      <c r="AO123" t="s">
        <v>1116</v>
      </c>
      <c r="AP123" t="s">
        <v>131</v>
      </c>
      <c r="AQ123" t="s">
        <v>302</v>
      </c>
      <c r="AR123" t="s">
        <v>1117</v>
      </c>
      <c r="AS123" t="s">
        <v>1118</v>
      </c>
      <c r="AT123" t="s">
        <v>1119</v>
      </c>
      <c r="AU123" t="s">
        <v>157</v>
      </c>
      <c r="AW123" s="1" t="s">
        <v>159</v>
      </c>
      <c r="AX123">
        <v>2</v>
      </c>
      <c r="AY123" t="s">
        <v>1120</v>
      </c>
      <c r="AZ123">
        <v>2002</v>
      </c>
      <c r="BA123" t="s">
        <v>148</v>
      </c>
      <c r="BB123" t="s">
        <v>1121</v>
      </c>
      <c r="BC123" t="s">
        <v>150</v>
      </c>
      <c r="BD123" t="s">
        <v>150</v>
      </c>
      <c r="BE123" t="s">
        <v>150</v>
      </c>
      <c r="BF123" t="s">
        <v>129</v>
      </c>
      <c r="BG123" t="s">
        <v>129</v>
      </c>
      <c r="BH123" t="s">
        <v>1122</v>
      </c>
      <c r="BI123" t="s">
        <v>1123</v>
      </c>
      <c r="BJ123" t="s">
        <v>157</v>
      </c>
      <c r="BM123" t="s">
        <v>166</v>
      </c>
      <c r="BN123" t="s">
        <v>1124</v>
      </c>
      <c r="BO123">
        <v>2012</v>
      </c>
      <c r="BP123" t="s">
        <v>148</v>
      </c>
      <c r="BQ123" t="s">
        <v>1125</v>
      </c>
      <c r="BR123" t="s">
        <v>150</v>
      </c>
      <c r="BS123" t="s">
        <v>169</v>
      </c>
      <c r="BT123" t="s">
        <v>151</v>
      </c>
      <c r="BU123" t="s">
        <v>236</v>
      </c>
      <c r="BV123" t="s">
        <v>151</v>
      </c>
      <c r="BW123" t="s">
        <v>1126</v>
      </c>
      <c r="BX123" t="s">
        <v>1127</v>
      </c>
      <c r="BY123" t="s">
        <v>230</v>
      </c>
      <c r="CB123" t="s">
        <v>173</v>
      </c>
      <c r="CQ123" s="1" t="s">
        <v>123</v>
      </c>
      <c r="DA123" s="1" t="s">
        <v>214</v>
      </c>
      <c r="DB123" t="s">
        <v>1114</v>
      </c>
      <c r="DC123" t="s">
        <v>1128</v>
      </c>
      <c r="DD123" t="s">
        <v>150</v>
      </c>
      <c r="DE123" t="s">
        <v>162</v>
      </c>
      <c r="DF123" t="s">
        <v>151</v>
      </c>
      <c r="DG123" t="s">
        <v>150</v>
      </c>
      <c r="DH123" t="s">
        <v>150</v>
      </c>
      <c r="DI123" t="s">
        <v>150</v>
      </c>
      <c r="DJ123" t="s">
        <v>1129</v>
      </c>
      <c r="DK123" s="1" t="s">
        <v>174</v>
      </c>
      <c r="DO123" t="s">
        <v>175</v>
      </c>
      <c r="DP123" t="s">
        <v>1130</v>
      </c>
      <c r="DQ123" t="s">
        <v>162</v>
      </c>
      <c r="DR123" t="s">
        <v>150</v>
      </c>
      <c r="DS123" t="s">
        <v>151</v>
      </c>
      <c r="DT123" t="s">
        <v>151</v>
      </c>
      <c r="DU123" t="s">
        <v>150</v>
      </c>
      <c r="DV123" t="s">
        <v>162</v>
      </c>
      <c r="DW123" t="s">
        <v>162</v>
      </c>
      <c r="EN123" s="1"/>
      <c r="FN123" s="1"/>
    </row>
    <row r="124" spans="1:212" x14ac:dyDescent="0.45">
      <c r="A124">
        <v>122</v>
      </c>
      <c r="B124">
        <f>_xlfn.IFNA(VLOOKUP(Wszystkie[[#This Row],[Zakończono wypełnianie]],Zakończone[],2,0),"BRAK")</f>
        <v>71</v>
      </c>
      <c r="C124" t="s">
        <v>1131</v>
      </c>
      <c r="D124" t="s">
        <v>118</v>
      </c>
      <c r="I124" t="s">
        <v>119</v>
      </c>
      <c r="J124" t="s">
        <v>1132</v>
      </c>
      <c r="K124" t="s">
        <v>1133</v>
      </c>
      <c r="L124">
        <v>3215</v>
      </c>
      <c r="M124">
        <v>0</v>
      </c>
      <c r="N124" t="s">
        <v>122</v>
      </c>
      <c r="O124" s="1" t="s">
        <v>123</v>
      </c>
      <c r="AE124" s="1" t="s">
        <v>124</v>
      </c>
      <c r="AF124" t="s">
        <v>191</v>
      </c>
      <c r="AG124">
        <v>2015</v>
      </c>
      <c r="AH124" t="s">
        <v>126</v>
      </c>
      <c r="AI124" t="s">
        <v>1134</v>
      </c>
      <c r="AJ124" t="s">
        <v>128</v>
      </c>
      <c r="AK124" t="s">
        <v>151</v>
      </c>
      <c r="AL124" t="s">
        <v>169</v>
      </c>
      <c r="AM124" t="s">
        <v>162</v>
      </c>
      <c r="AN124" t="s">
        <v>150</v>
      </c>
      <c r="AO124">
        <v>1</v>
      </c>
      <c r="AP124" t="s">
        <v>302</v>
      </c>
      <c r="AQ124" t="s">
        <v>226</v>
      </c>
      <c r="AR124" t="s">
        <v>1135</v>
      </c>
      <c r="AS124" t="s">
        <v>1136</v>
      </c>
      <c r="AT124" t="s">
        <v>1137</v>
      </c>
      <c r="AU124" t="s">
        <v>172</v>
      </c>
      <c r="AW124" s="1" t="s">
        <v>123</v>
      </c>
      <c r="AX124" t="s">
        <v>132</v>
      </c>
      <c r="CQ124" s="1" t="s">
        <v>123</v>
      </c>
      <c r="DA124" s="1" t="s">
        <v>123</v>
      </c>
      <c r="DK124" s="1" t="s">
        <v>123</v>
      </c>
      <c r="EN124" s="1" t="s">
        <v>123</v>
      </c>
      <c r="FN124" s="1" t="s">
        <v>123</v>
      </c>
      <c r="GV124" t="s">
        <v>1138</v>
      </c>
      <c r="GW124" t="s">
        <v>1139</v>
      </c>
      <c r="GX124" t="s">
        <v>1140</v>
      </c>
      <c r="GY124" t="s">
        <v>186</v>
      </c>
      <c r="GZ124">
        <v>1991</v>
      </c>
      <c r="HA124" t="s">
        <v>141</v>
      </c>
      <c r="HC124" t="s">
        <v>1141</v>
      </c>
    </row>
    <row r="125" spans="1:212" x14ac:dyDescent="0.45">
      <c r="A125">
        <v>123</v>
      </c>
      <c r="B125">
        <f>_xlfn.IFNA(VLOOKUP(Wszystkie[[#This Row],[Zakończono wypełnianie]],Zakończone[],2,0),"BRAK")</f>
        <v>72</v>
      </c>
      <c r="C125" t="s">
        <v>1142</v>
      </c>
      <c r="D125" t="s">
        <v>118</v>
      </c>
      <c r="I125" t="s">
        <v>119</v>
      </c>
      <c r="J125" t="s">
        <v>1143</v>
      </c>
      <c r="K125" t="s">
        <v>1144</v>
      </c>
      <c r="L125">
        <v>258</v>
      </c>
      <c r="M125">
        <v>0</v>
      </c>
      <c r="N125" t="s">
        <v>122</v>
      </c>
      <c r="O125" s="1" t="s">
        <v>123</v>
      </c>
      <c r="AE125" s="1" t="s">
        <v>124</v>
      </c>
      <c r="AF125" t="s">
        <v>1145</v>
      </c>
      <c r="AG125">
        <v>2016</v>
      </c>
      <c r="AH125" t="s">
        <v>126</v>
      </c>
      <c r="AI125" t="s">
        <v>1146</v>
      </c>
      <c r="AJ125" t="s">
        <v>150</v>
      </c>
      <c r="AK125" t="s">
        <v>150</v>
      </c>
      <c r="AL125" t="s">
        <v>169</v>
      </c>
      <c r="AM125" t="s">
        <v>169</v>
      </c>
      <c r="AN125" t="s">
        <v>169</v>
      </c>
      <c r="AO125">
        <v>3</v>
      </c>
      <c r="AP125" t="s">
        <v>302</v>
      </c>
      <c r="AQ125" t="s">
        <v>943</v>
      </c>
      <c r="AS125" t="s">
        <v>1147</v>
      </c>
      <c r="AT125" t="s">
        <v>1148</v>
      </c>
      <c r="AU125" t="s">
        <v>892</v>
      </c>
      <c r="AW125" s="1" t="s">
        <v>123</v>
      </c>
      <c r="AX125" t="s">
        <v>132</v>
      </c>
      <c r="CQ125" s="1" t="s">
        <v>123</v>
      </c>
      <c r="DA125" s="1" t="s">
        <v>123</v>
      </c>
      <c r="DK125" s="1" t="s">
        <v>123</v>
      </c>
      <c r="EN125" s="1" t="s">
        <v>123</v>
      </c>
      <c r="EO125" t="s">
        <v>178</v>
      </c>
      <c r="EP125">
        <v>1</v>
      </c>
      <c r="FN125" s="1" t="s">
        <v>123</v>
      </c>
      <c r="GV125" t="s">
        <v>1149</v>
      </c>
      <c r="GW125" t="s">
        <v>1149</v>
      </c>
      <c r="GX125" t="s">
        <v>1150</v>
      </c>
      <c r="GY125" t="s">
        <v>186</v>
      </c>
      <c r="GZ125">
        <v>1986</v>
      </c>
      <c r="HA125" t="s">
        <v>398</v>
      </c>
    </row>
    <row r="126" spans="1:212" x14ac:dyDescent="0.45">
      <c r="A126">
        <v>124</v>
      </c>
      <c r="B126">
        <f>_xlfn.IFNA(VLOOKUP(Wszystkie[[#This Row],[Zakończono wypełnianie]],Zakończone[],2,0),"BRAK")</f>
        <v>73</v>
      </c>
      <c r="C126" t="s">
        <v>1151</v>
      </c>
      <c r="D126" t="s">
        <v>118</v>
      </c>
      <c r="E126" t="s">
        <v>1152</v>
      </c>
      <c r="I126" t="s">
        <v>119</v>
      </c>
      <c r="J126" t="s">
        <v>1153</v>
      </c>
      <c r="K126" t="s">
        <v>1154</v>
      </c>
      <c r="L126">
        <v>1159</v>
      </c>
      <c r="M126">
        <v>0</v>
      </c>
      <c r="N126" t="s">
        <v>122</v>
      </c>
      <c r="O126" s="1" t="s">
        <v>123</v>
      </c>
      <c r="AE126" s="1" t="s">
        <v>124</v>
      </c>
      <c r="AF126" t="s">
        <v>191</v>
      </c>
      <c r="AG126">
        <v>2018</v>
      </c>
      <c r="AH126" t="s">
        <v>126</v>
      </c>
      <c r="AI126" t="s">
        <v>969</v>
      </c>
      <c r="AJ126" t="s">
        <v>150</v>
      </c>
      <c r="AK126" t="s">
        <v>150</v>
      </c>
      <c r="AL126" t="s">
        <v>162</v>
      </c>
      <c r="AM126" t="s">
        <v>128</v>
      </c>
      <c r="AN126" t="s">
        <v>151</v>
      </c>
      <c r="AO126" t="s">
        <v>530</v>
      </c>
      <c r="AP126" t="s">
        <v>131</v>
      </c>
      <c r="AQ126" t="s">
        <v>302</v>
      </c>
      <c r="AR126" t="s">
        <v>1155</v>
      </c>
      <c r="AS126" t="s">
        <v>1156</v>
      </c>
      <c r="AT126" t="s">
        <v>1157</v>
      </c>
      <c r="AU126" t="s">
        <v>230</v>
      </c>
      <c r="AV126" t="s">
        <v>1158</v>
      </c>
      <c r="AW126" s="1" t="s">
        <v>123</v>
      </c>
      <c r="CQ126" s="1" t="s">
        <v>123</v>
      </c>
      <c r="DA126" s="1" t="s">
        <v>123</v>
      </c>
      <c r="DK126" s="1" t="s">
        <v>123</v>
      </c>
      <c r="EN126" s="1" t="s">
        <v>123</v>
      </c>
      <c r="FN126" s="1" t="s">
        <v>123</v>
      </c>
      <c r="GV126" t="s">
        <v>1159</v>
      </c>
      <c r="GW126" t="s">
        <v>1160</v>
      </c>
      <c r="GX126" t="s">
        <v>1161</v>
      </c>
      <c r="GY126" t="s">
        <v>140</v>
      </c>
      <c r="GZ126">
        <v>1991</v>
      </c>
      <c r="HA126" t="s">
        <v>483</v>
      </c>
      <c r="HC126" t="s">
        <v>1162</v>
      </c>
      <c r="HD126" t="s">
        <v>142</v>
      </c>
    </row>
    <row r="127" spans="1:212" x14ac:dyDescent="0.45">
      <c r="A127">
        <v>125</v>
      </c>
      <c r="B127">
        <f>_xlfn.IFNA(VLOOKUP(Wszystkie[[#This Row],[Zakończono wypełnianie]],Zakończone[],2,0),"BRAK")</f>
        <v>74</v>
      </c>
      <c r="C127" t="s">
        <v>1163</v>
      </c>
      <c r="D127" t="s">
        <v>118</v>
      </c>
      <c r="I127" t="s">
        <v>119</v>
      </c>
      <c r="J127" t="s">
        <v>1164</v>
      </c>
      <c r="K127" t="s">
        <v>1165</v>
      </c>
      <c r="L127">
        <v>982</v>
      </c>
      <c r="M127">
        <v>0</v>
      </c>
      <c r="N127" t="s">
        <v>122</v>
      </c>
      <c r="O127" s="1" t="s">
        <v>123</v>
      </c>
      <c r="AE127" s="1" t="s">
        <v>124</v>
      </c>
      <c r="AF127" t="s">
        <v>191</v>
      </c>
      <c r="AG127" t="s">
        <v>1166</v>
      </c>
      <c r="AH127" t="s">
        <v>148</v>
      </c>
      <c r="AI127" t="s">
        <v>1167</v>
      </c>
      <c r="AJ127" t="s">
        <v>169</v>
      </c>
      <c r="AK127" t="s">
        <v>169</v>
      </c>
      <c r="AL127" t="s">
        <v>169</v>
      </c>
      <c r="AM127" t="s">
        <v>150</v>
      </c>
      <c r="AN127" t="s">
        <v>150</v>
      </c>
      <c r="AO127" t="s">
        <v>1168</v>
      </c>
      <c r="AP127" t="s">
        <v>132</v>
      </c>
      <c r="AQ127" t="s">
        <v>132</v>
      </c>
      <c r="AR127" t="s">
        <v>1169</v>
      </c>
      <c r="AS127" t="s">
        <v>1170</v>
      </c>
      <c r="AT127" t="s">
        <v>132</v>
      </c>
      <c r="AV127" t="s">
        <v>1171</v>
      </c>
      <c r="AW127" s="1" t="s">
        <v>159</v>
      </c>
      <c r="AX127">
        <v>1</v>
      </c>
      <c r="AY127" t="s">
        <v>1172</v>
      </c>
      <c r="AZ127">
        <v>2020</v>
      </c>
      <c r="BA127" t="s">
        <v>148</v>
      </c>
      <c r="BB127" t="s">
        <v>927</v>
      </c>
      <c r="BC127" t="s">
        <v>132</v>
      </c>
      <c r="BD127" t="s">
        <v>132</v>
      </c>
      <c r="BE127" t="s">
        <v>132</v>
      </c>
      <c r="BF127" t="s">
        <v>132</v>
      </c>
      <c r="BG127" t="s">
        <v>132</v>
      </c>
      <c r="BH127" t="s">
        <v>1173</v>
      </c>
      <c r="BI127" t="s">
        <v>1174</v>
      </c>
      <c r="BJ127" t="s">
        <v>230</v>
      </c>
      <c r="BL127" t="s">
        <v>1175</v>
      </c>
      <c r="BM127" t="s">
        <v>173</v>
      </c>
      <c r="CQ127" s="1" t="s">
        <v>123</v>
      </c>
      <c r="DA127" s="1" t="s">
        <v>214</v>
      </c>
      <c r="DB127" t="s">
        <v>747</v>
      </c>
      <c r="DC127" t="s">
        <v>1176</v>
      </c>
      <c r="DD127" t="s">
        <v>169</v>
      </c>
      <c r="DE127" t="s">
        <v>162</v>
      </c>
      <c r="DF127" t="s">
        <v>150</v>
      </c>
      <c r="DG127" t="s">
        <v>169</v>
      </c>
      <c r="DH127" t="s">
        <v>150</v>
      </c>
      <c r="DI127" t="s">
        <v>150</v>
      </c>
      <c r="DJ127" t="s">
        <v>1177</v>
      </c>
      <c r="DK127" s="1" t="s">
        <v>174</v>
      </c>
      <c r="DN127" t="s">
        <v>1178</v>
      </c>
      <c r="DP127" t="s">
        <v>747</v>
      </c>
      <c r="DQ127" t="s">
        <v>150</v>
      </c>
      <c r="DR127" t="s">
        <v>150</v>
      </c>
      <c r="DS127" t="s">
        <v>150</v>
      </c>
      <c r="DT127" t="s">
        <v>150</v>
      </c>
      <c r="DU127" t="s">
        <v>162</v>
      </c>
      <c r="DV127" t="s">
        <v>162</v>
      </c>
      <c r="DW127" t="s">
        <v>162</v>
      </c>
      <c r="DX127">
        <v>25</v>
      </c>
      <c r="DY127">
        <v>10</v>
      </c>
      <c r="DZ127">
        <v>0</v>
      </c>
      <c r="EA127">
        <v>10</v>
      </c>
      <c r="EB127">
        <v>25</v>
      </c>
      <c r="EC127">
        <v>15</v>
      </c>
      <c r="ED127">
        <v>15</v>
      </c>
      <c r="EF127">
        <v>10</v>
      </c>
      <c r="EG127">
        <v>10</v>
      </c>
      <c r="EH127">
        <v>0</v>
      </c>
      <c r="EI127">
        <v>10</v>
      </c>
      <c r="EJ127">
        <v>50</v>
      </c>
      <c r="EK127">
        <v>10</v>
      </c>
      <c r="EL127">
        <v>10</v>
      </c>
      <c r="EN127" s="1" t="s">
        <v>123</v>
      </c>
      <c r="FN127" s="1" t="s">
        <v>123</v>
      </c>
      <c r="GV127" t="s">
        <v>1179</v>
      </c>
      <c r="GW127" t="s">
        <v>1180</v>
      </c>
      <c r="GX127" t="s">
        <v>1181</v>
      </c>
      <c r="GY127" t="s">
        <v>186</v>
      </c>
      <c r="GZ127" t="s">
        <v>1182</v>
      </c>
      <c r="HA127" t="s">
        <v>141</v>
      </c>
      <c r="HC127" t="s">
        <v>1183</v>
      </c>
    </row>
    <row r="128" spans="1:212" x14ac:dyDescent="0.45">
      <c r="A128">
        <v>126</v>
      </c>
      <c r="B128">
        <f>_xlfn.IFNA(VLOOKUP(Wszystkie[[#This Row],[Zakończono wypełnianie]],Zakończone[],2,0),"BRAK")</f>
        <v>75</v>
      </c>
      <c r="C128" t="s">
        <v>1151</v>
      </c>
      <c r="D128" t="s">
        <v>118</v>
      </c>
      <c r="E128" t="s">
        <v>359</v>
      </c>
      <c r="I128" t="s">
        <v>119</v>
      </c>
      <c r="J128" t="s">
        <v>1184</v>
      </c>
      <c r="K128" t="s">
        <v>1185</v>
      </c>
      <c r="L128">
        <v>739</v>
      </c>
      <c r="M128">
        <v>0</v>
      </c>
      <c r="N128" t="s">
        <v>122</v>
      </c>
      <c r="O128" s="1" t="s">
        <v>123</v>
      </c>
      <c r="AE128" s="1" t="s">
        <v>124</v>
      </c>
      <c r="AF128" t="s">
        <v>191</v>
      </c>
      <c r="AG128">
        <v>2018</v>
      </c>
      <c r="AH128" t="s">
        <v>126</v>
      </c>
      <c r="AI128" t="s">
        <v>1186</v>
      </c>
      <c r="AJ128" t="s">
        <v>151</v>
      </c>
      <c r="AK128" t="s">
        <v>162</v>
      </c>
      <c r="AL128" t="s">
        <v>169</v>
      </c>
      <c r="AM128" t="s">
        <v>150</v>
      </c>
      <c r="AN128" t="s">
        <v>132</v>
      </c>
      <c r="AO128" t="s">
        <v>959</v>
      </c>
      <c r="AP128" t="s">
        <v>302</v>
      </c>
      <c r="AQ128" t="s">
        <v>226</v>
      </c>
      <c r="AR128" t="s">
        <v>1187</v>
      </c>
      <c r="AS128" t="s">
        <v>1188</v>
      </c>
      <c r="AT128" t="s">
        <v>1189</v>
      </c>
      <c r="AU128" t="s">
        <v>172</v>
      </c>
      <c r="AW128" s="1" t="s">
        <v>123</v>
      </c>
      <c r="AX128" t="s">
        <v>132</v>
      </c>
      <c r="CQ128" s="1" t="s">
        <v>123</v>
      </c>
      <c r="DA128" s="1" t="s">
        <v>123</v>
      </c>
      <c r="DK128" s="1" t="s">
        <v>123</v>
      </c>
      <c r="EN128" s="1" t="s">
        <v>123</v>
      </c>
      <c r="FN128" s="1" t="s">
        <v>123</v>
      </c>
      <c r="GV128" t="s">
        <v>276</v>
      </c>
      <c r="GW128" t="s">
        <v>1190</v>
      </c>
      <c r="GX128" t="s">
        <v>1191</v>
      </c>
      <c r="GY128" t="s">
        <v>186</v>
      </c>
      <c r="GZ128">
        <v>1991</v>
      </c>
      <c r="HA128" t="s">
        <v>141</v>
      </c>
    </row>
    <row r="129" spans="1:212" x14ac:dyDescent="0.45">
      <c r="A129">
        <v>127</v>
      </c>
      <c r="B129">
        <f>_xlfn.IFNA(VLOOKUP(Wszystkie[[#This Row],[Zakończono wypełnianie]],Zakończone[],2,0),"BRAK")</f>
        <v>76</v>
      </c>
      <c r="C129" t="s">
        <v>1192</v>
      </c>
      <c r="D129" t="s">
        <v>118</v>
      </c>
      <c r="I129" t="s">
        <v>119</v>
      </c>
      <c r="J129" t="s">
        <v>1193</v>
      </c>
      <c r="K129" t="s">
        <v>1194</v>
      </c>
      <c r="L129">
        <v>1676</v>
      </c>
      <c r="M129">
        <v>0</v>
      </c>
      <c r="N129" t="s">
        <v>122</v>
      </c>
      <c r="O129" s="1" t="s">
        <v>123</v>
      </c>
      <c r="AE129" s="1" t="s">
        <v>124</v>
      </c>
      <c r="AF129" t="s">
        <v>223</v>
      </c>
      <c r="AG129">
        <v>1998</v>
      </c>
      <c r="AH129" t="s">
        <v>148</v>
      </c>
      <c r="AI129" t="s">
        <v>1195</v>
      </c>
      <c r="AJ129" t="s">
        <v>162</v>
      </c>
      <c r="AK129" t="s">
        <v>151</v>
      </c>
      <c r="AL129" t="s">
        <v>151</v>
      </c>
      <c r="AM129" t="s">
        <v>236</v>
      </c>
      <c r="AN129" t="s">
        <v>151</v>
      </c>
      <c r="AO129">
        <v>0</v>
      </c>
      <c r="AP129" t="s">
        <v>131</v>
      </c>
      <c r="AQ129" t="s">
        <v>302</v>
      </c>
      <c r="AR129" t="s">
        <v>1196</v>
      </c>
      <c r="AS129" t="s">
        <v>1196</v>
      </c>
      <c r="AT129" t="s">
        <v>1197</v>
      </c>
      <c r="AU129" t="s">
        <v>157</v>
      </c>
      <c r="AW129" s="1" t="s">
        <v>123</v>
      </c>
      <c r="CQ129" s="1" t="s">
        <v>123</v>
      </c>
      <c r="DA129" s="1" t="s">
        <v>123</v>
      </c>
      <c r="DK129" s="1" t="s">
        <v>123</v>
      </c>
      <c r="EN129" s="1" t="s">
        <v>177</v>
      </c>
      <c r="EO129" t="s">
        <v>180</v>
      </c>
      <c r="EP129" t="s">
        <v>132</v>
      </c>
      <c r="EQ129" t="s">
        <v>132</v>
      </c>
      <c r="ER129" t="s">
        <v>151</v>
      </c>
      <c r="ES129" t="s">
        <v>151</v>
      </c>
      <c r="ET129" t="s">
        <v>151</v>
      </c>
      <c r="EU129" t="s">
        <v>178</v>
      </c>
      <c r="EV129" t="s">
        <v>132</v>
      </c>
      <c r="EW129" t="s">
        <v>132</v>
      </c>
      <c r="EX129" t="s">
        <v>173</v>
      </c>
      <c r="FN129" s="1" t="s">
        <v>123</v>
      </c>
      <c r="GV129" t="s">
        <v>1198</v>
      </c>
      <c r="GW129" t="s">
        <v>1199</v>
      </c>
      <c r="GX129" t="s">
        <v>1198</v>
      </c>
      <c r="GY129" t="s">
        <v>186</v>
      </c>
      <c r="GZ129">
        <v>1974</v>
      </c>
      <c r="HA129" t="s">
        <v>141</v>
      </c>
      <c r="HB129" t="s">
        <v>313</v>
      </c>
    </row>
    <row r="130" spans="1:212" x14ac:dyDescent="0.45">
      <c r="A130">
        <v>128</v>
      </c>
      <c r="B130">
        <f>_xlfn.IFNA(VLOOKUP(Wszystkie[[#This Row],[Zakończono wypełnianie]],Zakończone[],2,0),"BRAK")</f>
        <v>77</v>
      </c>
      <c r="C130" t="s">
        <v>1200</v>
      </c>
      <c r="D130" t="s">
        <v>118</v>
      </c>
      <c r="I130" t="s">
        <v>119</v>
      </c>
      <c r="J130" t="s">
        <v>1201</v>
      </c>
      <c r="K130" t="s">
        <v>1202</v>
      </c>
      <c r="L130">
        <v>658</v>
      </c>
      <c r="M130">
        <v>0</v>
      </c>
      <c r="N130" t="s">
        <v>122</v>
      </c>
      <c r="O130" s="1" t="s">
        <v>123</v>
      </c>
      <c r="AE130" s="1" t="s">
        <v>123</v>
      </c>
      <c r="AW130" s="1" t="s">
        <v>123</v>
      </c>
      <c r="AX130" t="s">
        <v>132</v>
      </c>
      <c r="CQ130" s="1" t="s">
        <v>123</v>
      </c>
      <c r="DA130" s="1" t="s">
        <v>214</v>
      </c>
      <c r="DB130" t="s">
        <v>191</v>
      </c>
      <c r="DC130" t="s">
        <v>308</v>
      </c>
      <c r="DD130" t="s">
        <v>162</v>
      </c>
      <c r="DE130" t="s">
        <v>162</v>
      </c>
      <c r="DF130" t="s">
        <v>150</v>
      </c>
      <c r="DG130" t="s">
        <v>150</v>
      </c>
      <c r="DH130" t="s">
        <v>150</v>
      </c>
      <c r="DI130" t="s">
        <v>169</v>
      </c>
      <c r="DJ130" t="s">
        <v>1203</v>
      </c>
      <c r="DK130" s="1" t="s">
        <v>123</v>
      </c>
      <c r="EN130" s="1" t="s">
        <v>177</v>
      </c>
      <c r="EO130" t="s">
        <v>178</v>
      </c>
      <c r="EP130">
        <v>2</v>
      </c>
      <c r="EQ130" t="s">
        <v>191</v>
      </c>
      <c r="ER130" t="s">
        <v>169</v>
      </c>
      <c r="ES130" t="s">
        <v>169</v>
      </c>
      <c r="ET130" t="s">
        <v>169</v>
      </c>
      <c r="EU130" t="s">
        <v>178</v>
      </c>
      <c r="EV130" t="s">
        <v>1204</v>
      </c>
      <c r="EW130" t="s">
        <v>1205</v>
      </c>
      <c r="EX130" t="s">
        <v>1206</v>
      </c>
      <c r="EY130" t="s">
        <v>223</v>
      </c>
      <c r="EZ130" t="s">
        <v>128</v>
      </c>
      <c r="FA130" t="s">
        <v>236</v>
      </c>
      <c r="FB130" t="s">
        <v>129</v>
      </c>
      <c r="FC130" t="s">
        <v>178</v>
      </c>
      <c r="FD130" t="s">
        <v>960</v>
      </c>
      <c r="FE130" t="s">
        <v>1207</v>
      </c>
      <c r="FF130" t="s">
        <v>173</v>
      </c>
      <c r="FN130" s="1" t="s">
        <v>123</v>
      </c>
      <c r="GV130" t="s">
        <v>1208</v>
      </c>
      <c r="GW130" t="s">
        <v>1209</v>
      </c>
      <c r="GX130" t="s">
        <v>1210</v>
      </c>
      <c r="GY130" t="s">
        <v>186</v>
      </c>
      <c r="GZ130">
        <v>1987</v>
      </c>
      <c r="HA130" t="s">
        <v>141</v>
      </c>
      <c r="HC130" t="s">
        <v>191</v>
      </c>
    </row>
    <row r="131" spans="1:212" x14ac:dyDescent="0.45">
      <c r="A131">
        <v>129</v>
      </c>
      <c r="B131">
        <f>_xlfn.IFNA(VLOOKUP(Wszystkie[[#This Row],[Zakończono wypełnianie]],Zakończone[],2,0),"BRAK")</f>
        <v>78</v>
      </c>
      <c r="C131" t="s">
        <v>1211</v>
      </c>
      <c r="D131" t="s">
        <v>118</v>
      </c>
      <c r="E131" t="s">
        <v>1152</v>
      </c>
      <c r="I131" t="s">
        <v>119</v>
      </c>
      <c r="J131" t="s">
        <v>1212</v>
      </c>
      <c r="K131" t="s">
        <v>1213</v>
      </c>
      <c r="L131">
        <v>808</v>
      </c>
      <c r="M131">
        <v>0</v>
      </c>
      <c r="N131" t="s">
        <v>122</v>
      </c>
      <c r="O131" s="1" t="s">
        <v>123</v>
      </c>
      <c r="AE131" s="1" t="s">
        <v>124</v>
      </c>
      <c r="AF131" t="s">
        <v>1214</v>
      </c>
      <c r="AG131">
        <v>1998</v>
      </c>
      <c r="AH131" t="s">
        <v>148</v>
      </c>
      <c r="AI131" t="s">
        <v>1215</v>
      </c>
      <c r="AJ131" t="s">
        <v>150</v>
      </c>
      <c r="AK131" t="s">
        <v>150</v>
      </c>
      <c r="AL131" t="s">
        <v>151</v>
      </c>
      <c r="AM131" t="s">
        <v>129</v>
      </c>
      <c r="AN131" t="s">
        <v>128</v>
      </c>
      <c r="AO131" t="s">
        <v>1216</v>
      </c>
      <c r="AP131" t="s">
        <v>131</v>
      </c>
      <c r="AQ131" t="s">
        <v>131</v>
      </c>
      <c r="AR131" t="s">
        <v>1217</v>
      </c>
      <c r="AS131" t="s">
        <v>1218</v>
      </c>
      <c r="AT131" t="s">
        <v>1219</v>
      </c>
      <c r="AV131" t="s">
        <v>1220</v>
      </c>
      <c r="AW131" s="1" t="s">
        <v>123</v>
      </c>
      <c r="CQ131" s="1" t="s">
        <v>123</v>
      </c>
      <c r="DA131" s="1" t="s">
        <v>123</v>
      </c>
      <c r="DK131" s="1" t="s">
        <v>123</v>
      </c>
      <c r="EN131" s="1" t="s">
        <v>123</v>
      </c>
      <c r="FN131" s="1" t="s">
        <v>123</v>
      </c>
      <c r="GV131" t="s">
        <v>1221</v>
      </c>
      <c r="GW131" t="s">
        <v>1222</v>
      </c>
      <c r="GX131" t="s">
        <v>1223</v>
      </c>
      <c r="GY131" t="s">
        <v>186</v>
      </c>
      <c r="GZ131">
        <v>1973</v>
      </c>
      <c r="HA131" t="s">
        <v>141</v>
      </c>
    </row>
    <row r="132" spans="1:212" x14ac:dyDescent="0.45">
      <c r="A132">
        <v>130</v>
      </c>
      <c r="B132">
        <f>_xlfn.IFNA(VLOOKUP(Wszystkie[[#This Row],[Zakończono wypełnianie]],Zakończone[],2,0),"BRAK")</f>
        <v>79</v>
      </c>
      <c r="C132" t="s">
        <v>1224</v>
      </c>
      <c r="D132" t="s">
        <v>118</v>
      </c>
      <c r="E132" t="s">
        <v>797</v>
      </c>
      <c r="I132" t="s">
        <v>119</v>
      </c>
      <c r="J132" t="s">
        <v>1225</v>
      </c>
      <c r="K132" t="s">
        <v>1226</v>
      </c>
      <c r="L132">
        <v>4209</v>
      </c>
      <c r="M132">
        <v>0</v>
      </c>
      <c r="N132" t="s">
        <v>122</v>
      </c>
      <c r="O132" s="1" t="s">
        <v>123</v>
      </c>
      <c r="AE132" s="1" t="s">
        <v>124</v>
      </c>
      <c r="AF132" t="s">
        <v>1227</v>
      </c>
      <c r="AG132">
        <v>1985</v>
      </c>
      <c r="AH132" t="s">
        <v>148</v>
      </c>
      <c r="AI132" t="s">
        <v>391</v>
      </c>
      <c r="AJ132" t="s">
        <v>150</v>
      </c>
      <c r="AK132" t="s">
        <v>150</v>
      </c>
      <c r="AL132" t="s">
        <v>169</v>
      </c>
      <c r="AM132" t="s">
        <v>236</v>
      </c>
      <c r="AN132" t="s">
        <v>236</v>
      </c>
      <c r="AO132">
        <v>0</v>
      </c>
      <c r="AP132" t="s">
        <v>152</v>
      </c>
      <c r="AQ132" t="s">
        <v>152</v>
      </c>
      <c r="AR132" t="s">
        <v>1228</v>
      </c>
      <c r="AS132" t="s">
        <v>1229</v>
      </c>
      <c r="AT132" t="s">
        <v>1229</v>
      </c>
      <c r="AU132" t="s">
        <v>157</v>
      </c>
      <c r="AW132" s="1" t="s">
        <v>159</v>
      </c>
      <c r="AX132">
        <v>2</v>
      </c>
      <c r="AY132" t="s">
        <v>1230</v>
      </c>
      <c r="AZ132">
        <v>2005</v>
      </c>
      <c r="BA132" t="s">
        <v>148</v>
      </c>
      <c r="BB132" t="s">
        <v>1231</v>
      </c>
      <c r="BC132" t="s">
        <v>169</v>
      </c>
      <c r="BD132" t="s">
        <v>169</v>
      </c>
      <c r="BE132" t="s">
        <v>169</v>
      </c>
      <c r="BF132" t="s">
        <v>236</v>
      </c>
      <c r="BG132" t="s">
        <v>236</v>
      </c>
      <c r="BH132">
        <v>0</v>
      </c>
      <c r="BI132" t="s">
        <v>1232</v>
      </c>
      <c r="BJ132" t="s">
        <v>157</v>
      </c>
      <c r="BM132" t="s">
        <v>166</v>
      </c>
      <c r="BN132" t="s">
        <v>1233</v>
      </c>
      <c r="BO132">
        <v>2008</v>
      </c>
      <c r="BP132" t="s">
        <v>148</v>
      </c>
      <c r="BQ132" t="s">
        <v>1234</v>
      </c>
      <c r="BR132" t="s">
        <v>169</v>
      </c>
      <c r="BS132" t="s">
        <v>169</v>
      </c>
      <c r="BT132" t="s">
        <v>169</v>
      </c>
      <c r="BU132" t="s">
        <v>128</v>
      </c>
      <c r="BV132" t="s">
        <v>162</v>
      </c>
      <c r="BW132" t="s">
        <v>1235</v>
      </c>
      <c r="BX132" t="s">
        <v>1236</v>
      </c>
      <c r="BY132" t="s">
        <v>157</v>
      </c>
      <c r="CB132" t="s">
        <v>173</v>
      </c>
      <c r="CQ132" s="1" t="s">
        <v>123</v>
      </c>
      <c r="DA132" s="1" t="s">
        <v>123</v>
      </c>
      <c r="DK132" s="1" t="s">
        <v>174</v>
      </c>
      <c r="DL132" t="s">
        <v>394</v>
      </c>
      <c r="DP132" t="s">
        <v>1230</v>
      </c>
      <c r="DQ132" t="s">
        <v>150</v>
      </c>
      <c r="DR132" t="s">
        <v>150</v>
      </c>
      <c r="DS132" t="s">
        <v>150</v>
      </c>
      <c r="DT132" t="s">
        <v>150</v>
      </c>
      <c r="DU132" t="s">
        <v>150</v>
      </c>
      <c r="DV132" t="s">
        <v>169</v>
      </c>
      <c r="DW132" t="s">
        <v>150</v>
      </c>
      <c r="DX132">
        <v>20</v>
      </c>
      <c r="DY132">
        <v>5</v>
      </c>
      <c r="DZ132">
        <v>0</v>
      </c>
      <c r="EA132">
        <v>30</v>
      </c>
      <c r="EB132">
        <v>25</v>
      </c>
      <c r="EC132">
        <v>10</v>
      </c>
      <c r="ED132">
        <v>10</v>
      </c>
      <c r="EF132">
        <v>10</v>
      </c>
      <c r="EG132">
        <v>5</v>
      </c>
      <c r="EH132">
        <v>0</v>
      </c>
      <c r="EI132">
        <v>25</v>
      </c>
      <c r="EJ132">
        <v>25</v>
      </c>
      <c r="EK132">
        <v>5</v>
      </c>
      <c r="EL132">
        <v>30</v>
      </c>
      <c r="EN132" s="1" t="s">
        <v>123</v>
      </c>
      <c r="FN132" s="1" t="s">
        <v>123</v>
      </c>
      <c r="GV132" t="s">
        <v>1237</v>
      </c>
      <c r="GW132" t="s">
        <v>1229</v>
      </c>
      <c r="GX132" t="s">
        <v>1229</v>
      </c>
      <c r="GY132" t="s">
        <v>140</v>
      </c>
      <c r="GZ132">
        <v>1958</v>
      </c>
      <c r="HA132" t="s">
        <v>141</v>
      </c>
    </row>
    <row r="133" spans="1:212" x14ac:dyDescent="0.45">
      <c r="A133">
        <v>131</v>
      </c>
      <c r="B133">
        <f>_xlfn.IFNA(VLOOKUP(Wszystkie[[#This Row],[Zakończono wypełnianie]],Zakończone[],2,0),"BRAK")</f>
        <v>80</v>
      </c>
      <c r="C133" t="s">
        <v>1238</v>
      </c>
      <c r="D133" t="s">
        <v>118</v>
      </c>
      <c r="I133" t="s">
        <v>119</v>
      </c>
      <c r="J133" t="s">
        <v>1239</v>
      </c>
      <c r="K133" t="s">
        <v>1240</v>
      </c>
      <c r="L133">
        <v>356</v>
      </c>
      <c r="M133">
        <v>0</v>
      </c>
      <c r="N133" t="s">
        <v>122</v>
      </c>
      <c r="O133" s="1" t="s">
        <v>123</v>
      </c>
      <c r="AE133" s="1" t="s">
        <v>124</v>
      </c>
      <c r="AF133" t="s">
        <v>223</v>
      </c>
      <c r="AG133">
        <v>1997</v>
      </c>
      <c r="AH133" t="s">
        <v>148</v>
      </c>
      <c r="AI133" t="s">
        <v>161</v>
      </c>
      <c r="AJ133" t="s">
        <v>128</v>
      </c>
      <c r="AK133" t="s">
        <v>128</v>
      </c>
      <c r="AL133" t="s">
        <v>162</v>
      </c>
      <c r="AM133" t="s">
        <v>162</v>
      </c>
      <c r="AN133" t="s">
        <v>162</v>
      </c>
      <c r="AO133">
        <v>1</v>
      </c>
      <c r="AP133" t="s">
        <v>131</v>
      </c>
      <c r="AQ133" t="s">
        <v>131</v>
      </c>
      <c r="AR133" t="s">
        <v>1241</v>
      </c>
      <c r="AS133" t="s">
        <v>1242</v>
      </c>
      <c r="AT133" t="s">
        <v>1243</v>
      </c>
      <c r="AU133" t="s">
        <v>157</v>
      </c>
      <c r="AV133" t="s">
        <v>1244</v>
      </c>
      <c r="AW133" s="1" t="s">
        <v>123</v>
      </c>
      <c r="AX133" t="s">
        <v>132</v>
      </c>
      <c r="CQ133" s="1" t="s">
        <v>123</v>
      </c>
      <c r="DA133" s="1" t="s">
        <v>123</v>
      </c>
      <c r="DK133" s="1" t="s">
        <v>123</v>
      </c>
      <c r="EN133" s="1" t="s">
        <v>123</v>
      </c>
      <c r="EO133" t="s">
        <v>178</v>
      </c>
      <c r="EP133" t="s">
        <v>132</v>
      </c>
      <c r="FN133" s="1" t="s">
        <v>123</v>
      </c>
      <c r="GV133" t="s">
        <v>1245</v>
      </c>
      <c r="GW133" t="s">
        <v>1246</v>
      </c>
      <c r="GX133" t="s">
        <v>1247</v>
      </c>
      <c r="GY133" t="s">
        <v>186</v>
      </c>
      <c r="GZ133">
        <v>1974</v>
      </c>
      <c r="HA133" t="s">
        <v>398</v>
      </c>
      <c r="HC133" t="s">
        <v>1248</v>
      </c>
    </row>
    <row r="134" spans="1:212" x14ac:dyDescent="0.45">
      <c r="A134">
        <v>132</v>
      </c>
      <c r="B134" t="str">
        <f>_xlfn.IFNA(VLOOKUP(Wszystkie[[#This Row],[Zakończono wypełnianie]],Zakończone[],2,0),"BRAK")</f>
        <v>BRAK</v>
      </c>
      <c r="C134" t="s">
        <v>1249</v>
      </c>
      <c r="D134" t="s">
        <v>118</v>
      </c>
      <c r="I134" t="s">
        <v>286</v>
      </c>
      <c r="J134" t="s">
        <v>1250</v>
      </c>
      <c r="K134" t="s">
        <v>1250</v>
      </c>
      <c r="L134">
        <v>0</v>
      </c>
      <c r="M134">
        <v>0</v>
      </c>
      <c r="N134" t="s">
        <v>122</v>
      </c>
      <c r="O134" s="1" t="s">
        <v>123</v>
      </c>
      <c r="AE134" s="1" t="s">
        <v>124</v>
      </c>
      <c r="AW134" s="1"/>
      <c r="CQ134" s="1"/>
      <c r="DA134" s="1"/>
      <c r="DK134" s="1"/>
      <c r="EN134" s="1"/>
      <c r="FN134" s="1"/>
    </row>
    <row r="135" spans="1:212" x14ac:dyDescent="0.45">
      <c r="A135">
        <v>133</v>
      </c>
      <c r="B135">
        <f>_xlfn.IFNA(VLOOKUP(Wszystkie[[#This Row],[Zakończono wypełnianie]],Zakończone[],2,0),"BRAK")</f>
        <v>81</v>
      </c>
      <c r="C135" t="s">
        <v>1251</v>
      </c>
      <c r="D135" t="s">
        <v>118</v>
      </c>
      <c r="I135" t="s">
        <v>119</v>
      </c>
      <c r="J135" t="s">
        <v>1252</v>
      </c>
      <c r="K135" t="s">
        <v>1253</v>
      </c>
      <c r="L135">
        <v>367</v>
      </c>
      <c r="M135">
        <v>0</v>
      </c>
      <c r="N135" t="s">
        <v>122</v>
      </c>
      <c r="O135" s="1" t="s">
        <v>123</v>
      </c>
      <c r="AE135" s="1" t="s">
        <v>124</v>
      </c>
      <c r="AF135" t="s">
        <v>223</v>
      </c>
      <c r="AG135">
        <v>2006</v>
      </c>
      <c r="AH135" t="s">
        <v>148</v>
      </c>
      <c r="AI135" t="s">
        <v>1050</v>
      </c>
      <c r="AJ135" t="s">
        <v>162</v>
      </c>
      <c r="AK135" t="s">
        <v>162</v>
      </c>
      <c r="AL135" t="s">
        <v>169</v>
      </c>
      <c r="AM135" t="s">
        <v>236</v>
      </c>
      <c r="AN135" t="s">
        <v>151</v>
      </c>
      <c r="AO135">
        <v>3</v>
      </c>
      <c r="AP135" t="s">
        <v>131</v>
      </c>
      <c r="AQ135" t="s">
        <v>302</v>
      </c>
      <c r="AR135" t="s">
        <v>1254</v>
      </c>
      <c r="AS135" t="s">
        <v>1255</v>
      </c>
      <c r="AT135" t="s">
        <v>1256</v>
      </c>
      <c r="AU135" t="s">
        <v>157</v>
      </c>
      <c r="AV135" t="s">
        <v>1257</v>
      </c>
      <c r="AW135" s="1" t="s">
        <v>123</v>
      </c>
      <c r="AX135" t="s">
        <v>132</v>
      </c>
      <c r="CQ135" s="1" t="s">
        <v>123</v>
      </c>
      <c r="DA135" s="1" t="s">
        <v>214</v>
      </c>
      <c r="DB135" t="s">
        <v>747</v>
      </c>
      <c r="DC135" t="s">
        <v>1176</v>
      </c>
      <c r="DD135" t="s">
        <v>169</v>
      </c>
      <c r="DE135" t="s">
        <v>150</v>
      </c>
      <c r="DF135" t="s">
        <v>150</v>
      </c>
      <c r="DG135" t="s">
        <v>169</v>
      </c>
      <c r="DH135" t="s">
        <v>162</v>
      </c>
      <c r="DI135" t="s">
        <v>162</v>
      </c>
      <c r="DJ135" t="s">
        <v>1258</v>
      </c>
      <c r="DK135" s="1" t="s">
        <v>123</v>
      </c>
      <c r="EN135" s="1" t="s">
        <v>123</v>
      </c>
      <c r="FN135" s="1" t="s">
        <v>123</v>
      </c>
      <c r="GV135" t="s">
        <v>1259</v>
      </c>
      <c r="GW135" t="s">
        <v>1260</v>
      </c>
      <c r="GX135" t="s">
        <v>1261</v>
      </c>
      <c r="GY135" t="s">
        <v>186</v>
      </c>
      <c r="GZ135">
        <v>1982</v>
      </c>
      <c r="HA135" t="s">
        <v>141</v>
      </c>
    </row>
    <row r="136" spans="1:212" x14ac:dyDescent="0.45">
      <c r="A136">
        <v>134</v>
      </c>
      <c r="B136" t="str">
        <f>_xlfn.IFNA(VLOOKUP(Wszystkie[[#This Row],[Zakończono wypełnianie]],Zakończone[],2,0),"BRAK")</f>
        <v>BRAK</v>
      </c>
      <c r="C136" t="s">
        <v>1262</v>
      </c>
      <c r="D136" t="s">
        <v>118</v>
      </c>
      <c r="I136" t="s">
        <v>286</v>
      </c>
      <c r="J136" t="s">
        <v>1263</v>
      </c>
      <c r="K136" t="s">
        <v>1263</v>
      </c>
      <c r="L136">
        <v>0</v>
      </c>
      <c r="M136">
        <v>0</v>
      </c>
      <c r="N136" t="s">
        <v>122</v>
      </c>
      <c r="O136" s="1" t="s">
        <v>123</v>
      </c>
      <c r="AE136" s="1" t="s">
        <v>124</v>
      </c>
      <c r="AW136" s="1"/>
      <c r="CQ136" s="1"/>
      <c r="DA136" s="1"/>
      <c r="DK136" s="1"/>
      <c r="EN136" s="1"/>
      <c r="FN136" s="1"/>
    </row>
    <row r="137" spans="1:212" x14ac:dyDescent="0.45">
      <c r="A137">
        <v>135</v>
      </c>
      <c r="B137">
        <f>_xlfn.IFNA(VLOOKUP(Wszystkie[[#This Row],[Zakończono wypełnianie]],Zakończone[],2,0),"BRAK")</f>
        <v>82</v>
      </c>
      <c r="C137" t="s">
        <v>1264</v>
      </c>
      <c r="D137" t="s">
        <v>118</v>
      </c>
      <c r="E137" t="s">
        <v>1265</v>
      </c>
      <c r="I137" t="s">
        <v>119</v>
      </c>
      <c r="J137" t="s">
        <v>1266</v>
      </c>
      <c r="K137" t="s">
        <v>1267</v>
      </c>
      <c r="L137">
        <v>2127</v>
      </c>
      <c r="M137">
        <v>0</v>
      </c>
      <c r="N137" t="s">
        <v>122</v>
      </c>
      <c r="O137" s="1" t="s">
        <v>123</v>
      </c>
      <c r="AE137" s="1" t="s">
        <v>124</v>
      </c>
      <c r="AF137" t="s">
        <v>747</v>
      </c>
      <c r="AG137">
        <v>1982</v>
      </c>
      <c r="AH137" t="s">
        <v>126</v>
      </c>
      <c r="AI137" t="s">
        <v>1268</v>
      </c>
      <c r="AJ137" t="s">
        <v>169</v>
      </c>
      <c r="AK137" t="s">
        <v>169</v>
      </c>
      <c r="AL137" t="s">
        <v>169</v>
      </c>
      <c r="AM137" t="s">
        <v>169</v>
      </c>
      <c r="AN137" t="s">
        <v>169</v>
      </c>
      <c r="AO137">
        <v>0</v>
      </c>
      <c r="AP137" t="s">
        <v>153</v>
      </c>
      <c r="AQ137" t="s">
        <v>759</v>
      </c>
      <c r="AR137" t="s">
        <v>1269</v>
      </c>
      <c r="AS137" t="s">
        <v>1270</v>
      </c>
      <c r="AT137" t="s">
        <v>386</v>
      </c>
      <c r="AV137" t="s">
        <v>1271</v>
      </c>
      <c r="AW137" s="1" t="s">
        <v>159</v>
      </c>
      <c r="AX137">
        <v>1</v>
      </c>
      <c r="AY137" t="s">
        <v>1272</v>
      </c>
      <c r="AZ137">
        <v>2011</v>
      </c>
      <c r="BA137" t="s">
        <v>148</v>
      </c>
      <c r="BB137" t="s">
        <v>927</v>
      </c>
      <c r="BC137" t="s">
        <v>169</v>
      </c>
      <c r="BD137" t="s">
        <v>169</v>
      </c>
      <c r="BE137" t="s">
        <v>169</v>
      </c>
      <c r="BF137" t="s">
        <v>169</v>
      </c>
      <c r="BG137" t="s">
        <v>169</v>
      </c>
      <c r="BH137" t="s">
        <v>1273</v>
      </c>
      <c r="BI137" t="s">
        <v>1274</v>
      </c>
      <c r="BJ137" t="s">
        <v>157</v>
      </c>
      <c r="BL137" t="s">
        <v>1275</v>
      </c>
      <c r="BM137" t="s">
        <v>173</v>
      </c>
      <c r="CQ137" s="1" t="s">
        <v>123</v>
      </c>
      <c r="DA137" s="1" t="s">
        <v>214</v>
      </c>
      <c r="DB137" t="s">
        <v>191</v>
      </c>
      <c r="DC137" t="s">
        <v>1276</v>
      </c>
      <c r="DD137" t="s">
        <v>169</v>
      </c>
      <c r="DE137" t="s">
        <v>169</v>
      </c>
      <c r="DF137" t="s">
        <v>169</v>
      </c>
      <c r="DG137" t="s">
        <v>150</v>
      </c>
      <c r="DH137" t="s">
        <v>169</v>
      </c>
      <c r="DI137" t="s">
        <v>169</v>
      </c>
      <c r="DJ137" t="s">
        <v>1277</v>
      </c>
      <c r="DK137" s="1" t="s">
        <v>123</v>
      </c>
      <c r="EN137" s="1" t="s">
        <v>177</v>
      </c>
      <c r="EO137" t="s">
        <v>178</v>
      </c>
      <c r="EP137">
        <v>1</v>
      </c>
      <c r="EQ137" t="s">
        <v>747</v>
      </c>
      <c r="ER137" t="s">
        <v>169</v>
      </c>
      <c r="ES137" t="s">
        <v>169</v>
      </c>
      <c r="ET137" t="s">
        <v>151</v>
      </c>
      <c r="EU137" t="s">
        <v>178</v>
      </c>
      <c r="EV137" t="s">
        <v>1278</v>
      </c>
      <c r="EW137" t="s">
        <v>1279</v>
      </c>
      <c r="EX137" t="s">
        <v>173</v>
      </c>
      <c r="FN137" s="1" t="s">
        <v>123</v>
      </c>
      <c r="GV137" t="s">
        <v>1280</v>
      </c>
      <c r="GW137" t="s">
        <v>1281</v>
      </c>
      <c r="GX137" t="s">
        <v>1282</v>
      </c>
      <c r="GY137" t="s">
        <v>186</v>
      </c>
      <c r="GZ137" t="s">
        <v>1283</v>
      </c>
      <c r="HA137" t="s">
        <v>398</v>
      </c>
      <c r="HC137" t="s">
        <v>1284</v>
      </c>
      <c r="HD137" t="s">
        <v>1285</v>
      </c>
    </row>
    <row r="138" spans="1:212" x14ac:dyDescent="0.45">
      <c r="A138">
        <v>136</v>
      </c>
      <c r="B138" t="str">
        <f>_xlfn.IFNA(VLOOKUP(Wszystkie[[#This Row],[Zakończono wypełnianie]],Zakończone[],2,0),"BRAK")</f>
        <v>BRAK</v>
      </c>
      <c r="C138" t="s">
        <v>1286</v>
      </c>
      <c r="D138" t="s">
        <v>118</v>
      </c>
      <c r="I138" t="s">
        <v>286</v>
      </c>
      <c r="J138" t="s">
        <v>1287</v>
      </c>
      <c r="K138" t="s">
        <v>1287</v>
      </c>
      <c r="L138">
        <v>0</v>
      </c>
      <c r="M138">
        <v>0</v>
      </c>
      <c r="N138" t="s">
        <v>122</v>
      </c>
      <c r="O138" s="1" t="s">
        <v>123</v>
      </c>
      <c r="AE138" s="1" t="s">
        <v>123</v>
      </c>
      <c r="AW138" s="1" t="s">
        <v>159</v>
      </c>
      <c r="AX138">
        <v>1</v>
      </c>
      <c r="CQ138" s="1"/>
      <c r="DA138" s="1"/>
      <c r="DK138" s="1"/>
      <c r="EN138" s="1"/>
      <c r="FN138" s="1"/>
    </row>
    <row r="139" spans="1:212" x14ac:dyDescent="0.45">
      <c r="A139">
        <v>138</v>
      </c>
      <c r="B139" t="str">
        <f>_xlfn.IFNA(VLOOKUP(Wszystkie[[#This Row],[Zakończono wypełnianie]],Zakończone[],2,0),"BRAK")</f>
        <v>BRAK</v>
      </c>
      <c r="C139" t="s">
        <v>1286</v>
      </c>
      <c r="D139" t="s">
        <v>118</v>
      </c>
      <c r="I139" t="s">
        <v>286</v>
      </c>
      <c r="J139" t="s">
        <v>1301</v>
      </c>
      <c r="K139" t="s">
        <v>1301</v>
      </c>
      <c r="L139">
        <v>0</v>
      </c>
      <c r="M139">
        <v>0</v>
      </c>
      <c r="N139" t="s">
        <v>122</v>
      </c>
      <c r="O139" s="1" t="s">
        <v>416</v>
      </c>
      <c r="AE139" s="1"/>
      <c r="AW139" s="1"/>
      <c r="CQ139" s="1"/>
      <c r="DA139" s="1"/>
      <c r="DK139" s="1"/>
      <c r="EN139" s="1"/>
      <c r="FN139" s="1"/>
    </row>
    <row r="140" spans="1:212" x14ac:dyDescent="0.45">
      <c r="A140">
        <v>140</v>
      </c>
      <c r="B140" t="str">
        <f>_xlfn.IFNA(VLOOKUP(Wszystkie[[#This Row],[Zakończono wypełnianie]],Zakończone[],2,0),"BRAK")</f>
        <v>BRAK</v>
      </c>
      <c r="C140" t="s">
        <v>1286</v>
      </c>
      <c r="D140" t="s">
        <v>118</v>
      </c>
      <c r="I140" t="s">
        <v>286</v>
      </c>
      <c r="J140" t="s">
        <v>1321</v>
      </c>
      <c r="K140" t="s">
        <v>1321</v>
      </c>
      <c r="L140">
        <v>0</v>
      </c>
      <c r="M140">
        <v>0</v>
      </c>
      <c r="N140" t="s">
        <v>122</v>
      </c>
      <c r="O140" s="1" t="s">
        <v>123</v>
      </c>
      <c r="AE140" s="1" t="s">
        <v>124</v>
      </c>
      <c r="AW140" s="1"/>
      <c r="CQ140" s="1"/>
      <c r="DA140" s="1"/>
      <c r="DK140" s="1"/>
      <c r="EN140" s="1"/>
      <c r="FN140" s="1"/>
    </row>
    <row r="141" spans="1:212" x14ac:dyDescent="0.45">
      <c r="A141">
        <v>139</v>
      </c>
      <c r="B141">
        <f>_xlfn.IFNA(VLOOKUP(Wszystkie[[#This Row],[Zakończono wypełnianie]],Zakończone[],2,0),"BRAK")</f>
        <v>84</v>
      </c>
      <c r="C141" t="s">
        <v>1302</v>
      </c>
      <c r="D141" t="s">
        <v>118</v>
      </c>
      <c r="I141" t="s">
        <v>119</v>
      </c>
      <c r="J141" t="s">
        <v>1303</v>
      </c>
      <c r="K141" t="s">
        <v>1304</v>
      </c>
      <c r="L141">
        <v>558</v>
      </c>
      <c r="M141">
        <v>0</v>
      </c>
      <c r="N141" t="s">
        <v>122</v>
      </c>
      <c r="O141" s="1" t="s">
        <v>416</v>
      </c>
      <c r="P141" t="s">
        <v>191</v>
      </c>
      <c r="Q141" t="s">
        <v>126</v>
      </c>
      <c r="R141" t="s">
        <v>1305</v>
      </c>
      <c r="S141" t="s">
        <v>162</v>
      </c>
      <c r="T141" t="s">
        <v>128</v>
      </c>
      <c r="U141" t="s">
        <v>150</v>
      </c>
      <c r="V141" t="s">
        <v>1306</v>
      </c>
      <c r="W141" t="s">
        <v>153</v>
      </c>
      <c r="X141" t="s">
        <v>759</v>
      </c>
      <c r="Y141" t="s">
        <v>1307</v>
      </c>
      <c r="Z141" t="s">
        <v>1308</v>
      </c>
      <c r="AA141" t="s">
        <v>1309</v>
      </c>
      <c r="AB141" t="s">
        <v>230</v>
      </c>
      <c r="AD141" t="s">
        <v>1310</v>
      </c>
      <c r="AE141" s="1" t="s">
        <v>124</v>
      </c>
      <c r="AF141" t="s">
        <v>1311</v>
      </c>
      <c r="AG141">
        <v>2015</v>
      </c>
      <c r="AH141" t="s">
        <v>126</v>
      </c>
      <c r="AI141" t="s">
        <v>1312</v>
      </c>
      <c r="AJ141" t="s">
        <v>162</v>
      </c>
      <c r="AK141" t="s">
        <v>128</v>
      </c>
      <c r="AL141" t="s">
        <v>162</v>
      </c>
      <c r="AM141" t="s">
        <v>162</v>
      </c>
      <c r="AN141" t="s">
        <v>162</v>
      </c>
      <c r="AO141" t="s">
        <v>237</v>
      </c>
      <c r="AP141" t="s">
        <v>302</v>
      </c>
      <c r="AQ141" t="s">
        <v>153</v>
      </c>
      <c r="AR141" t="s">
        <v>1313</v>
      </c>
      <c r="AS141" t="s">
        <v>1314</v>
      </c>
      <c r="AT141" t="s">
        <v>1315</v>
      </c>
      <c r="AU141" t="s">
        <v>172</v>
      </c>
      <c r="AW141" s="1" t="s">
        <v>123</v>
      </c>
      <c r="AX141" t="s">
        <v>132</v>
      </c>
      <c r="CQ141" s="1" t="s">
        <v>123</v>
      </c>
      <c r="DA141" s="1" t="s">
        <v>123</v>
      </c>
      <c r="DK141" s="1" t="s">
        <v>123</v>
      </c>
      <c r="EN141" s="1" t="s">
        <v>123</v>
      </c>
      <c r="FN141" s="1" t="s">
        <v>123</v>
      </c>
      <c r="GV141" t="s">
        <v>1316</v>
      </c>
      <c r="GW141" t="s">
        <v>1317</v>
      </c>
      <c r="GX141" t="s">
        <v>1318</v>
      </c>
      <c r="GY141" t="s">
        <v>186</v>
      </c>
      <c r="GZ141">
        <v>1992</v>
      </c>
      <c r="HA141" t="s">
        <v>398</v>
      </c>
      <c r="HC141" t="s">
        <v>1319</v>
      </c>
      <c r="HD141" t="s">
        <v>1320</v>
      </c>
    </row>
    <row r="142" spans="1:212" x14ac:dyDescent="0.45">
      <c r="A142">
        <v>141</v>
      </c>
      <c r="B142">
        <f>_xlfn.IFNA(VLOOKUP(Wszystkie[[#This Row],[Zakończono wypełnianie]],Zakończone[],2,0),"BRAK")</f>
        <v>85</v>
      </c>
      <c r="C142" t="s">
        <v>1322</v>
      </c>
      <c r="D142" t="s">
        <v>118</v>
      </c>
      <c r="I142" t="s">
        <v>119</v>
      </c>
      <c r="J142" t="s">
        <v>1323</v>
      </c>
      <c r="K142" t="s">
        <v>1324</v>
      </c>
      <c r="L142">
        <v>767</v>
      </c>
      <c r="M142">
        <v>0</v>
      </c>
      <c r="N142" t="s">
        <v>122</v>
      </c>
      <c r="O142" s="1" t="s">
        <v>123</v>
      </c>
      <c r="AE142" s="1" t="s">
        <v>124</v>
      </c>
      <c r="AF142" t="s">
        <v>191</v>
      </c>
      <c r="AG142">
        <v>2018</v>
      </c>
      <c r="AH142" t="s">
        <v>126</v>
      </c>
      <c r="AI142" t="s">
        <v>1325</v>
      </c>
      <c r="AJ142" t="s">
        <v>150</v>
      </c>
      <c r="AK142" t="s">
        <v>150</v>
      </c>
      <c r="AL142" t="s">
        <v>128</v>
      </c>
      <c r="AM142" t="s">
        <v>236</v>
      </c>
      <c r="AN142" t="s">
        <v>128</v>
      </c>
      <c r="AO142">
        <v>1</v>
      </c>
      <c r="AP142" t="s">
        <v>302</v>
      </c>
      <c r="AQ142" t="s">
        <v>226</v>
      </c>
      <c r="AR142" t="s">
        <v>1326</v>
      </c>
      <c r="AS142" t="s">
        <v>1327</v>
      </c>
      <c r="AT142" t="s">
        <v>1328</v>
      </c>
      <c r="AU142" t="s">
        <v>157</v>
      </c>
      <c r="AW142" s="1" t="s">
        <v>123</v>
      </c>
      <c r="AX142" t="s">
        <v>132</v>
      </c>
      <c r="CQ142" s="1" t="s">
        <v>123</v>
      </c>
      <c r="DA142" s="1" t="s">
        <v>123</v>
      </c>
      <c r="DK142" s="1" t="s">
        <v>123</v>
      </c>
      <c r="EN142" s="1" t="s">
        <v>123</v>
      </c>
      <c r="EO142" t="s">
        <v>180</v>
      </c>
      <c r="FN142" s="1" t="s">
        <v>123</v>
      </c>
      <c r="GV142" t="s">
        <v>1329</v>
      </c>
      <c r="GW142" t="s">
        <v>1329</v>
      </c>
      <c r="GX142" t="s">
        <v>132</v>
      </c>
      <c r="GY142" t="s">
        <v>186</v>
      </c>
      <c r="GZ142">
        <v>1991</v>
      </c>
      <c r="HA142" t="s">
        <v>220</v>
      </c>
      <c r="HC142" t="s">
        <v>1330</v>
      </c>
      <c r="HD142" t="s">
        <v>532</v>
      </c>
    </row>
    <row r="143" spans="1:212" x14ac:dyDescent="0.45">
      <c r="A143">
        <v>142</v>
      </c>
      <c r="B143" t="str">
        <f>_xlfn.IFNA(VLOOKUP(Wszystkie[[#This Row],[Zakończono wypełnianie]],Zakończone[],2,0),"BRAK")</f>
        <v>BRAK</v>
      </c>
      <c r="C143" t="s">
        <v>1331</v>
      </c>
      <c r="D143" t="s">
        <v>118</v>
      </c>
      <c r="I143" t="s">
        <v>286</v>
      </c>
      <c r="J143" t="s">
        <v>1332</v>
      </c>
      <c r="K143" t="s">
        <v>1332</v>
      </c>
      <c r="L143">
        <v>0</v>
      </c>
      <c r="M143">
        <v>0</v>
      </c>
      <c r="N143" t="s">
        <v>122</v>
      </c>
      <c r="O143" s="1" t="s">
        <v>123</v>
      </c>
      <c r="AE143" s="1" t="s">
        <v>124</v>
      </c>
      <c r="AW143" s="1"/>
      <c r="CQ143" s="1"/>
      <c r="DA143" s="1"/>
      <c r="DK143" s="1"/>
      <c r="EN143" s="1"/>
      <c r="FN143" s="1"/>
    </row>
    <row r="144" spans="1:212" x14ac:dyDescent="0.45">
      <c r="A144">
        <v>143</v>
      </c>
      <c r="B144" t="str">
        <f>_xlfn.IFNA(VLOOKUP(Wszystkie[[#This Row],[Zakończono wypełnianie]],Zakończone[],2,0),"BRAK")</f>
        <v>BRAK</v>
      </c>
      <c r="C144" t="s">
        <v>1331</v>
      </c>
      <c r="D144" t="s">
        <v>118</v>
      </c>
      <c r="I144" t="s">
        <v>286</v>
      </c>
      <c r="J144" t="s">
        <v>1333</v>
      </c>
      <c r="K144" t="s">
        <v>1333</v>
      </c>
      <c r="L144">
        <v>0</v>
      </c>
      <c r="M144">
        <v>0</v>
      </c>
      <c r="N144" t="s">
        <v>122</v>
      </c>
      <c r="O144" s="1" t="s">
        <v>416</v>
      </c>
      <c r="AE144" s="1"/>
      <c r="AW144" s="1"/>
      <c r="CQ144" s="1"/>
      <c r="DA144" s="1"/>
      <c r="DK144" s="1"/>
      <c r="EN144" s="1"/>
      <c r="FN144" s="1"/>
    </row>
    <row r="145" spans="1:212" x14ac:dyDescent="0.45">
      <c r="A145">
        <v>144</v>
      </c>
      <c r="B145" t="str">
        <f>_xlfn.IFNA(VLOOKUP(Wszystkie[[#This Row],[Zakończono wypełnianie]],Zakończone[],2,0),"BRAK")</f>
        <v>BRAK</v>
      </c>
      <c r="C145" t="s">
        <v>1334</v>
      </c>
      <c r="D145" t="s">
        <v>118</v>
      </c>
      <c r="I145" t="s">
        <v>286</v>
      </c>
      <c r="J145" t="s">
        <v>1335</v>
      </c>
      <c r="K145" t="s">
        <v>1335</v>
      </c>
      <c r="L145">
        <v>0</v>
      </c>
      <c r="M145">
        <v>0</v>
      </c>
      <c r="N145" t="s">
        <v>122</v>
      </c>
      <c r="O145" s="1"/>
      <c r="AE145" s="1"/>
      <c r="AW145" s="1"/>
      <c r="CQ145" s="1"/>
      <c r="DA145" s="1"/>
      <c r="DK145" s="1"/>
      <c r="EN145" s="1"/>
      <c r="FN145" s="1"/>
    </row>
    <row r="146" spans="1:212" x14ac:dyDescent="0.45">
      <c r="A146">
        <v>145</v>
      </c>
      <c r="B146">
        <f>_xlfn.IFNA(VLOOKUP(Wszystkie[[#This Row],[Zakończono wypełnianie]],Zakończone[],2,0),"BRAK")</f>
        <v>86</v>
      </c>
      <c r="C146" t="s">
        <v>1336</v>
      </c>
      <c r="D146" t="s">
        <v>118</v>
      </c>
      <c r="I146" t="s">
        <v>119</v>
      </c>
      <c r="J146" t="s">
        <v>1337</v>
      </c>
      <c r="K146" t="s">
        <v>1338</v>
      </c>
      <c r="L146">
        <v>516</v>
      </c>
      <c r="M146">
        <v>0</v>
      </c>
      <c r="N146" t="s">
        <v>122</v>
      </c>
      <c r="O146" s="1" t="s">
        <v>123</v>
      </c>
      <c r="AE146" s="1" t="s">
        <v>124</v>
      </c>
      <c r="AF146" t="s">
        <v>191</v>
      </c>
      <c r="AG146">
        <v>2007</v>
      </c>
      <c r="AH146" t="s">
        <v>126</v>
      </c>
      <c r="AI146" t="s">
        <v>1339</v>
      </c>
      <c r="AJ146" t="s">
        <v>162</v>
      </c>
      <c r="AK146" t="s">
        <v>162</v>
      </c>
      <c r="AL146" t="s">
        <v>150</v>
      </c>
      <c r="AM146" t="s">
        <v>169</v>
      </c>
      <c r="AN146" t="s">
        <v>169</v>
      </c>
      <c r="AO146" t="s">
        <v>1340</v>
      </c>
      <c r="AP146" t="s">
        <v>131</v>
      </c>
      <c r="AQ146" t="s">
        <v>759</v>
      </c>
      <c r="AR146" t="s">
        <v>1341</v>
      </c>
      <c r="AS146" t="s">
        <v>1342</v>
      </c>
      <c r="AT146" t="s">
        <v>1343</v>
      </c>
      <c r="AU146" t="s">
        <v>157</v>
      </c>
      <c r="AV146" t="s">
        <v>1344</v>
      </c>
      <c r="AW146" s="1" t="s">
        <v>123</v>
      </c>
      <c r="AX146" t="s">
        <v>132</v>
      </c>
      <c r="CQ146" s="1" t="s">
        <v>123</v>
      </c>
      <c r="DA146" s="1" t="s">
        <v>123</v>
      </c>
      <c r="DK146" s="1" t="s">
        <v>123</v>
      </c>
      <c r="EN146" s="1" t="s">
        <v>177</v>
      </c>
      <c r="EO146" t="s">
        <v>178</v>
      </c>
      <c r="EP146" t="s">
        <v>132</v>
      </c>
      <c r="EQ146" t="s">
        <v>191</v>
      </c>
      <c r="ER146" t="s">
        <v>236</v>
      </c>
      <c r="ES146" t="s">
        <v>236</v>
      </c>
      <c r="ET146" t="s">
        <v>151</v>
      </c>
      <c r="EU146" t="s">
        <v>178</v>
      </c>
      <c r="EV146" t="s">
        <v>1345</v>
      </c>
      <c r="EW146" t="s">
        <v>1346</v>
      </c>
      <c r="EX146" t="s">
        <v>173</v>
      </c>
      <c r="FN146" s="1" t="s">
        <v>123</v>
      </c>
      <c r="GV146" t="s">
        <v>1347</v>
      </c>
      <c r="GW146" t="s">
        <v>1348</v>
      </c>
      <c r="GX146" t="s">
        <v>1349</v>
      </c>
      <c r="GY146" t="s">
        <v>186</v>
      </c>
      <c r="GZ146">
        <v>1982</v>
      </c>
      <c r="HA146" t="s">
        <v>141</v>
      </c>
      <c r="HC146" t="s">
        <v>1350</v>
      </c>
    </row>
    <row r="147" spans="1:212" x14ac:dyDescent="0.45">
      <c r="A147">
        <v>146</v>
      </c>
      <c r="B147" t="str">
        <f>_xlfn.IFNA(VLOOKUP(Wszystkie[[#This Row],[Zakończono wypełnianie]],Zakończone[],2,0),"BRAK")</f>
        <v>BRAK</v>
      </c>
      <c r="C147" t="s">
        <v>1286</v>
      </c>
      <c r="D147" t="s">
        <v>118</v>
      </c>
      <c r="I147" t="s">
        <v>286</v>
      </c>
      <c r="J147" t="s">
        <v>1351</v>
      </c>
      <c r="K147" t="s">
        <v>1351</v>
      </c>
      <c r="L147">
        <v>0</v>
      </c>
      <c r="M147">
        <v>0</v>
      </c>
      <c r="N147" t="s">
        <v>122</v>
      </c>
      <c r="O147" s="1" t="s">
        <v>416</v>
      </c>
      <c r="P147" t="s">
        <v>191</v>
      </c>
      <c r="Q147" t="s">
        <v>126</v>
      </c>
      <c r="R147" t="s">
        <v>1305</v>
      </c>
      <c r="AE147" s="1"/>
      <c r="AW147" s="1"/>
      <c r="CQ147" s="1"/>
      <c r="DA147" s="1"/>
      <c r="DK147" s="1"/>
      <c r="EN147" s="1"/>
      <c r="FN147" s="1"/>
    </row>
    <row r="148" spans="1:212" x14ac:dyDescent="0.45">
      <c r="A148">
        <v>147</v>
      </c>
      <c r="B148" t="str">
        <f>_xlfn.IFNA(VLOOKUP(Wszystkie[[#This Row],[Zakończono wypełnianie]],Zakończone[],2,0),"BRAK")</f>
        <v>BRAK</v>
      </c>
      <c r="C148" t="s">
        <v>1352</v>
      </c>
      <c r="D148" t="s">
        <v>118</v>
      </c>
      <c r="I148" t="s">
        <v>286</v>
      </c>
      <c r="J148" t="s">
        <v>1353</v>
      </c>
      <c r="K148" t="s">
        <v>1353</v>
      </c>
      <c r="L148">
        <v>0</v>
      </c>
      <c r="M148">
        <v>0</v>
      </c>
      <c r="N148" t="s">
        <v>122</v>
      </c>
      <c r="O148" s="1" t="s">
        <v>123</v>
      </c>
      <c r="AE148" s="1" t="s">
        <v>124</v>
      </c>
      <c r="AF148" t="s">
        <v>813</v>
      </c>
      <c r="AG148">
        <v>2008</v>
      </c>
      <c r="AH148" t="s">
        <v>148</v>
      </c>
      <c r="AI148" t="s">
        <v>1354</v>
      </c>
      <c r="AJ148" t="s">
        <v>162</v>
      </c>
      <c r="AK148" t="s">
        <v>151</v>
      </c>
      <c r="AL148" t="s">
        <v>151</v>
      </c>
      <c r="AM148" t="s">
        <v>236</v>
      </c>
      <c r="AN148" t="s">
        <v>151</v>
      </c>
      <c r="AO148" t="s">
        <v>237</v>
      </c>
      <c r="AP148" t="s">
        <v>131</v>
      </c>
      <c r="AQ148" t="s">
        <v>302</v>
      </c>
      <c r="AS148" t="s">
        <v>1355</v>
      </c>
      <c r="AT148" t="s">
        <v>1356</v>
      </c>
      <c r="AV148" t="s">
        <v>1357</v>
      </c>
      <c r="AW148" s="1" t="s">
        <v>123</v>
      </c>
      <c r="CQ148" s="1" t="s">
        <v>123</v>
      </c>
      <c r="DA148" s="1" t="s">
        <v>123</v>
      </c>
      <c r="DK148" s="1" t="s">
        <v>123</v>
      </c>
      <c r="EN148" s="1" t="s">
        <v>177</v>
      </c>
      <c r="EO148" t="s">
        <v>178</v>
      </c>
      <c r="EP148" t="s">
        <v>132</v>
      </c>
      <c r="FN148" s="1"/>
    </row>
    <row r="149" spans="1:212" x14ac:dyDescent="0.45">
      <c r="A149">
        <v>148</v>
      </c>
      <c r="B149" t="str">
        <f>_xlfn.IFNA(VLOOKUP(Wszystkie[[#This Row],[Zakończono wypełnianie]],Zakończone[],2,0),"BRAK")</f>
        <v>BRAK</v>
      </c>
      <c r="C149" t="s">
        <v>1331</v>
      </c>
      <c r="D149" t="s">
        <v>118</v>
      </c>
      <c r="I149" t="s">
        <v>286</v>
      </c>
      <c r="J149" t="s">
        <v>1358</v>
      </c>
      <c r="K149" t="s">
        <v>1358</v>
      </c>
      <c r="L149">
        <v>0</v>
      </c>
      <c r="M149">
        <v>0</v>
      </c>
      <c r="N149" t="s">
        <v>122</v>
      </c>
      <c r="O149" s="1" t="s">
        <v>123</v>
      </c>
      <c r="AE149" s="1" t="s">
        <v>124</v>
      </c>
      <c r="AW149" s="1"/>
      <c r="CQ149" s="1"/>
      <c r="DA149" s="1"/>
      <c r="DK149" s="1"/>
      <c r="EN149" s="1"/>
      <c r="FN149" s="1"/>
    </row>
    <row r="150" spans="1:212" x14ac:dyDescent="0.45">
      <c r="A150">
        <v>150</v>
      </c>
      <c r="B150" t="str">
        <f>_xlfn.IFNA(VLOOKUP(Wszystkie[[#This Row],[Zakończono wypełnianie]],Zakończone[],2,0),"BRAK")</f>
        <v>BRAK</v>
      </c>
      <c r="C150" t="s">
        <v>1331</v>
      </c>
      <c r="D150" t="s">
        <v>118</v>
      </c>
      <c r="I150" t="s">
        <v>286</v>
      </c>
      <c r="J150" t="s">
        <v>1369</v>
      </c>
      <c r="K150" t="s">
        <v>1369</v>
      </c>
      <c r="L150">
        <v>0</v>
      </c>
      <c r="M150">
        <v>0</v>
      </c>
      <c r="N150" t="s">
        <v>122</v>
      </c>
      <c r="O150" s="1" t="s">
        <v>123</v>
      </c>
      <c r="AE150" s="1" t="s">
        <v>124</v>
      </c>
      <c r="AW150" s="1"/>
      <c r="CQ150" s="1"/>
      <c r="DA150" s="1"/>
      <c r="DK150" s="1"/>
      <c r="EN150" s="1"/>
      <c r="FN150" s="1"/>
    </row>
    <row r="151" spans="1:212" x14ac:dyDescent="0.45">
      <c r="A151">
        <v>149</v>
      </c>
      <c r="B151">
        <f>_xlfn.IFNA(VLOOKUP(Wszystkie[[#This Row],[Zakończono wypełnianie]],Zakończone[],2,0),"BRAK")</f>
        <v>87</v>
      </c>
      <c r="C151" t="s">
        <v>1352</v>
      </c>
      <c r="D151" t="s">
        <v>118</v>
      </c>
      <c r="I151" t="s">
        <v>119</v>
      </c>
      <c r="J151" t="s">
        <v>1359</v>
      </c>
      <c r="K151" t="s">
        <v>1360</v>
      </c>
      <c r="L151">
        <v>8266</v>
      </c>
      <c r="M151">
        <v>0</v>
      </c>
      <c r="N151" t="s">
        <v>122</v>
      </c>
      <c r="O151" s="1" t="s">
        <v>123</v>
      </c>
      <c r="AE151" s="1" t="s">
        <v>124</v>
      </c>
      <c r="AF151" t="s">
        <v>160</v>
      </c>
      <c r="AG151">
        <v>2010</v>
      </c>
      <c r="AH151" t="s">
        <v>148</v>
      </c>
      <c r="AI151" t="s">
        <v>1361</v>
      </c>
      <c r="AJ151" t="s">
        <v>236</v>
      </c>
      <c r="AK151" t="s">
        <v>150</v>
      </c>
      <c r="AL151" t="s">
        <v>129</v>
      </c>
      <c r="AM151" t="s">
        <v>129</v>
      </c>
      <c r="AN151" t="s">
        <v>129</v>
      </c>
      <c r="AO151" t="s">
        <v>1362</v>
      </c>
      <c r="AP151" t="s">
        <v>153</v>
      </c>
      <c r="AQ151" t="s">
        <v>153</v>
      </c>
      <c r="AR151" t="s">
        <v>1363</v>
      </c>
      <c r="AS151" t="s">
        <v>1364</v>
      </c>
      <c r="AT151" t="s">
        <v>1365</v>
      </c>
      <c r="AU151" t="s">
        <v>157</v>
      </c>
      <c r="AW151" s="1" t="s">
        <v>123</v>
      </c>
      <c r="AX151" t="s">
        <v>132</v>
      </c>
      <c r="CQ151" s="1" t="s">
        <v>123</v>
      </c>
      <c r="DA151" s="1" t="s">
        <v>123</v>
      </c>
      <c r="DK151" s="1" t="s">
        <v>123</v>
      </c>
      <c r="EN151" s="1" t="s">
        <v>123</v>
      </c>
      <c r="FN151" s="1" t="s">
        <v>123</v>
      </c>
      <c r="GV151" t="s">
        <v>1366</v>
      </c>
      <c r="GW151" t="s">
        <v>1367</v>
      </c>
      <c r="GX151" t="s">
        <v>532</v>
      </c>
      <c r="GY151" t="s">
        <v>140</v>
      </c>
      <c r="GZ151">
        <v>1986</v>
      </c>
      <c r="HA151" t="s">
        <v>398</v>
      </c>
      <c r="HC151" t="s">
        <v>1368</v>
      </c>
    </row>
    <row r="152" spans="1:212" x14ac:dyDescent="0.45">
      <c r="A152">
        <v>151</v>
      </c>
      <c r="B152" t="str">
        <f>_xlfn.IFNA(VLOOKUP(Wszystkie[[#This Row],[Zakończono wypełnianie]],Zakończone[],2,0),"BRAK")</f>
        <v>BRAK</v>
      </c>
      <c r="C152" t="s">
        <v>1142</v>
      </c>
      <c r="D152" t="s">
        <v>118</v>
      </c>
      <c r="I152" t="s">
        <v>286</v>
      </c>
      <c r="J152" t="s">
        <v>1370</v>
      </c>
      <c r="K152" t="s">
        <v>1370</v>
      </c>
      <c r="L152">
        <v>0</v>
      </c>
      <c r="M152">
        <v>0</v>
      </c>
      <c r="N152" t="s">
        <v>122</v>
      </c>
      <c r="O152" s="1" t="s">
        <v>123</v>
      </c>
      <c r="AE152" s="1" t="s">
        <v>124</v>
      </c>
      <c r="AF152" t="s">
        <v>223</v>
      </c>
      <c r="AG152">
        <v>2017</v>
      </c>
      <c r="AH152" t="s">
        <v>148</v>
      </c>
      <c r="AI152" t="s">
        <v>1371</v>
      </c>
      <c r="AJ152" t="s">
        <v>128</v>
      </c>
      <c r="AK152" t="s">
        <v>151</v>
      </c>
      <c r="AL152" t="s">
        <v>162</v>
      </c>
      <c r="AM152" t="s">
        <v>162</v>
      </c>
      <c r="AN152" t="s">
        <v>128</v>
      </c>
      <c r="AO152" t="s">
        <v>237</v>
      </c>
      <c r="AP152" t="s">
        <v>302</v>
      </c>
      <c r="AQ152" t="s">
        <v>302</v>
      </c>
      <c r="AR152" t="s">
        <v>1372</v>
      </c>
      <c r="AS152" t="s">
        <v>1373</v>
      </c>
      <c r="AT152" t="s">
        <v>1374</v>
      </c>
      <c r="AU152" t="s">
        <v>157</v>
      </c>
      <c r="AW152" s="1" t="s">
        <v>123</v>
      </c>
      <c r="AX152" t="s">
        <v>132</v>
      </c>
      <c r="CQ152" s="1" t="s">
        <v>123</v>
      </c>
      <c r="DA152" s="1" t="s">
        <v>123</v>
      </c>
      <c r="DK152" s="1" t="s">
        <v>123</v>
      </c>
      <c r="EN152" s="1" t="s">
        <v>123</v>
      </c>
      <c r="FN152" s="1" t="s">
        <v>123</v>
      </c>
    </row>
    <row r="153" spans="1:212" x14ac:dyDescent="0.45">
      <c r="A153">
        <v>152</v>
      </c>
      <c r="B153" t="str">
        <f>_xlfn.IFNA(VLOOKUP(Wszystkie[[#This Row],[Zakończono wypełnianie]],Zakończone[],2,0),"BRAK")</f>
        <v>BRAK</v>
      </c>
      <c r="C153" t="s">
        <v>1336</v>
      </c>
      <c r="D153" t="s">
        <v>118</v>
      </c>
      <c r="I153" t="s">
        <v>286</v>
      </c>
      <c r="J153" t="s">
        <v>1375</v>
      </c>
      <c r="K153" t="s">
        <v>1375</v>
      </c>
      <c r="L153">
        <v>0</v>
      </c>
      <c r="M153">
        <v>0</v>
      </c>
      <c r="N153" t="s">
        <v>122</v>
      </c>
      <c r="O153" s="1" t="s">
        <v>123</v>
      </c>
      <c r="AE153" s="1" t="s">
        <v>124</v>
      </c>
      <c r="AW153" s="1"/>
      <c r="CQ153" s="1"/>
      <c r="DA153" s="1"/>
      <c r="DK153" s="1"/>
      <c r="EN153" s="1"/>
      <c r="FN153" s="1"/>
    </row>
    <row r="154" spans="1:212" x14ac:dyDescent="0.45">
      <c r="A154">
        <v>153</v>
      </c>
      <c r="B154">
        <f>_xlfn.IFNA(VLOOKUP(Wszystkie[[#This Row],[Zakończono wypełnianie]],Zakończone[],2,0),"BRAK")</f>
        <v>88</v>
      </c>
      <c r="C154" t="s">
        <v>1352</v>
      </c>
      <c r="D154" t="s">
        <v>118</v>
      </c>
      <c r="I154" t="s">
        <v>119</v>
      </c>
      <c r="J154" t="s">
        <v>1376</v>
      </c>
      <c r="K154" t="s">
        <v>1377</v>
      </c>
      <c r="L154">
        <v>352</v>
      </c>
      <c r="M154">
        <v>0</v>
      </c>
      <c r="N154" t="s">
        <v>122</v>
      </c>
      <c r="O154" s="1" t="s">
        <v>123</v>
      </c>
      <c r="AE154" s="1" t="s">
        <v>124</v>
      </c>
      <c r="AF154" t="s">
        <v>223</v>
      </c>
      <c r="AG154">
        <v>2000</v>
      </c>
      <c r="AH154" t="s">
        <v>148</v>
      </c>
      <c r="AI154" t="s">
        <v>161</v>
      </c>
      <c r="AJ154" t="s">
        <v>162</v>
      </c>
      <c r="AK154" t="s">
        <v>162</v>
      </c>
      <c r="AL154" t="s">
        <v>150</v>
      </c>
      <c r="AM154" t="s">
        <v>129</v>
      </c>
      <c r="AN154" t="s">
        <v>128</v>
      </c>
      <c r="AO154">
        <v>5</v>
      </c>
      <c r="AP154" t="s">
        <v>302</v>
      </c>
      <c r="AQ154" t="s">
        <v>302</v>
      </c>
      <c r="AR154" t="s">
        <v>1378</v>
      </c>
      <c r="AS154" t="s">
        <v>1379</v>
      </c>
      <c r="AT154" t="s">
        <v>1380</v>
      </c>
      <c r="AU154" t="s">
        <v>172</v>
      </c>
      <c r="AW154" s="1" t="s">
        <v>123</v>
      </c>
      <c r="AX154" t="s">
        <v>132</v>
      </c>
      <c r="CQ154" s="1" t="s">
        <v>123</v>
      </c>
      <c r="DA154" s="1" t="s">
        <v>123</v>
      </c>
      <c r="DK154" s="1" t="s">
        <v>123</v>
      </c>
      <c r="EN154" s="1" t="s">
        <v>123</v>
      </c>
      <c r="FN154" s="1" t="s">
        <v>123</v>
      </c>
      <c r="GV154" t="s">
        <v>1381</v>
      </c>
      <c r="GW154" t="s">
        <v>1382</v>
      </c>
      <c r="GX154" t="s">
        <v>1383</v>
      </c>
      <c r="GY154" t="s">
        <v>140</v>
      </c>
      <c r="GZ154">
        <v>1982</v>
      </c>
      <c r="HA154" t="s">
        <v>246</v>
      </c>
      <c r="HC154" t="s">
        <v>386</v>
      </c>
      <c r="HD154" t="s">
        <v>386</v>
      </c>
    </row>
    <row r="155" spans="1:212" x14ac:dyDescent="0.45">
      <c r="A155">
        <v>154</v>
      </c>
      <c r="B155">
        <f>_xlfn.IFNA(VLOOKUP(Wszystkie[[#This Row],[Zakończono wypełnianie]],Zakończone[],2,0),"BRAK")</f>
        <v>89</v>
      </c>
      <c r="C155" t="s">
        <v>1142</v>
      </c>
      <c r="D155" t="s">
        <v>118</v>
      </c>
      <c r="I155" t="s">
        <v>119</v>
      </c>
      <c r="J155" t="s">
        <v>1384</v>
      </c>
      <c r="K155" t="s">
        <v>1385</v>
      </c>
      <c r="L155">
        <v>167</v>
      </c>
      <c r="M155">
        <v>0</v>
      </c>
      <c r="N155" t="s">
        <v>122</v>
      </c>
      <c r="O155" s="1" t="s">
        <v>123</v>
      </c>
      <c r="AE155" s="1" t="s">
        <v>123</v>
      </c>
      <c r="AW155" s="1" t="s">
        <v>123</v>
      </c>
      <c r="AX155" t="s">
        <v>132</v>
      </c>
      <c r="CQ155" s="1" t="s">
        <v>123</v>
      </c>
      <c r="DA155" s="1" t="s">
        <v>123</v>
      </c>
      <c r="DK155" s="1" t="s">
        <v>123</v>
      </c>
      <c r="EN155" s="1" t="s">
        <v>123</v>
      </c>
      <c r="FN155" s="1" t="s">
        <v>123</v>
      </c>
      <c r="GV155" t="s">
        <v>1386</v>
      </c>
      <c r="GW155" t="s">
        <v>1387</v>
      </c>
      <c r="GX155" t="s">
        <v>1388</v>
      </c>
      <c r="GY155" t="s">
        <v>186</v>
      </c>
      <c r="GZ155">
        <v>1987</v>
      </c>
      <c r="HA155" t="s">
        <v>141</v>
      </c>
      <c r="HC155" t="s">
        <v>532</v>
      </c>
      <c r="HD155" t="s">
        <v>1389</v>
      </c>
    </row>
    <row r="156" spans="1:212" x14ac:dyDescent="0.45">
      <c r="A156">
        <v>155</v>
      </c>
      <c r="B156" t="str">
        <f>_xlfn.IFNA(VLOOKUP(Wszystkie[[#This Row],[Zakończono wypełnianie]],Zakończone[],2,0),"BRAK")</f>
        <v>BRAK</v>
      </c>
      <c r="C156" t="s">
        <v>1131</v>
      </c>
      <c r="D156" t="s">
        <v>118</v>
      </c>
      <c r="I156" t="s">
        <v>286</v>
      </c>
      <c r="J156" t="s">
        <v>1390</v>
      </c>
      <c r="K156" t="s">
        <v>1390</v>
      </c>
      <c r="L156">
        <v>0</v>
      </c>
      <c r="M156">
        <v>0</v>
      </c>
      <c r="N156" t="s">
        <v>122</v>
      </c>
      <c r="O156" s="1" t="s">
        <v>123</v>
      </c>
      <c r="AE156" s="1" t="s">
        <v>123</v>
      </c>
      <c r="AW156" s="1" t="s">
        <v>123</v>
      </c>
      <c r="AX156" t="s">
        <v>132</v>
      </c>
      <c r="CQ156" s="1" t="s">
        <v>123</v>
      </c>
      <c r="DA156" s="1" t="s">
        <v>123</v>
      </c>
      <c r="DK156" s="1" t="s">
        <v>123</v>
      </c>
      <c r="EN156" s="1" t="s">
        <v>123</v>
      </c>
      <c r="FN156" s="1" t="s">
        <v>123</v>
      </c>
    </row>
    <row r="157" spans="1:212" x14ac:dyDescent="0.45">
      <c r="A157">
        <v>156</v>
      </c>
      <c r="B157">
        <f>_xlfn.IFNA(VLOOKUP(Wszystkie[[#This Row],[Zakończono wypełnianie]],Zakończone[],2,0),"BRAK")</f>
        <v>90</v>
      </c>
      <c r="C157" t="s">
        <v>1142</v>
      </c>
      <c r="D157" t="s">
        <v>118</v>
      </c>
      <c r="I157" t="s">
        <v>119</v>
      </c>
      <c r="J157" t="s">
        <v>1391</v>
      </c>
      <c r="K157" t="s">
        <v>1392</v>
      </c>
      <c r="L157">
        <v>415</v>
      </c>
      <c r="M157">
        <v>0</v>
      </c>
      <c r="N157" t="s">
        <v>122</v>
      </c>
      <c r="O157" s="1" t="s">
        <v>123</v>
      </c>
      <c r="AE157" s="1" t="s">
        <v>124</v>
      </c>
      <c r="AF157" t="s">
        <v>191</v>
      </c>
      <c r="AG157">
        <v>2012</v>
      </c>
      <c r="AH157" t="s">
        <v>126</v>
      </c>
      <c r="AI157" t="s">
        <v>1393</v>
      </c>
      <c r="AJ157" t="s">
        <v>162</v>
      </c>
      <c r="AK157" t="s">
        <v>150</v>
      </c>
      <c r="AL157" t="s">
        <v>150</v>
      </c>
      <c r="AM157" t="s">
        <v>236</v>
      </c>
      <c r="AN157" t="s">
        <v>236</v>
      </c>
      <c r="AO157" t="s">
        <v>1340</v>
      </c>
      <c r="AP157" t="s">
        <v>302</v>
      </c>
      <c r="AQ157" t="s">
        <v>153</v>
      </c>
      <c r="AR157" t="s">
        <v>1394</v>
      </c>
      <c r="AS157" t="s">
        <v>1395</v>
      </c>
      <c r="AT157" t="s">
        <v>1396</v>
      </c>
      <c r="AV157" t="s">
        <v>1397</v>
      </c>
      <c r="AW157" s="1" t="s">
        <v>123</v>
      </c>
      <c r="AX157" t="s">
        <v>132</v>
      </c>
      <c r="CQ157" s="1" t="s">
        <v>123</v>
      </c>
      <c r="DA157" s="1" t="s">
        <v>123</v>
      </c>
      <c r="DK157" s="1" t="s">
        <v>123</v>
      </c>
      <c r="EN157" s="1" t="s">
        <v>123</v>
      </c>
      <c r="FN157" s="1" t="s">
        <v>123</v>
      </c>
      <c r="GV157" t="s">
        <v>1398</v>
      </c>
      <c r="GW157" t="s">
        <v>1399</v>
      </c>
      <c r="GX157" t="s">
        <v>1400</v>
      </c>
      <c r="GY157" t="s">
        <v>140</v>
      </c>
      <c r="GZ157">
        <v>1985</v>
      </c>
      <c r="HA157" t="s">
        <v>141</v>
      </c>
      <c r="HC157" t="s">
        <v>1401</v>
      </c>
    </row>
    <row r="158" spans="1:212" x14ac:dyDescent="0.45">
      <c r="A158">
        <v>157</v>
      </c>
      <c r="B158" t="str">
        <f>_xlfn.IFNA(VLOOKUP(Wszystkie[[#This Row],[Zakończono wypełnianie]],Zakończone[],2,0),"BRAK")</f>
        <v>BRAK</v>
      </c>
      <c r="C158" t="s">
        <v>1131</v>
      </c>
      <c r="D158" t="s">
        <v>118</v>
      </c>
      <c r="I158" t="s">
        <v>286</v>
      </c>
      <c r="J158" t="s">
        <v>1402</v>
      </c>
      <c r="K158" t="s">
        <v>1402</v>
      </c>
      <c r="L158">
        <v>0</v>
      </c>
      <c r="M158">
        <v>0</v>
      </c>
      <c r="N158" t="s">
        <v>122</v>
      </c>
      <c r="O158" s="1" t="s">
        <v>123</v>
      </c>
      <c r="AE158" s="1" t="s">
        <v>124</v>
      </c>
      <c r="AW158" s="1"/>
      <c r="CQ158" s="1"/>
      <c r="DA158" s="1"/>
      <c r="DK158" s="1"/>
      <c r="EN158" s="1"/>
      <c r="FN158" s="1"/>
    </row>
    <row r="159" spans="1:212" x14ac:dyDescent="0.45">
      <c r="A159">
        <v>158</v>
      </c>
      <c r="B159">
        <f>_xlfn.IFNA(VLOOKUP(Wszystkie[[#This Row],[Zakończono wypełnianie]],Zakończone[],2,0),"BRAK")</f>
        <v>91</v>
      </c>
      <c r="C159" t="s">
        <v>1131</v>
      </c>
      <c r="D159" t="s">
        <v>118</v>
      </c>
      <c r="I159" t="s">
        <v>119</v>
      </c>
      <c r="J159" t="s">
        <v>1403</v>
      </c>
      <c r="K159" t="s">
        <v>1404</v>
      </c>
      <c r="L159">
        <v>325</v>
      </c>
      <c r="M159">
        <v>0</v>
      </c>
      <c r="N159" t="s">
        <v>122</v>
      </c>
      <c r="O159" s="1" t="s">
        <v>123</v>
      </c>
      <c r="AE159" s="1" t="s">
        <v>124</v>
      </c>
      <c r="AF159" t="s">
        <v>742</v>
      </c>
      <c r="AG159">
        <v>2013</v>
      </c>
      <c r="AH159" t="s">
        <v>148</v>
      </c>
      <c r="AI159" t="s">
        <v>958</v>
      </c>
      <c r="AJ159" t="s">
        <v>128</v>
      </c>
      <c r="AK159" t="s">
        <v>128</v>
      </c>
      <c r="AL159" t="s">
        <v>162</v>
      </c>
      <c r="AM159" t="s">
        <v>151</v>
      </c>
      <c r="AN159" t="s">
        <v>151</v>
      </c>
      <c r="AO159">
        <v>3</v>
      </c>
      <c r="AP159" t="s">
        <v>131</v>
      </c>
      <c r="AQ159" t="s">
        <v>153</v>
      </c>
      <c r="AR159" t="s">
        <v>1405</v>
      </c>
      <c r="AS159" t="s">
        <v>1406</v>
      </c>
      <c r="AT159" t="s">
        <v>1407</v>
      </c>
      <c r="AU159" t="s">
        <v>157</v>
      </c>
      <c r="AW159" s="1" t="s">
        <v>123</v>
      </c>
      <c r="AX159" t="s">
        <v>132</v>
      </c>
      <c r="CQ159" s="1" t="s">
        <v>123</v>
      </c>
      <c r="DA159" s="1" t="s">
        <v>123</v>
      </c>
      <c r="DK159" s="1" t="s">
        <v>123</v>
      </c>
      <c r="EN159" s="1" t="s">
        <v>123</v>
      </c>
      <c r="FN159" s="1" t="s">
        <v>123</v>
      </c>
      <c r="GV159" t="s">
        <v>1408</v>
      </c>
      <c r="GW159" t="s">
        <v>1409</v>
      </c>
      <c r="GX159" t="s">
        <v>1410</v>
      </c>
      <c r="GY159" t="s">
        <v>140</v>
      </c>
      <c r="GZ159">
        <v>1984</v>
      </c>
      <c r="HA159" t="s">
        <v>398</v>
      </c>
      <c r="HC159" t="s">
        <v>1411</v>
      </c>
    </row>
    <row r="160" spans="1:212" x14ac:dyDescent="0.45">
      <c r="A160">
        <v>159</v>
      </c>
      <c r="B160">
        <f>_xlfn.IFNA(VLOOKUP(Wszystkie[[#This Row],[Zakończono wypełnianie]],Zakończone[],2,0),"BRAK")</f>
        <v>92</v>
      </c>
      <c r="C160" t="s">
        <v>1412</v>
      </c>
      <c r="D160" t="s">
        <v>118</v>
      </c>
      <c r="I160" t="s">
        <v>119</v>
      </c>
      <c r="J160" t="s">
        <v>1413</v>
      </c>
      <c r="K160" t="s">
        <v>1414</v>
      </c>
      <c r="L160">
        <v>1007</v>
      </c>
      <c r="M160">
        <v>0</v>
      </c>
      <c r="N160" t="s">
        <v>122</v>
      </c>
      <c r="O160" s="1" t="s">
        <v>123</v>
      </c>
      <c r="AE160" s="1" t="s">
        <v>124</v>
      </c>
      <c r="AF160" t="s">
        <v>1415</v>
      </c>
      <c r="AG160">
        <v>2006</v>
      </c>
      <c r="AH160" t="s">
        <v>148</v>
      </c>
      <c r="AI160" t="s">
        <v>263</v>
      </c>
      <c r="AJ160" t="s">
        <v>169</v>
      </c>
      <c r="AK160" t="s">
        <v>169</v>
      </c>
      <c r="AL160" t="s">
        <v>169</v>
      </c>
      <c r="AM160" t="s">
        <v>150</v>
      </c>
      <c r="AN160" t="s">
        <v>169</v>
      </c>
      <c r="AO160" t="s">
        <v>1416</v>
      </c>
      <c r="AP160" t="s">
        <v>131</v>
      </c>
      <c r="AQ160" t="s">
        <v>153</v>
      </c>
      <c r="AR160" t="s">
        <v>1417</v>
      </c>
      <c r="AS160" t="s">
        <v>1418</v>
      </c>
      <c r="AT160" t="s">
        <v>1419</v>
      </c>
      <c r="AV160" t="s">
        <v>1420</v>
      </c>
      <c r="AW160" s="1" t="s">
        <v>123</v>
      </c>
      <c r="CQ160" s="1" t="s">
        <v>123</v>
      </c>
      <c r="DA160" s="1" t="s">
        <v>123</v>
      </c>
      <c r="DK160" s="1" t="s">
        <v>123</v>
      </c>
      <c r="EN160" s="1" t="s">
        <v>123</v>
      </c>
      <c r="FN160" s="1" t="s">
        <v>123</v>
      </c>
      <c r="GV160" t="s">
        <v>1421</v>
      </c>
      <c r="GW160" t="s">
        <v>1422</v>
      </c>
      <c r="GX160" t="s">
        <v>142</v>
      </c>
      <c r="GY160" t="s">
        <v>140</v>
      </c>
      <c r="GZ160">
        <v>1983</v>
      </c>
      <c r="HA160" t="s">
        <v>141</v>
      </c>
      <c r="HC160" t="s">
        <v>1423</v>
      </c>
      <c r="HD160" t="s">
        <v>132</v>
      </c>
    </row>
    <row r="161" spans="1:213" x14ac:dyDescent="0.45">
      <c r="A161">
        <v>160</v>
      </c>
      <c r="B161" t="str">
        <f>_xlfn.IFNA(VLOOKUP(Wszystkie[[#This Row],[Zakończono wypełnianie]],Zakończone[],2,0),"BRAK")</f>
        <v>BRAK</v>
      </c>
      <c r="C161" t="s">
        <v>1142</v>
      </c>
      <c r="D161" t="s">
        <v>118</v>
      </c>
      <c r="I161" t="s">
        <v>286</v>
      </c>
      <c r="J161" t="s">
        <v>1424</v>
      </c>
      <c r="K161" t="s">
        <v>1424</v>
      </c>
      <c r="L161">
        <v>0</v>
      </c>
      <c r="M161">
        <v>0</v>
      </c>
      <c r="N161" t="s">
        <v>122</v>
      </c>
      <c r="O161" s="1" t="s">
        <v>416</v>
      </c>
      <c r="AE161" s="1"/>
      <c r="AW161" s="1"/>
      <c r="CQ161" s="1"/>
      <c r="DA161" s="1"/>
      <c r="DK161" s="1"/>
      <c r="EN161" s="1"/>
      <c r="FN161" s="1"/>
    </row>
    <row r="162" spans="1:213" x14ac:dyDescent="0.45">
      <c r="A162">
        <v>161</v>
      </c>
      <c r="B162" t="str">
        <f>_xlfn.IFNA(VLOOKUP(Wszystkie[[#This Row],[Zakończono wypełnianie]],Zakończone[],2,0),"BRAK")</f>
        <v>BRAK</v>
      </c>
      <c r="C162" t="s">
        <v>1331</v>
      </c>
      <c r="D162" t="s">
        <v>118</v>
      </c>
      <c r="I162" t="s">
        <v>286</v>
      </c>
      <c r="J162" t="s">
        <v>1425</v>
      </c>
      <c r="K162" t="s">
        <v>1425</v>
      </c>
      <c r="L162">
        <v>0</v>
      </c>
      <c r="M162">
        <v>0</v>
      </c>
      <c r="N162" t="s">
        <v>122</v>
      </c>
      <c r="O162" s="1" t="s">
        <v>123</v>
      </c>
      <c r="AE162" s="1" t="s">
        <v>124</v>
      </c>
      <c r="AW162" s="1"/>
      <c r="CQ162" s="1"/>
      <c r="DA162" s="1"/>
      <c r="DK162" s="1"/>
      <c r="EN162" s="1"/>
      <c r="FN162" s="1"/>
    </row>
    <row r="163" spans="1:213" x14ac:dyDescent="0.45">
      <c r="A163">
        <v>162</v>
      </c>
      <c r="B163">
        <f>_xlfn.IFNA(VLOOKUP(Wszystkie[[#This Row],[Zakończono wypełnianie]],Zakończone[],2,0),"BRAK")</f>
        <v>93</v>
      </c>
      <c r="C163" t="s">
        <v>1352</v>
      </c>
      <c r="D163" t="s">
        <v>118</v>
      </c>
      <c r="I163" t="s">
        <v>119</v>
      </c>
      <c r="J163" t="s">
        <v>1426</v>
      </c>
      <c r="K163" t="s">
        <v>1427</v>
      </c>
      <c r="L163">
        <v>490</v>
      </c>
      <c r="M163">
        <v>0</v>
      </c>
      <c r="N163" t="s">
        <v>122</v>
      </c>
      <c r="O163" s="1" t="s">
        <v>123</v>
      </c>
      <c r="AE163" s="1" t="s">
        <v>124</v>
      </c>
      <c r="AF163" t="s">
        <v>1415</v>
      </c>
      <c r="AG163">
        <v>2006</v>
      </c>
      <c r="AH163" t="s">
        <v>126</v>
      </c>
      <c r="AI163" t="s">
        <v>192</v>
      </c>
      <c r="AJ163" t="s">
        <v>150</v>
      </c>
      <c r="AK163" t="s">
        <v>150</v>
      </c>
      <c r="AL163" t="s">
        <v>169</v>
      </c>
      <c r="AM163" t="s">
        <v>150</v>
      </c>
      <c r="AN163" t="s">
        <v>150</v>
      </c>
      <c r="AO163" t="s">
        <v>237</v>
      </c>
      <c r="AP163" t="s">
        <v>226</v>
      </c>
      <c r="AQ163" t="s">
        <v>1428</v>
      </c>
      <c r="AR163" t="s">
        <v>1429</v>
      </c>
      <c r="AS163" t="s">
        <v>1430</v>
      </c>
      <c r="AT163" t="s">
        <v>1431</v>
      </c>
      <c r="AU163" t="s">
        <v>157</v>
      </c>
      <c r="AW163" s="1" t="s">
        <v>123</v>
      </c>
      <c r="AX163" t="s">
        <v>132</v>
      </c>
      <c r="CQ163" s="1" t="s">
        <v>123</v>
      </c>
      <c r="DA163" s="1" t="s">
        <v>123</v>
      </c>
      <c r="DK163" s="1" t="s">
        <v>123</v>
      </c>
      <c r="EN163" s="1" t="s">
        <v>123</v>
      </c>
      <c r="FN163" s="1" t="s">
        <v>123</v>
      </c>
      <c r="GV163" t="s">
        <v>1432</v>
      </c>
      <c r="GW163" t="s">
        <v>1433</v>
      </c>
      <c r="GX163" t="s">
        <v>1434</v>
      </c>
      <c r="GY163" t="s">
        <v>186</v>
      </c>
      <c r="GZ163">
        <v>1982</v>
      </c>
      <c r="HA163" t="s">
        <v>141</v>
      </c>
    </row>
    <row r="164" spans="1:213" x14ac:dyDescent="0.45">
      <c r="A164">
        <v>163</v>
      </c>
      <c r="B164" t="str">
        <f>_xlfn.IFNA(VLOOKUP(Wszystkie[[#This Row],[Zakończono wypełnianie]],Zakończone[],2,0),"BRAK")</f>
        <v>BRAK</v>
      </c>
      <c r="C164" t="s">
        <v>1331</v>
      </c>
      <c r="D164" t="s">
        <v>118</v>
      </c>
      <c r="I164" t="s">
        <v>286</v>
      </c>
      <c r="J164" t="s">
        <v>1435</v>
      </c>
      <c r="K164" t="s">
        <v>1435</v>
      </c>
      <c r="L164">
        <v>0</v>
      </c>
      <c r="M164">
        <v>0</v>
      </c>
      <c r="N164" t="s">
        <v>122</v>
      </c>
      <c r="O164" s="1" t="s">
        <v>123</v>
      </c>
      <c r="AE164" s="1" t="s">
        <v>124</v>
      </c>
      <c r="AW164" s="1"/>
      <c r="CQ164" s="1"/>
      <c r="DA164" s="1"/>
      <c r="DK164" s="1"/>
      <c r="EN164" s="1"/>
      <c r="FN164" s="1"/>
    </row>
    <row r="165" spans="1:213" x14ac:dyDescent="0.45">
      <c r="A165">
        <v>164</v>
      </c>
      <c r="B165">
        <f>_xlfn.IFNA(VLOOKUP(Wszystkie[[#This Row],[Zakończono wypełnianie]],Zakończone[],2,0),"BRAK")</f>
        <v>94</v>
      </c>
      <c r="C165" t="s">
        <v>1436</v>
      </c>
      <c r="D165" t="s">
        <v>118</v>
      </c>
      <c r="I165" t="s">
        <v>119</v>
      </c>
      <c r="J165" t="s">
        <v>1437</v>
      </c>
      <c r="K165" t="s">
        <v>1438</v>
      </c>
      <c r="L165">
        <v>880</v>
      </c>
      <c r="M165">
        <v>0</v>
      </c>
      <c r="N165" t="s">
        <v>122</v>
      </c>
      <c r="O165" s="1" t="s">
        <v>123</v>
      </c>
      <c r="AE165" s="1" t="s">
        <v>124</v>
      </c>
      <c r="AF165" t="s">
        <v>1439</v>
      </c>
      <c r="AG165">
        <v>2019</v>
      </c>
      <c r="AH165" t="s">
        <v>148</v>
      </c>
      <c r="AI165" t="s">
        <v>1440</v>
      </c>
      <c r="AJ165" t="s">
        <v>128</v>
      </c>
      <c r="AK165" t="s">
        <v>128</v>
      </c>
      <c r="AL165" t="s">
        <v>150</v>
      </c>
      <c r="AM165" t="s">
        <v>169</v>
      </c>
      <c r="AN165" t="s">
        <v>169</v>
      </c>
      <c r="AO165" t="s">
        <v>1441</v>
      </c>
      <c r="AP165" t="s">
        <v>302</v>
      </c>
      <c r="AQ165" t="s">
        <v>226</v>
      </c>
      <c r="AR165" t="s">
        <v>1442</v>
      </c>
      <c r="AS165" t="s">
        <v>1443</v>
      </c>
      <c r="AT165" t="s">
        <v>1444</v>
      </c>
      <c r="AU165" t="s">
        <v>230</v>
      </c>
      <c r="AW165" s="1" t="s">
        <v>123</v>
      </c>
      <c r="AX165" t="s">
        <v>132</v>
      </c>
      <c r="CQ165" s="1" t="s">
        <v>123</v>
      </c>
      <c r="DA165" s="1" t="s">
        <v>123</v>
      </c>
      <c r="DK165" s="1" t="s">
        <v>123</v>
      </c>
      <c r="EN165" s="1" t="s">
        <v>123</v>
      </c>
      <c r="EO165" t="s">
        <v>178</v>
      </c>
      <c r="FN165" s="1" t="s">
        <v>123</v>
      </c>
      <c r="GV165" t="s">
        <v>1445</v>
      </c>
      <c r="GW165" t="s">
        <v>1446</v>
      </c>
      <c r="GX165" t="s">
        <v>1447</v>
      </c>
      <c r="GY165" t="s">
        <v>140</v>
      </c>
      <c r="GZ165">
        <v>1990</v>
      </c>
      <c r="HA165" t="s">
        <v>398</v>
      </c>
      <c r="HC165" t="s">
        <v>1448</v>
      </c>
      <c r="HD165" t="s">
        <v>1449</v>
      </c>
    </row>
    <row r="166" spans="1:213" x14ac:dyDescent="0.45">
      <c r="A166">
        <v>166</v>
      </c>
      <c r="B166" t="str">
        <f>_xlfn.IFNA(VLOOKUP(Wszystkie[[#This Row],[Zakończono wypełnianie]],Zakończone[],2,0),"BRAK")</f>
        <v>BRAK</v>
      </c>
      <c r="C166" t="s">
        <v>1142</v>
      </c>
      <c r="D166" t="s">
        <v>118</v>
      </c>
      <c r="I166" t="s">
        <v>286</v>
      </c>
      <c r="J166" t="s">
        <v>1458</v>
      </c>
      <c r="K166" t="s">
        <v>1458</v>
      </c>
      <c r="L166">
        <v>0</v>
      </c>
      <c r="M166">
        <v>0</v>
      </c>
      <c r="N166" t="s">
        <v>122</v>
      </c>
      <c r="O166" s="1" t="s">
        <v>123</v>
      </c>
      <c r="AE166" s="1" t="s">
        <v>124</v>
      </c>
      <c r="AW166" s="1"/>
      <c r="CQ166" s="1"/>
      <c r="DA166" s="1"/>
      <c r="DK166" s="1"/>
      <c r="EN166" s="1"/>
      <c r="FN166" s="1"/>
    </row>
    <row r="167" spans="1:213" x14ac:dyDescent="0.45">
      <c r="A167">
        <v>168</v>
      </c>
      <c r="B167" t="str">
        <f>_xlfn.IFNA(VLOOKUP(Wszystkie[[#This Row],[Zakończono wypełnianie]],Zakończone[],2,0),"BRAK")</f>
        <v>BRAK</v>
      </c>
      <c r="C167" t="s">
        <v>1352</v>
      </c>
      <c r="D167" t="s">
        <v>118</v>
      </c>
      <c r="I167" t="s">
        <v>286</v>
      </c>
      <c r="J167" t="s">
        <v>1459</v>
      </c>
      <c r="K167" t="s">
        <v>1459</v>
      </c>
      <c r="L167">
        <v>0</v>
      </c>
      <c r="M167">
        <v>0</v>
      </c>
      <c r="N167" t="s">
        <v>122</v>
      </c>
      <c r="O167" s="1" t="s">
        <v>123</v>
      </c>
      <c r="AE167" s="1" t="s">
        <v>124</v>
      </c>
      <c r="AW167" s="1"/>
      <c r="CQ167" s="1"/>
      <c r="DA167" s="1"/>
      <c r="DK167" s="1"/>
      <c r="EN167" s="1"/>
      <c r="FN167" s="1"/>
    </row>
    <row r="168" spans="1:213" x14ac:dyDescent="0.45">
      <c r="A168">
        <v>170</v>
      </c>
      <c r="B168" t="str">
        <f>_xlfn.IFNA(VLOOKUP(Wszystkie[[#This Row],[Zakończono wypełnianie]],Zakończone[],2,0),"BRAK")</f>
        <v>BRAK</v>
      </c>
      <c r="C168" t="s">
        <v>1352</v>
      </c>
      <c r="D168" t="s">
        <v>118</v>
      </c>
      <c r="I168" t="s">
        <v>286</v>
      </c>
      <c r="J168" t="s">
        <v>1480</v>
      </c>
      <c r="K168" t="s">
        <v>1480</v>
      </c>
      <c r="L168">
        <v>0</v>
      </c>
      <c r="M168">
        <v>0</v>
      </c>
      <c r="N168" t="s">
        <v>122</v>
      </c>
      <c r="O168" s="1" t="s">
        <v>123</v>
      </c>
      <c r="AE168" s="1" t="s">
        <v>124</v>
      </c>
      <c r="AW168" s="1"/>
      <c r="CQ168" s="1"/>
      <c r="DA168" s="1"/>
      <c r="DK168" s="1"/>
      <c r="EN168" s="1"/>
      <c r="FN168" s="1"/>
    </row>
    <row r="169" spans="1:213" x14ac:dyDescent="0.45">
      <c r="A169">
        <v>172</v>
      </c>
      <c r="B169" t="str">
        <f>_xlfn.IFNA(VLOOKUP(Wszystkie[[#This Row],[Zakończono wypełnianie]],Zakończone[],2,0),"BRAK")</f>
        <v>BRAK</v>
      </c>
      <c r="C169" t="s">
        <v>1336</v>
      </c>
      <c r="D169" t="s">
        <v>118</v>
      </c>
      <c r="I169" t="s">
        <v>286</v>
      </c>
      <c r="J169" t="s">
        <v>1490</v>
      </c>
      <c r="K169" t="s">
        <v>1490</v>
      </c>
      <c r="L169">
        <v>0</v>
      </c>
      <c r="M169">
        <v>0</v>
      </c>
      <c r="N169" t="s">
        <v>122</v>
      </c>
      <c r="O169" s="1" t="s">
        <v>123</v>
      </c>
      <c r="AE169" s="1" t="s">
        <v>124</v>
      </c>
      <c r="AW169" s="1"/>
      <c r="CQ169" s="1"/>
      <c r="DA169" s="1"/>
      <c r="DK169" s="1"/>
      <c r="EN169" s="1"/>
      <c r="FN169" s="1"/>
    </row>
    <row r="170" spans="1:213" x14ac:dyDescent="0.45">
      <c r="A170">
        <v>165</v>
      </c>
      <c r="B170">
        <f>_xlfn.IFNA(VLOOKUP(Wszystkie[[#This Row],[Zakończono wypełnianie]],Zakończone[],2,0),"BRAK")</f>
        <v>95</v>
      </c>
      <c r="C170" t="s">
        <v>1352</v>
      </c>
      <c r="D170" t="s">
        <v>118</v>
      </c>
      <c r="I170" t="s">
        <v>119</v>
      </c>
      <c r="J170" t="s">
        <v>1450</v>
      </c>
      <c r="K170" t="s">
        <v>1451</v>
      </c>
      <c r="L170">
        <v>402</v>
      </c>
      <c r="M170">
        <v>0</v>
      </c>
      <c r="N170" t="s">
        <v>122</v>
      </c>
      <c r="O170" s="1" t="s">
        <v>123</v>
      </c>
      <c r="AE170" s="1" t="s">
        <v>124</v>
      </c>
      <c r="AF170" t="s">
        <v>223</v>
      </c>
      <c r="AG170">
        <v>2008</v>
      </c>
      <c r="AH170" t="s">
        <v>148</v>
      </c>
      <c r="AI170" t="s">
        <v>1452</v>
      </c>
      <c r="AJ170" t="s">
        <v>128</v>
      </c>
      <c r="AK170" t="s">
        <v>236</v>
      </c>
      <c r="AL170" t="s">
        <v>129</v>
      </c>
      <c r="AM170" t="s">
        <v>129</v>
      </c>
      <c r="AN170" t="s">
        <v>128</v>
      </c>
      <c r="AO170" t="s">
        <v>237</v>
      </c>
      <c r="AP170" t="s">
        <v>131</v>
      </c>
      <c r="AQ170" t="s">
        <v>131</v>
      </c>
      <c r="AR170" t="s">
        <v>1453</v>
      </c>
      <c r="AS170" t="s">
        <v>1454</v>
      </c>
      <c r="AT170" t="s">
        <v>1005</v>
      </c>
      <c r="AU170" t="s">
        <v>157</v>
      </c>
      <c r="AW170" s="1" t="s">
        <v>123</v>
      </c>
      <c r="AX170" t="s">
        <v>132</v>
      </c>
      <c r="CQ170" s="1" t="s">
        <v>123</v>
      </c>
      <c r="DA170" s="1" t="s">
        <v>123</v>
      </c>
      <c r="DK170" s="1" t="s">
        <v>123</v>
      </c>
      <c r="EN170" s="1" t="s">
        <v>123</v>
      </c>
      <c r="FN170" s="1" t="s">
        <v>123</v>
      </c>
      <c r="GV170" t="s">
        <v>1455</v>
      </c>
      <c r="GW170" t="s">
        <v>1456</v>
      </c>
      <c r="GX170" t="s">
        <v>1457</v>
      </c>
      <c r="GY170" t="s">
        <v>140</v>
      </c>
      <c r="GZ170">
        <v>1984</v>
      </c>
      <c r="HA170" t="s">
        <v>220</v>
      </c>
      <c r="HC170" t="s">
        <v>386</v>
      </c>
      <c r="HD170" t="s">
        <v>386</v>
      </c>
    </row>
    <row r="171" spans="1:213" x14ac:dyDescent="0.45">
      <c r="A171">
        <v>173</v>
      </c>
      <c r="B171" t="str">
        <f>_xlfn.IFNA(VLOOKUP(Wszystkie[[#This Row],[Zakończono wypełnianie]],Zakończone[],2,0),"BRAK")</f>
        <v>BRAK</v>
      </c>
      <c r="C171" t="s">
        <v>1142</v>
      </c>
      <c r="D171" t="s">
        <v>118</v>
      </c>
      <c r="I171" t="s">
        <v>286</v>
      </c>
      <c r="J171" t="s">
        <v>1491</v>
      </c>
      <c r="K171" t="s">
        <v>1491</v>
      </c>
      <c r="L171">
        <v>0</v>
      </c>
      <c r="M171">
        <v>0</v>
      </c>
      <c r="N171" t="s">
        <v>122</v>
      </c>
      <c r="O171" s="1" t="s">
        <v>123</v>
      </c>
      <c r="AE171" s="1" t="s">
        <v>124</v>
      </c>
      <c r="AW171" s="1"/>
      <c r="CQ171" s="1"/>
      <c r="DA171" s="1"/>
      <c r="DK171" s="1"/>
      <c r="EN171" s="1"/>
      <c r="FN171" s="1"/>
    </row>
    <row r="172" spans="1:213" x14ac:dyDescent="0.45">
      <c r="A172">
        <v>169</v>
      </c>
      <c r="B172">
        <f>_xlfn.IFNA(VLOOKUP(Wszystkie[[#This Row],[Zakończono wypełnianie]],Zakończone[],2,0),"BRAK")</f>
        <v>97</v>
      </c>
      <c r="C172" t="s">
        <v>1352</v>
      </c>
      <c r="D172" t="s">
        <v>118</v>
      </c>
      <c r="I172" t="s">
        <v>119</v>
      </c>
      <c r="J172" t="s">
        <v>1470</v>
      </c>
      <c r="K172" t="s">
        <v>1471</v>
      </c>
      <c r="L172">
        <v>495</v>
      </c>
      <c r="M172">
        <v>0</v>
      </c>
      <c r="N172" t="s">
        <v>122</v>
      </c>
      <c r="O172" s="1" t="s">
        <v>123</v>
      </c>
      <c r="AE172" s="1" t="s">
        <v>124</v>
      </c>
      <c r="AF172" t="s">
        <v>1472</v>
      </c>
      <c r="AG172" t="s">
        <v>1473</v>
      </c>
      <c r="AH172" t="s">
        <v>148</v>
      </c>
      <c r="AI172" t="s">
        <v>1474</v>
      </c>
      <c r="AJ172" t="s">
        <v>169</v>
      </c>
      <c r="AK172" t="s">
        <v>169</v>
      </c>
      <c r="AL172" t="s">
        <v>151</v>
      </c>
      <c r="AM172" t="s">
        <v>162</v>
      </c>
      <c r="AN172" t="s">
        <v>162</v>
      </c>
      <c r="AO172" t="s">
        <v>1475</v>
      </c>
      <c r="AP172" t="s">
        <v>132</v>
      </c>
      <c r="AQ172" t="s">
        <v>132</v>
      </c>
      <c r="AR172" t="s">
        <v>1476</v>
      </c>
      <c r="AS172" t="s">
        <v>1477</v>
      </c>
      <c r="AT172" t="s">
        <v>1473</v>
      </c>
      <c r="AU172" t="s">
        <v>157</v>
      </c>
      <c r="AW172" s="1" t="s">
        <v>123</v>
      </c>
      <c r="AX172" t="s">
        <v>132</v>
      </c>
      <c r="CQ172" s="1" t="s">
        <v>123</v>
      </c>
      <c r="DA172" s="1" t="s">
        <v>123</v>
      </c>
      <c r="DK172" s="1" t="s">
        <v>123</v>
      </c>
      <c r="EN172" s="1" t="s">
        <v>123</v>
      </c>
      <c r="FN172" s="1" t="s">
        <v>123</v>
      </c>
      <c r="GV172" t="s">
        <v>1478</v>
      </c>
      <c r="GW172" t="s">
        <v>1478</v>
      </c>
      <c r="GX172" t="s">
        <v>1473</v>
      </c>
      <c r="GY172" t="s">
        <v>140</v>
      </c>
      <c r="GZ172" t="s">
        <v>1473</v>
      </c>
      <c r="HA172" t="s">
        <v>398</v>
      </c>
      <c r="HC172" t="s">
        <v>1479</v>
      </c>
      <c r="HD172" t="s">
        <v>1473</v>
      </c>
      <c r="HE172" t="s">
        <v>1473</v>
      </c>
    </row>
    <row r="173" spans="1:213" x14ac:dyDescent="0.45">
      <c r="A173">
        <v>167</v>
      </c>
      <c r="B173">
        <f>_xlfn.IFNA(VLOOKUP(Wszystkie[[#This Row],[Zakończono wypełnianie]],Zakończone[],2,0),"BRAK")</f>
        <v>96</v>
      </c>
      <c r="C173" t="s">
        <v>1131</v>
      </c>
      <c r="D173" t="s">
        <v>118</v>
      </c>
      <c r="I173" t="s">
        <v>119</v>
      </c>
      <c r="J173" t="s">
        <v>1459</v>
      </c>
      <c r="K173" t="s">
        <v>1460</v>
      </c>
      <c r="L173">
        <v>665</v>
      </c>
      <c r="M173">
        <v>0</v>
      </c>
      <c r="N173" t="s">
        <v>122</v>
      </c>
      <c r="O173" s="1" t="s">
        <v>123</v>
      </c>
      <c r="AE173" s="1" t="s">
        <v>124</v>
      </c>
      <c r="AF173" t="s">
        <v>1461</v>
      </c>
      <c r="AG173">
        <v>2007</v>
      </c>
      <c r="AH173" t="s">
        <v>148</v>
      </c>
      <c r="AI173" t="s">
        <v>1462</v>
      </c>
      <c r="AJ173" t="s">
        <v>162</v>
      </c>
      <c r="AK173" t="s">
        <v>151</v>
      </c>
      <c r="AL173" t="s">
        <v>151</v>
      </c>
      <c r="AM173" t="s">
        <v>150</v>
      </c>
      <c r="AN173" t="s">
        <v>128</v>
      </c>
      <c r="AO173">
        <v>2</v>
      </c>
      <c r="AP173" t="s">
        <v>302</v>
      </c>
      <c r="AQ173" t="s">
        <v>302</v>
      </c>
      <c r="AR173" t="s">
        <v>1463</v>
      </c>
      <c r="AS173" t="s">
        <v>1464</v>
      </c>
      <c r="AT173" t="s">
        <v>1465</v>
      </c>
      <c r="AU173" t="s">
        <v>157</v>
      </c>
      <c r="AW173" s="1" t="s">
        <v>123</v>
      </c>
      <c r="CQ173" s="1" t="s">
        <v>123</v>
      </c>
      <c r="DA173" s="1" t="s">
        <v>123</v>
      </c>
      <c r="DK173" s="1" t="s">
        <v>123</v>
      </c>
      <c r="EN173" s="1" t="s">
        <v>123</v>
      </c>
      <c r="FN173" s="1" t="s">
        <v>123</v>
      </c>
      <c r="GV173" t="s">
        <v>1466</v>
      </c>
      <c r="GW173" t="s">
        <v>1467</v>
      </c>
      <c r="GX173" t="s">
        <v>1468</v>
      </c>
      <c r="GY173" t="s">
        <v>140</v>
      </c>
      <c r="GZ173">
        <v>1982</v>
      </c>
      <c r="HA173" t="s">
        <v>398</v>
      </c>
      <c r="HC173" t="s">
        <v>1469</v>
      </c>
    </row>
    <row r="174" spans="1:213" x14ac:dyDescent="0.45">
      <c r="A174">
        <v>171</v>
      </c>
      <c r="B174">
        <f>_xlfn.IFNA(VLOOKUP(Wszystkie[[#This Row],[Zakończono wypełnianie]],Zakończone[],2,0),"BRAK")</f>
        <v>98</v>
      </c>
      <c r="C174" t="s">
        <v>1336</v>
      </c>
      <c r="D174" t="s">
        <v>118</v>
      </c>
      <c r="I174" t="s">
        <v>119</v>
      </c>
      <c r="J174" t="s">
        <v>1481</v>
      </c>
      <c r="K174" t="s">
        <v>1482</v>
      </c>
      <c r="L174">
        <v>562</v>
      </c>
      <c r="M174">
        <v>0</v>
      </c>
      <c r="N174" t="s">
        <v>122</v>
      </c>
      <c r="O174" s="1" t="s">
        <v>123</v>
      </c>
      <c r="AE174" s="1" t="s">
        <v>124</v>
      </c>
      <c r="AF174" t="s">
        <v>223</v>
      </c>
      <c r="AG174">
        <v>2014</v>
      </c>
      <c r="AH174" t="s">
        <v>148</v>
      </c>
      <c r="AI174" t="s">
        <v>1483</v>
      </c>
      <c r="AJ174" t="s">
        <v>151</v>
      </c>
      <c r="AK174" t="s">
        <v>128</v>
      </c>
      <c r="AL174" t="s">
        <v>128</v>
      </c>
      <c r="AM174" t="s">
        <v>151</v>
      </c>
      <c r="AN174" t="s">
        <v>162</v>
      </c>
      <c r="AO174" t="s">
        <v>1484</v>
      </c>
      <c r="AP174" t="s">
        <v>153</v>
      </c>
      <c r="AQ174" t="s">
        <v>153</v>
      </c>
      <c r="AS174" t="s">
        <v>1485</v>
      </c>
      <c r="AT174" t="s">
        <v>1486</v>
      </c>
      <c r="AU174" t="s">
        <v>172</v>
      </c>
      <c r="AW174" s="1" t="s">
        <v>123</v>
      </c>
      <c r="AX174" t="s">
        <v>132</v>
      </c>
      <c r="CQ174" s="1" t="s">
        <v>123</v>
      </c>
      <c r="DA174" s="1" t="s">
        <v>123</v>
      </c>
      <c r="DK174" s="1" t="s">
        <v>123</v>
      </c>
      <c r="EN174" s="1" t="s">
        <v>123</v>
      </c>
      <c r="FN174" s="1" t="s">
        <v>123</v>
      </c>
      <c r="GV174" t="s">
        <v>1487</v>
      </c>
      <c r="GW174" t="s">
        <v>1488</v>
      </c>
      <c r="GX174" t="s">
        <v>1489</v>
      </c>
      <c r="GY174" t="s">
        <v>140</v>
      </c>
      <c r="GZ174">
        <v>1991</v>
      </c>
      <c r="HA174" t="s">
        <v>141</v>
      </c>
    </row>
    <row r="175" spans="1:213" x14ac:dyDescent="0.45">
      <c r="A175">
        <v>174</v>
      </c>
      <c r="B175" t="str">
        <f>_xlfn.IFNA(VLOOKUP(Wszystkie[[#This Row],[Zakończono wypełnianie]],Zakończone[],2,0),"BRAK")</f>
        <v>BRAK</v>
      </c>
      <c r="C175" t="s">
        <v>1352</v>
      </c>
      <c r="D175" t="s">
        <v>118</v>
      </c>
      <c r="I175" t="s">
        <v>286</v>
      </c>
      <c r="J175" t="s">
        <v>1492</v>
      </c>
      <c r="K175" t="s">
        <v>1492</v>
      </c>
      <c r="L175">
        <v>0</v>
      </c>
      <c r="M175">
        <v>0</v>
      </c>
      <c r="N175" t="s">
        <v>122</v>
      </c>
      <c r="O175" s="1" t="s">
        <v>123</v>
      </c>
      <c r="AE175" s="1" t="s">
        <v>124</v>
      </c>
      <c r="AW175" s="1"/>
      <c r="CQ175" s="1"/>
      <c r="DA175" s="1"/>
      <c r="DK175" s="1"/>
      <c r="EN175" s="1"/>
      <c r="FN175" s="1"/>
    </row>
    <row r="176" spans="1:213" x14ac:dyDescent="0.45">
      <c r="A176">
        <v>176</v>
      </c>
      <c r="B176" t="str">
        <f>_xlfn.IFNA(VLOOKUP(Wszystkie[[#This Row],[Zakończono wypełnianie]],Zakończone[],2,0),"BRAK")</f>
        <v>BRAK</v>
      </c>
      <c r="C176" t="s">
        <v>1131</v>
      </c>
      <c r="D176" t="s">
        <v>118</v>
      </c>
      <c r="I176" t="s">
        <v>286</v>
      </c>
      <c r="J176" t="s">
        <v>1498</v>
      </c>
      <c r="K176" t="s">
        <v>1498</v>
      </c>
      <c r="L176">
        <v>0</v>
      </c>
      <c r="M176">
        <v>0</v>
      </c>
      <c r="N176" t="s">
        <v>122</v>
      </c>
      <c r="O176" s="1" t="s">
        <v>123</v>
      </c>
      <c r="AE176" s="1" t="s">
        <v>124</v>
      </c>
      <c r="AW176" s="1"/>
      <c r="CQ176" s="1"/>
      <c r="DA176" s="1"/>
      <c r="DK176" s="1"/>
      <c r="EN176" s="1"/>
      <c r="FN176" s="1"/>
    </row>
    <row r="177" spans="1:213" x14ac:dyDescent="0.45">
      <c r="A177">
        <v>177</v>
      </c>
      <c r="B177" t="str">
        <f>_xlfn.IFNA(VLOOKUP(Wszystkie[[#This Row],[Zakończono wypełnianie]],Zakończone[],2,0),"BRAK")</f>
        <v>BRAK</v>
      </c>
      <c r="C177" t="s">
        <v>1499</v>
      </c>
      <c r="D177" t="s">
        <v>118</v>
      </c>
      <c r="I177" t="s">
        <v>286</v>
      </c>
      <c r="J177" t="s">
        <v>1500</v>
      </c>
      <c r="K177" t="s">
        <v>1500</v>
      </c>
      <c r="L177">
        <v>0</v>
      </c>
      <c r="M177">
        <v>0</v>
      </c>
      <c r="N177" t="s">
        <v>122</v>
      </c>
      <c r="O177" s="1" t="s">
        <v>123</v>
      </c>
      <c r="AE177" s="1" t="s">
        <v>124</v>
      </c>
      <c r="AW177" s="1"/>
      <c r="CQ177" s="1"/>
      <c r="DA177" s="1"/>
      <c r="DK177" s="1"/>
      <c r="EN177" s="1"/>
      <c r="FN177" s="1"/>
    </row>
    <row r="178" spans="1:213" x14ac:dyDescent="0.45">
      <c r="A178">
        <v>175</v>
      </c>
      <c r="B178">
        <f>_xlfn.IFNA(VLOOKUP(Wszystkie[[#This Row],[Zakończono wypełnianie]],Zakończone[],2,0),"BRAK")</f>
        <v>99</v>
      </c>
      <c r="C178" t="s">
        <v>1131</v>
      </c>
      <c r="D178" t="s">
        <v>118</v>
      </c>
      <c r="I178" t="s">
        <v>119</v>
      </c>
      <c r="J178" t="s">
        <v>1493</v>
      </c>
      <c r="K178" t="s">
        <v>1494</v>
      </c>
      <c r="L178">
        <v>2185</v>
      </c>
      <c r="M178">
        <v>0</v>
      </c>
      <c r="N178" t="s">
        <v>122</v>
      </c>
      <c r="O178" s="1" t="s">
        <v>123</v>
      </c>
      <c r="AE178" s="1" t="s">
        <v>124</v>
      </c>
      <c r="AF178" t="s">
        <v>223</v>
      </c>
      <c r="AG178">
        <v>2005</v>
      </c>
      <c r="AH178" t="s">
        <v>148</v>
      </c>
      <c r="AI178" t="s">
        <v>1495</v>
      </c>
      <c r="AJ178" t="s">
        <v>150</v>
      </c>
      <c r="AK178" t="s">
        <v>169</v>
      </c>
      <c r="AL178" t="s">
        <v>169</v>
      </c>
      <c r="AM178" t="s">
        <v>169</v>
      </c>
      <c r="AN178" t="s">
        <v>150</v>
      </c>
      <c r="AO178" t="s">
        <v>237</v>
      </c>
      <c r="AP178" t="s">
        <v>131</v>
      </c>
      <c r="AQ178" t="s">
        <v>302</v>
      </c>
      <c r="AS178" t="s">
        <v>1496</v>
      </c>
      <c r="AT178" t="s">
        <v>386</v>
      </c>
      <c r="AU178" t="s">
        <v>230</v>
      </c>
      <c r="AW178" s="1" t="s">
        <v>123</v>
      </c>
      <c r="CQ178" s="1" t="s">
        <v>123</v>
      </c>
      <c r="DA178" s="1" t="s">
        <v>123</v>
      </c>
      <c r="DK178" s="1" t="s">
        <v>123</v>
      </c>
      <c r="EN178" s="1" t="s">
        <v>123</v>
      </c>
      <c r="EO178" t="s">
        <v>178</v>
      </c>
      <c r="FN178" s="1" t="s">
        <v>123</v>
      </c>
      <c r="GV178" t="s">
        <v>1497</v>
      </c>
      <c r="GW178" t="s">
        <v>1497</v>
      </c>
      <c r="GX178" t="s">
        <v>1497</v>
      </c>
      <c r="GY178" t="s">
        <v>186</v>
      </c>
      <c r="GZ178">
        <v>1981</v>
      </c>
      <c r="HA178" t="s">
        <v>246</v>
      </c>
    </row>
    <row r="179" spans="1:213" x14ac:dyDescent="0.45">
      <c r="A179">
        <v>178</v>
      </c>
      <c r="B179">
        <f>_xlfn.IFNA(VLOOKUP(Wszystkie[[#This Row],[Zakończono wypełnianie]],Zakończone[],2,0),"BRAK")</f>
        <v>100</v>
      </c>
      <c r="C179" t="s">
        <v>1131</v>
      </c>
      <c r="D179" t="s">
        <v>118</v>
      </c>
      <c r="I179" t="s">
        <v>119</v>
      </c>
      <c r="J179" t="s">
        <v>1501</v>
      </c>
      <c r="K179" t="s">
        <v>1502</v>
      </c>
      <c r="L179">
        <v>1485</v>
      </c>
      <c r="M179">
        <v>0</v>
      </c>
      <c r="N179" t="s">
        <v>122</v>
      </c>
      <c r="O179" s="1" t="s">
        <v>123</v>
      </c>
      <c r="AE179" s="1" t="s">
        <v>124</v>
      </c>
      <c r="AF179" t="s">
        <v>1503</v>
      </c>
      <c r="AG179">
        <v>2016</v>
      </c>
      <c r="AH179" t="s">
        <v>148</v>
      </c>
      <c r="AI179" t="s">
        <v>1504</v>
      </c>
      <c r="AJ179" t="s">
        <v>150</v>
      </c>
      <c r="AK179" t="s">
        <v>151</v>
      </c>
      <c r="AL179" t="s">
        <v>162</v>
      </c>
      <c r="AM179" t="s">
        <v>150</v>
      </c>
      <c r="AN179" t="s">
        <v>169</v>
      </c>
      <c r="AO179">
        <v>4</v>
      </c>
      <c r="AP179" t="s">
        <v>302</v>
      </c>
      <c r="AQ179" t="s">
        <v>153</v>
      </c>
      <c r="AR179" t="s">
        <v>1505</v>
      </c>
      <c r="AS179" t="s">
        <v>1506</v>
      </c>
      <c r="AT179" t="s">
        <v>1507</v>
      </c>
      <c r="AU179" t="s">
        <v>157</v>
      </c>
      <c r="AW179" s="1" t="s">
        <v>123</v>
      </c>
      <c r="AX179" t="s">
        <v>132</v>
      </c>
      <c r="CQ179" s="1" t="s">
        <v>123</v>
      </c>
      <c r="DA179" s="1" t="s">
        <v>123</v>
      </c>
      <c r="DK179" s="1" t="s">
        <v>123</v>
      </c>
      <c r="EN179" s="1" t="s">
        <v>123</v>
      </c>
      <c r="FN179" s="1" t="s">
        <v>123</v>
      </c>
      <c r="GV179" t="s">
        <v>1508</v>
      </c>
      <c r="GW179" t="s">
        <v>1509</v>
      </c>
      <c r="GX179" t="s">
        <v>1510</v>
      </c>
      <c r="GY179" t="s">
        <v>186</v>
      </c>
      <c r="GZ179">
        <v>1991</v>
      </c>
      <c r="HA179" t="s">
        <v>398</v>
      </c>
    </row>
    <row r="180" spans="1:213" x14ac:dyDescent="0.45">
      <c r="A180">
        <v>180</v>
      </c>
      <c r="B180" t="str">
        <f>_xlfn.IFNA(VLOOKUP(Wszystkie[[#This Row],[Zakończono wypełnianie]],Zakończone[],2,0),"BRAK")</f>
        <v>BRAK</v>
      </c>
      <c r="C180" t="s">
        <v>1142</v>
      </c>
      <c r="D180" t="s">
        <v>118</v>
      </c>
      <c r="I180" t="s">
        <v>286</v>
      </c>
      <c r="J180" t="s">
        <v>1527</v>
      </c>
      <c r="K180" t="s">
        <v>1527</v>
      </c>
      <c r="L180">
        <v>0</v>
      </c>
      <c r="M180">
        <v>0</v>
      </c>
      <c r="N180" t="s">
        <v>122</v>
      </c>
      <c r="O180" s="1" t="s">
        <v>123</v>
      </c>
      <c r="AE180" s="1" t="s">
        <v>124</v>
      </c>
      <c r="AW180" s="1"/>
      <c r="CQ180" s="1"/>
      <c r="DA180" s="1"/>
      <c r="DK180" s="1"/>
      <c r="EN180" s="1"/>
      <c r="FN180" s="1"/>
    </row>
    <row r="181" spans="1:213" x14ac:dyDescent="0.45">
      <c r="A181">
        <v>179</v>
      </c>
      <c r="B181">
        <f>_xlfn.IFNA(VLOOKUP(Wszystkie[[#This Row],[Zakończono wypełnianie]],Zakończone[],2,0),"BRAK")</f>
        <v>101</v>
      </c>
      <c r="C181" t="s">
        <v>1511</v>
      </c>
      <c r="D181" t="s">
        <v>118</v>
      </c>
      <c r="I181" t="s">
        <v>119</v>
      </c>
      <c r="J181" t="s">
        <v>1512</v>
      </c>
      <c r="K181" t="s">
        <v>1513</v>
      </c>
      <c r="L181">
        <v>2685</v>
      </c>
      <c r="M181">
        <v>0</v>
      </c>
      <c r="N181" t="s">
        <v>122</v>
      </c>
      <c r="O181" s="1" t="s">
        <v>123</v>
      </c>
      <c r="AE181" s="1" t="s">
        <v>124</v>
      </c>
      <c r="AF181" t="s">
        <v>1514</v>
      </c>
      <c r="AG181">
        <v>1996</v>
      </c>
      <c r="AH181" t="s">
        <v>148</v>
      </c>
      <c r="AI181" t="s">
        <v>1515</v>
      </c>
      <c r="AJ181" t="s">
        <v>162</v>
      </c>
      <c r="AK181" t="s">
        <v>151</v>
      </c>
      <c r="AL181" t="s">
        <v>162</v>
      </c>
      <c r="AM181" t="s">
        <v>162</v>
      </c>
      <c r="AN181" t="s">
        <v>151</v>
      </c>
      <c r="AO181" t="s">
        <v>1516</v>
      </c>
      <c r="AP181" t="s">
        <v>194</v>
      </c>
      <c r="AQ181" t="s">
        <v>194</v>
      </c>
      <c r="AR181" t="s">
        <v>1517</v>
      </c>
      <c r="AS181" t="s">
        <v>1518</v>
      </c>
      <c r="AT181" t="s">
        <v>1519</v>
      </c>
      <c r="AU181" t="s">
        <v>172</v>
      </c>
      <c r="AW181" s="1" t="s">
        <v>123</v>
      </c>
      <c r="AX181" t="s">
        <v>132</v>
      </c>
      <c r="CQ181" s="1" t="s">
        <v>123</v>
      </c>
      <c r="DA181" s="1" t="s">
        <v>123</v>
      </c>
      <c r="DK181" s="1" t="s">
        <v>123</v>
      </c>
      <c r="EN181" s="1" t="s">
        <v>177</v>
      </c>
      <c r="EO181" t="s">
        <v>180</v>
      </c>
      <c r="EP181">
        <v>1</v>
      </c>
      <c r="EQ181" t="s">
        <v>1520</v>
      </c>
      <c r="ER181" t="s">
        <v>150</v>
      </c>
      <c r="ES181" t="s">
        <v>162</v>
      </c>
      <c r="ET181" t="s">
        <v>162</v>
      </c>
      <c r="EU181" t="s">
        <v>178</v>
      </c>
      <c r="EV181" t="s">
        <v>1521</v>
      </c>
      <c r="EW181" t="s">
        <v>1522</v>
      </c>
      <c r="EX181" t="s">
        <v>173</v>
      </c>
      <c r="FN181" s="1" t="s">
        <v>123</v>
      </c>
      <c r="GV181" t="s">
        <v>1523</v>
      </c>
      <c r="GW181" t="s">
        <v>1524</v>
      </c>
      <c r="GX181" t="s">
        <v>1525</v>
      </c>
      <c r="GY181" t="s">
        <v>186</v>
      </c>
      <c r="GZ181">
        <v>1974</v>
      </c>
      <c r="HA181" t="s">
        <v>398</v>
      </c>
      <c r="HC181" t="s">
        <v>1526</v>
      </c>
    </row>
    <row r="182" spans="1:213" x14ac:dyDescent="0.45">
      <c r="A182">
        <v>181</v>
      </c>
      <c r="B182">
        <f>_xlfn.IFNA(VLOOKUP(Wszystkie[[#This Row],[Zakończono wypełnianie]],Zakończone[],2,0),"BRAK")</f>
        <v>102</v>
      </c>
      <c r="C182" t="s">
        <v>1336</v>
      </c>
      <c r="D182" t="s">
        <v>118</v>
      </c>
      <c r="I182" t="s">
        <v>119</v>
      </c>
      <c r="J182" t="s">
        <v>1528</v>
      </c>
      <c r="K182" t="s">
        <v>1529</v>
      </c>
      <c r="L182">
        <v>426</v>
      </c>
      <c r="M182">
        <v>0</v>
      </c>
      <c r="N182" t="s">
        <v>122</v>
      </c>
      <c r="O182" s="1" t="s">
        <v>416</v>
      </c>
      <c r="P182" t="s">
        <v>1439</v>
      </c>
      <c r="Q182" t="s">
        <v>126</v>
      </c>
      <c r="R182" t="s">
        <v>1530</v>
      </c>
      <c r="S182" t="s">
        <v>151</v>
      </c>
      <c r="T182" t="s">
        <v>162</v>
      </c>
      <c r="U182" t="s">
        <v>128</v>
      </c>
      <c r="V182" t="s">
        <v>1531</v>
      </c>
      <c r="W182" t="s">
        <v>194</v>
      </c>
      <c r="X182" t="s">
        <v>194</v>
      </c>
      <c r="Y182" t="s">
        <v>1532</v>
      </c>
      <c r="Z182" t="s">
        <v>1533</v>
      </c>
      <c r="AA182" t="s">
        <v>1534</v>
      </c>
      <c r="AB182" t="s">
        <v>892</v>
      </c>
      <c r="AD182">
        <v>7</v>
      </c>
      <c r="AE182" s="1" t="s">
        <v>123</v>
      </c>
      <c r="AW182" s="1" t="s">
        <v>123</v>
      </c>
      <c r="AX182" t="s">
        <v>132</v>
      </c>
      <c r="CQ182" s="1" t="s">
        <v>123</v>
      </c>
      <c r="DA182" s="1" t="s">
        <v>123</v>
      </c>
      <c r="DK182" s="1" t="s">
        <v>123</v>
      </c>
      <c r="EN182" s="1" t="s">
        <v>123</v>
      </c>
      <c r="EO182" t="s">
        <v>178</v>
      </c>
      <c r="EP182" t="s">
        <v>132</v>
      </c>
      <c r="FN182" s="1" t="s">
        <v>123</v>
      </c>
      <c r="GV182" t="s">
        <v>1535</v>
      </c>
      <c r="GW182" t="s">
        <v>1536</v>
      </c>
      <c r="GX182" t="s">
        <v>1537</v>
      </c>
      <c r="GY182" t="s">
        <v>140</v>
      </c>
      <c r="GZ182">
        <v>1991</v>
      </c>
      <c r="HA182" t="s">
        <v>141</v>
      </c>
      <c r="HC182" t="s">
        <v>1538</v>
      </c>
      <c r="HD182" t="s">
        <v>1539</v>
      </c>
    </row>
    <row r="183" spans="1:213" x14ac:dyDescent="0.45">
      <c r="A183">
        <v>182</v>
      </c>
      <c r="B183">
        <f>_xlfn.IFNA(VLOOKUP(Wszystkie[[#This Row],[Zakończono wypełnianie]],Zakończone[],2,0),"BRAK")</f>
        <v>103</v>
      </c>
      <c r="C183" t="s">
        <v>1540</v>
      </c>
      <c r="D183" t="s">
        <v>118</v>
      </c>
      <c r="I183" t="s">
        <v>119</v>
      </c>
      <c r="J183" t="s">
        <v>1541</v>
      </c>
      <c r="K183" t="s">
        <v>1542</v>
      </c>
      <c r="L183">
        <v>193</v>
      </c>
      <c r="M183">
        <v>0</v>
      </c>
      <c r="N183" t="s">
        <v>122</v>
      </c>
      <c r="O183" s="1" t="s">
        <v>123</v>
      </c>
      <c r="AE183" s="1" t="s">
        <v>124</v>
      </c>
      <c r="AF183" t="s">
        <v>1543</v>
      </c>
      <c r="AG183">
        <v>2013</v>
      </c>
      <c r="AH183" t="s">
        <v>126</v>
      </c>
      <c r="AI183" t="s">
        <v>1544</v>
      </c>
      <c r="AJ183" t="s">
        <v>236</v>
      </c>
      <c r="AK183" t="s">
        <v>236</v>
      </c>
      <c r="AL183" t="s">
        <v>162</v>
      </c>
      <c r="AM183" t="s">
        <v>236</v>
      </c>
      <c r="AN183" t="s">
        <v>236</v>
      </c>
      <c r="AO183">
        <v>1</v>
      </c>
      <c r="AP183" t="s">
        <v>131</v>
      </c>
      <c r="AQ183" t="s">
        <v>302</v>
      </c>
      <c r="AS183" t="s">
        <v>267</v>
      </c>
      <c r="AT183" t="s">
        <v>267</v>
      </c>
      <c r="AU183" t="s">
        <v>157</v>
      </c>
      <c r="AW183" s="1" t="s">
        <v>123</v>
      </c>
      <c r="AX183" t="s">
        <v>132</v>
      </c>
      <c r="CQ183" s="1" t="s">
        <v>123</v>
      </c>
      <c r="DA183" s="1" t="s">
        <v>123</v>
      </c>
      <c r="DK183" s="1" t="s">
        <v>123</v>
      </c>
      <c r="EN183" s="1" t="s">
        <v>123</v>
      </c>
      <c r="FN183" s="1" t="s">
        <v>123</v>
      </c>
      <c r="GV183" t="s">
        <v>267</v>
      </c>
      <c r="GW183" t="s">
        <v>267</v>
      </c>
      <c r="GX183" t="s">
        <v>267</v>
      </c>
      <c r="GY183" t="s">
        <v>186</v>
      </c>
      <c r="GZ183">
        <v>1989</v>
      </c>
      <c r="HA183" t="s">
        <v>141</v>
      </c>
      <c r="HC183" t="s">
        <v>267</v>
      </c>
      <c r="HD183" t="s">
        <v>267</v>
      </c>
      <c r="HE183" t="s">
        <v>267</v>
      </c>
    </row>
    <row r="184" spans="1:213" x14ac:dyDescent="0.45">
      <c r="A184">
        <v>185</v>
      </c>
      <c r="B184" t="str">
        <f>_xlfn.IFNA(VLOOKUP(Wszystkie[[#This Row],[Zakończono wypełnianie]],Zakończone[],2,0),"BRAK")</f>
        <v>BRAK</v>
      </c>
      <c r="C184" t="s">
        <v>1142</v>
      </c>
      <c r="D184" t="s">
        <v>118</v>
      </c>
      <c r="I184" t="s">
        <v>286</v>
      </c>
      <c r="J184" t="s">
        <v>1567</v>
      </c>
      <c r="K184" t="s">
        <v>1567</v>
      </c>
      <c r="L184">
        <v>0</v>
      </c>
      <c r="M184">
        <v>0</v>
      </c>
      <c r="N184" t="s">
        <v>122</v>
      </c>
      <c r="O184" s="1" t="s">
        <v>123</v>
      </c>
      <c r="AE184" s="1" t="s">
        <v>124</v>
      </c>
      <c r="AF184" t="s">
        <v>1503</v>
      </c>
      <c r="AG184">
        <v>2010</v>
      </c>
      <c r="AH184" t="s">
        <v>126</v>
      </c>
      <c r="AI184" t="s">
        <v>1568</v>
      </c>
      <c r="AJ184" t="s">
        <v>128</v>
      </c>
      <c r="AK184" t="s">
        <v>151</v>
      </c>
      <c r="AL184" t="s">
        <v>151</v>
      </c>
      <c r="AM184" t="s">
        <v>128</v>
      </c>
      <c r="AN184" t="s">
        <v>151</v>
      </c>
      <c r="AO184" t="s">
        <v>1569</v>
      </c>
      <c r="AP184" t="s">
        <v>131</v>
      </c>
      <c r="AQ184" t="s">
        <v>302</v>
      </c>
      <c r="AS184" t="s">
        <v>1570</v>
      </c>
      <c r="AT184" t="s">
        <v>532</v>
      </c>
      <c r="AV184" t="s">
        <v>1571</v>
      </c>
      <c r="AW184" s="1" t="s">
        <v>123</v>
      </c>
      <c r="CQ184" s="1" t="s">
        <v>123</v>
      </c>
      <c r="DA184" s="1" t="s">
        <v>123</v>
      </c>
      <c r="DK184" s="1" t="s">
        <v>123</v>
      </c>
      <c r="EN184" s="1" t="s">
        <v>123</v>
      </c>
      <c r="FN184" s="1" t="s">
        <v>123</v>
      </c>
    </row>
    <row r="185" spans="1:213" x14ac:dyDescent="0.45">
      <c r="A185">
        <v>186</v>
      </c>
      <c r="B185" t="str">
        <f>_xlfn.IFNA(VLOOKUP(Wszystkie[[#This Row],[Zakończono wypełnianie]],Zakończone[],2,0),"BRAK")</f>
        <v>BRAK</v>
      </c>
      <c r="C185" t="s">
        <v>1572</v>
      </c>
      <c r="D185" t="s">
        <v>118</v>
      </c>
      <c r="I185" t="s">
        <v>286</v>
      </c>
      <c r="J185" t="s">
        <v>1573</v>
      </c>
      <c r="K185" t="s">
        <v>1573</v>
      </c>
      <c r="L185">
        <v>0</v>
      </c>
      <c r="M185">
        <v>0</v>
      </c>
      <c r="N185" t="s">
        <v>122</v>
      </c>
      <c r="O185" s="1" t="s">
        <v>123</v>
      </c>
      <c r="AE185" s="1" t="s">
        <v>124</v>
      </c>
      <c r="AW185" s="1"/>
      <c r="CQ185" s="1"/>
      <c r="DA185" s="1"/>
      <c r="DK185" s="1"/>
      <c r="EN185" s="1"/>
      <c r="FN185" s="1"/>
    </row>
    <row r="186" spans="1:213" x14ac:dyDescent="0.45">
      <c r="A186">
        <v>187</v>
      </c>
      <c r="B186">
        <f>_xlfn.IFNA(VLOOKUP(Wszystkie[[#This Row],[Zakończono wypełnianie]],Zakończone[],2,0),"BRAK")</f>
        <v>106</v>
      </c>
      <c r="C186" t="s">
        <v>1574</v>
      </c>
      <c r="D186" t="s">
        <v>118</v>
      </c>
      <c r="I186" t="s">
        <v>119</v>
      </c>
      <c r="J186" t="s">
        <v>1575</v>
      </c>
      <c r="K186" t="s">
        <v>1576</v>
      </c>
      <c r="L186">
        <v>701</v>
      </c>
      <c r="M186">
        <v>0</v>
      </c>
      <c r="N186" t="s">
        <v>122</v>
      </c>
      <c r="O186" s="1" t="s">
        <v>123</v>
      </c>
      <c r="AE186" s="1" t="s">
        <v>124</v>
      </c>
      <c r="AF186" t="s">
        <v>191</v>
      </c>
      <c r="AG186" t="s">
        <v>1577</v>
      </c>
      <c r="AH186" t="s">
        <v>126</v>
      </c>
      <c r="AI186" t="s">
        <v>1578</v>
      </c>
      <c r="AJ186" t="s">
        <v>162</v>
      </c>
      <c r="AK186" t="s">
        <v>162</v>
      </c>
      <c r="AL186" t="s">
        <v>151</v>
      </c>
      <c r="AM186" t="s">
        <v>162</v>
      </c>
      <c r="AN186" t="s">
        <v>151</v>
      </c>
      <c r="AO186" t="s">
        <v>530</v>
      </c>
      <c r="AP186" t="s">
        <v>302</v>
      </c>
      <c r="AQ186" t="s">
        <v>302</v>
      </c>
      <c r="AS186" t="s">
        <v>1579</v>
      </c>
      <c r="AT186" t="s">
        <v>1580</v>
      </c>
      <c r="AU186" t="s">
        <v>157</v>
      </c>
      <c r="AV186" t="s">
        <v>1581</v>
      </c>
      <c r="AW186" s="1" t="s">
        <v>123</v>
      </c>
      <c r="CQ186" s="1" t="s">
        <v>123</v>
      </c>
      <c r="DA186" s="1" t="s">
        <v>123</v>
      </c>
      <c r="DK186" s="1" t="s">
        <v>123</v>
      </c>
      <c r="EN186" s="1" t="s">
        <v>123</v>
      </c>
      <c r="FN186" s="1" t="s">
        <v>123</v>
      </c>
      <c r="GV186" t="s">
        <v>1582</v>
      </c>
      <c r="GW186" t="s">
        <v>1583</v>
      </c>
      <c r="GX186" t="s">
        <v>1584</v>
      </c>
      <c r="GY186" t="s">
        <v>140</v>
      </c>
      <c r="GZ186">
        <v>1985</v>
      </c>
      <c r="HA186" t="s">
        <v>220</v>
      </c>
      <c r="HC186" t="s">
        <v>1585</v>
      </c>
      <c r="HD186" t="s">
        <v>1586</v>
      </c>
    </row>
    <row r="187" spans="1:213" x14ac:dyDescent="0.45">
      <c r="A187">
        <v>190</v>
      </c>
      <c r="B187" t="str">
        <f>_xlfn.IFNA(VLOOKUP(Wszystkie[[#This Row],[Zakończono wypełnianie]],Zakończone[],2,0),"BRAK")</f>
        <v>BRAK</v>
      </c>
      <c r="C187" t="s">
        <v>1616</v>
      </c>
      <c r="D187" t="s">
        <v>118</v>
      </c>
      <c r="I187" t="s">
        <v>286</v>
      </c>
      <c r="J187" t="s">
        <v>1617</v>
      </c>
      <c r="K187" t="s">
        <v>1617</v>
      </c>
      <c r="L187">
        <v>0</v>
      </c>
      <c r="M187">
        <v>0</v>
      </c>
      <c r="N187" t="s">
        <v>122</v>
      </c>
      <c r="O187" s="1" t="s">
        <v>123</v>
      </c>
      <c r="AE187" s="1" t="s">
        <v>124</v>
      </c>
      <c r="AW187" s="1"/>
      <c r="CQ187" s="1"/>
      <c r="DA187" s="1"/>
      <c r="DK187" s="1"/>
      <c r="EN187" s="1"/>
      <c r="FN187" s="1"/>
    </row>
    <row r="188" spans="1:213" x14ac:dyDescent="0.45">
      <c r="A188">
        <v>184</v>
      </c>
      <c r="B188">
        <f>_xlfn.IFNA(VLOOKUP(Wszystkie[[#This Row],[Zakończono wypełnianie]],Zakończone[],2,0),"BRAK")</f>
        <v>105</v>
      </c>
      <c r="C188" t="s">
        <v>1555</v>
      </c>
      <c r="D188" t="s">
        <v>118</v>
      </c>
      <c r="I188" t="s">
        <v>119</v>
      </c>
      <c r="J188" t="s">
        <v>1556</v>
      </c>
      <c r="K188" t="s">
        <v>1557</v>
      </c>
      <c r="L188">
        <v>1119</v>
      </c>
      <c r="M188">
        <v>0</v>
      </c>
      <c r="N188" t="s">
        <v>122</v>
      </c>
      <c r="O188" s="1" t="s">
        <v>123</v>
      </c>
      <c r="AE188" s="1" t="s">
        <v>124</v>
      </c>
      <c r="AF188" t="s">
        <v>191</v>
      </c>
      <c r="AG188">
        <v>1997</v>
      </c>
      <c r="AH188" t="s">
        <v>126</v>
      </c>
      <c r="AI188" t="s">
        <v>1558</v>
      </c>
      <c r="AJ188" t="s">
        <v>150</v>
      </c>
      <c r="AK188" t="s">
        <v>150</v>
      </c>
      <c r="AL188" t="s">
        <v>150</v>
      </c>
      <c r="AM188" t="s">
        <v>150</v>
      </c>
      <c r="AN188" t="s">
        <v>150</v>
      </c>
      <c r="AO188" t="s">
        <v>1559</v>
      </c>
      <c r="AP188" t="s">
        <v>132</v>
      </c>
      <c r="AQ188" t="s">
        <v>132</v>
      </c>
      <c r="AR188" t="s">
        <v>1560</v>
      </c>
      <c r="AS188" t="s">
        <v>1561</v>
      </c>
      <c r="AT188" t="s">
        <v>1562</v>
      </c>
      <c r="AU188" t="s">
        <v>172</v>
      </c>
      <c r="AW188" s="1" t="s">
        <v>123</v>
      </c>
      <c r="AX188" t="s">
        <v>132</v>
      </c>
      <c r="CQ188" s="1" t="s">
        <v>123</v>
      </c>
      <c r="DA188" s="1" t="s">
        <v>123</v>
      </c>
      <c r="DK188" s="1" t="s">
        <v>123</v>
      </c>
      <c r="EN188" s="1" t="s">
        <v>123</v>
      </c>
      <c r="FN188" s="1" t="s">
        <v>123</v>
      </c>
      <c r="GV188" t="s">
        <v>1563</v>
      </c>
      <c r="GW188" t="s">
        <v>1564</v>
      </c>
      <c r="GX188" t="s">
        <v>1565</v>
      </c>
      <c r="GY188" t="s">
        <v>186</v>
      </c>
      <c r="GZ188">
        <v>1972</v>
      </c>
      <c r="HA188" t="s">
        <v>483</v>
      </c>
      <c r="HC188" t="s">
        <v>1566</v>
      </c>
      <c r="HD188" t="s">
        <v>142</v>
      </c>
    </row>
    <row r="189" spans="1:213" x14ac:dyDescent="0.45">
      <c r="A189">
        <v>183</v>
      </c>
      <c r="B189">
        <f>_xlfn.IFNA(VLOOKUP(Wszystkie[[#This Row],[Zakończono wypełnianie]],Zakończone[],2,0),"BRAK")</f>
        <v>104</v>
      </c>
      <c r="C189" t="s">
        <v>1545</v>
      </c>
      <c r="D189" t="s">
        <v>118</v>
      </c>
      <c r="I189" t="s">
        <v>119</v>
      </c>
      <c r="J189" t="s">
        <v>1546</v>
      </c>
      <c r="K189" t="s">
        <v>1547</v>
      </c>
      <c r="L189">
        <v>1556</v>
      </c>
      <c r="M189">
        <v>0</v>
      </c>
      <c r="N189" t="s">
        <v>122</v>
      </c>
      <c r="O189" s="1" t="s">
        <v>123</v>
      </c>
      <c r="AE189" s="1" t="s">
        <v>124</v>
      </c>
      <c r="AF189" t="s">
        <v>191</v>
      </c>
      <c r="AG189">
        <v>2018</v>
      </c>
      <c r="AH189" t="s">
        <v>126</v>
      </c>
      <c r="AI189" t="s">
        <v>192</v>
      </c>
      <c r="AJ189" t="s">
        <v>150</v>
      </c>
      <c r="AK189" t="s">
        <v>162</v>
      </c>
      <c r="AL189" t="s">
        <v>150</v>
      </c>
      <c r="AM189" t="s">
        <v>162</v>
      </c>
      <c r="AN189" t="s">
        <v>169</v>
      </c>
      <c r="AO189" t="s">
        <v>237</v>
      </c>
      <c r="AP189" t="s">
        <v>153</v>
      </c>
      <c r="AQ189" t="s">
        <v>209</v>
      </c>
      <c r="AR189" t="s">
        <v>1548</v>
      </c>
      <c r="AS189" t="s">
        <v>1549</v>
      </c>
      <c r="AT189" t="s">
        <v>1550</v>
      </c>
      <c r="AU189" t="s">
        <v>230</v>
      </c>
      <c r="AW189" s="1" t="s">
        <v>123</v>
      </c>
      <c r="CQ189" s="1" t="s">
        <v>123</v>
      </c>
      <c r="DA189" s="1" t="s">
        <v>123</v>
      </c>
      <c r="DK189" s="1" t="s">
        <v>123</v>
      </c>
      <c r="EN189" s="1" t="s">
        <v>123</v>
      </c>
      <c r="FN189" s="1" t="s">
        <v>123</v>
      </c>
      <c r="GV189" t="s">
        <v>1551</v>
      </c>
      <c r="GW189" t="s">
        <v>1552</v>
      </c>
      <c r="GX189" t="s">
        <v>1553</v>
      </c>
      <c r="GY189" t="s">
        <v>186</v>
      </c>
      <c r="GZ189">
        <v>1994</v>
      </c>
      <c r="HA189" t="s">
        <v>483</v>
      </c>
      <c r="HC189" t="s">
        <v>1554</v>
      </c>
    </row>
    <row r="190" spans="1:213" x14ac:dyDescent="0.45">
      <c r="A190">
        <v>192</v>
      </c>
      <c r="B190" t="str">
        <f>_xlfn.IFNA(VLOOKUP(Wszystkie[[#This Row],[Zakończono wypełnianie]],Zakończone[],2,0),"BRAK")</f>
        <v>BRAK</v>
      </c>
      <c r="C190" t="s">
        <v>1632</v>
      </c>
      <c r="D190" t="s">
        <v>118</v>
      </c>
      <c r="I190" t="s">
        <v>286</v>
      </c>
      <c r="J190" t="s">
        <v>1633</v>
      </c>
      <c r="K190" t="s">
        <v>1633</v>
      </c>
      <c r="L190">
        <v>0</v>
      </c>
      <c r="M190">
        <v>0</v>
      </c>
      <c r="N190" t="s">
        <v>122</v>
      </c>
      <c r="O190" s="1" t="s">
        <v>416</v>
      </c>
      <c r="AE190" s="1"/>
      <c r="AW190" s="1"/>
      <c r="CQ190" s="1"/>
      <c r="DA190" s="1"/>
      <c r="DK190" s="1"/>
      <c r="EN190" s="1"/>
      <c r="FN190" s="1"/>
    </row>
    <row r="191" spans="1:213" x14ac:dyDescent="0.45">
      <c r="A191">
        <v>194</v>
      </c>
      <c r="B191" t="str">
        <f>_xlfn.IFNA(VLOOKUP(Wszystkie[[#This Row],[Zakończono wypełnianie]],Zakończone[],2,0),"BRAK")</f>
        <v>BRAK</v>
      </c>
      <c r="C191" t="s">
        <v>1646</v>
      </c>
      <c r="D191" t="s">
        <v>118</v>
      </c>
      <c r="E191" t="s">
        <v>1647</v>
      </c>
      <c r="I191" t="s">
        <v>286</v>
      </c>
      <c r="J191" t="s">
        <v>1648</v>
      </c>
      <c r="K191" t="s">
        <v>1648</v>
      </c>
      <c r="L191">
        <v>0</v>
      </c>
      <c r="M191">
        <v>0</v>
      </c>
      <c r="N191" t="s">
        <v>122</v>
      </c>
      <c r="O191" s="1" t="s">
        <v>123</v>
      </c>
      <c r="AE191" s="1" t="s">
        <v>124</v>
      </c>
      <c r="AW191" s="1"/>
      <c r="CQ191" s="1"/>
      <c r="DA191" s="1"/>
      <c r="DK191" s="1"/>
      <c r="EN191" s="1"/>
      <c r="FN191" s="1"/>
    </row>
    <row r="192" spans="1:213" x14ac:dyDescent="0.45">
      <c r="A192">
        <v>193</v>
      </c>
      <c r="B192">
        <f>_xlfn.IFNA(VLOOKUP(Wszystkie[[#This Row],[Zakończono wypełnianie]],Zakończone[],2,0),"BRAK")</f>
        <v>110</v>
      </c>
      <c r="C192" t="s">
        <v>1131</v>
      </c>
      <c r="D192" t="s">
        <v>118</v>
      </c>
      <c r="I192" t="s">
        <v>119</v>
      </c>
      <c r="J192" t="s">
        <v>1634</v>
      </c>
      <c r="K192" t="s">
        <v>1635</v>
      </c>
      <c r="L192">
        <v>545</v>
      </c>
      <c r="M192">
        <v>0</v>
      </c>
      <c r="N192" t="s">
        <v>122</v>
      </c>
      <c r="O192" s="1" t="s">
        <v>123</v>
      </c>
      <c r="AE192" s="1" t="s">
        <v>124</v>
      </c>
      <c r="AF192" t="s">
        <v>1636</v>
      </c>
      <c r="AG192">
        <v>2001</v>
      </c>
      <c r="AH192" t="s">
        <v>148</v>
      </c>
      <c r="AI192" t="s">
        <v>1637</v>
      </c>
      <c r="AJ192" t="s">
        <v>150</v>
      </c>
      <c r="AK192" t="s">
        <v>150</v>
      </c>
      <c r="AL192" t="s">
        <v>169</v>
      </c>
      <c r="AM192" t="s">
        <v>150</v>
      </c>
      <c r="AN192" t="s">
        <v>169</v>
      </c>
      <c r="AO192" t="s">
        <v>1638</v>
      </c>
      <c r="AP192" t="s">
        <v>152</v>
      </c>
      <c r="AQ192" t="s">
        <v>153</v>
      </c>
      <c r="AR192" t="s">
        <v>1639</v>
      </c>
      <c r="AS192" t="s">
        <v>1640</v>
      </c>
      <c r="AT192" t="s">
        <v>386</v>
      </c>
      <c r="AU192" t="s">
        <v>157</v>
      </c>
      <c r="AW192" s="1" t="s">
        <v>123</v>
      </c>
      <c r="AX192" t="s">
        <v>132</v>
      </c>
      <c r="CQ192" s="1" t="s">
        <v>123</v>
      </c>
      <c r="DA192" s="1" t="s">
        <v>123</v>
      </c>
      <c r="DK192" s="1" t="s">
        <v>123</v>
      </c>
      <c r="EN192" s="1" t="s">
        <v>123</v>
      </c>
      <c r="FN192" s="1" t="s">
        <v>123</v>
      </c>
      <c r="GV192" t="s">
        <v>1641</v>
      </c>
      <c r="GW192" t="s">
        <v>1642</v>
      </c>
      <c r="GX192" t="s">
        <v>1643</v>
      </c>
      <c r="GY192" t="s">
        <v>140</v>
      </c>
      <c r="GZ192">
        <v>1977</v>
      </c>
      <c r="HA192" t="s">
        <v>141</v>
      </c>
      <c r="HB192" t="s">
        <v>1644</v>
      </c>
      <c r="HC192" t="s">
        <v>1645</v>
      </c>
    </row>
    <row r="193" spans="1:213" x14ac:dyDescent="0.45">
      <c r="A193">
        <v>188</v>
      </c>
      <c r="B193">
        <f>_xlfn.IFNA(VLOOKUP(Wszystkie[[#This Row],[Zakończono wypełnianie]],Zakończone[],2,0),"BRAK")</f>
        <v>107</v>
      </c>
      <c r="C193" t="s">
        <v>1587</v>
      </c>
      <c r="D193" t="s">
        <v>118</v>
      </c>
      <c r="I193" t="s">
        <v>119</v>
      </c>
      <c r="J193" t="s">
        <v>1588</v>
      </c>
      <c r="K193" t="s">
        <v>1589</v>
      </c>
      <c r="L193">
        <v>1788</v>
      </c>
      <c r="M193">
        <v>0</v>
      </c>
      <c r="N193" t="s">
        <v>122</v>
      </c>
      <c r="O193" s="1" t="s">
        <v>123</v>
      </c>
      <c r="AE193" s="1" t="s">
        <v>124</v>
      </c>
      <c r="AF193" t="s">
        <v>747</v>
      </c>
      <c r="AG193">
        <v>1983</v>
      </c>
      <c r="AH193" t="s">
        <v>126</v>
      </c>
      <c r="AI193" t="s">
        <v>1590</v>
      </c>
      <c r="AJ193" t="s">
        <v>150</v>
      </c>
      <c r="AK193" t="s">
        <v>150</v>
      </c>
      <c r="AL193" t="s">
        <v>236</v>
      </c>
      <c r="AM193" t="s">
        <v>129</v>
      </c>
      <c r="AN193" t="s">
        <v>162</v>
      </c>
      <c r="AO193">
        <v>36</v>
      </c>
      <c r="AP193" t="s">
        <v>132</v>
      </c>
      <c r="AQ193" t="s">
        <v>132</v>
      </c>
      <c r="AR193" t="s">
        <v>1591</v>
      </c>
      <c r="AS193" t="s">
        <v>1592</v>
      </c>
      <c r="AT193" t="s">
        <v>1593</v>
      </c>
      <c r="AU193" t="s">
        <v>172</v>
      </c>
      <c r="AW193" s="1" t="s">
        <v>159</v>
      </c>
      <c r="AX193">
        <v>3</v>
      </c>
      <c r="AY193" t="s">
        <v>747</v>
      </c>
      <c r="AZ193">
        <v>2019</v>
      </c>
      <c r="BA193" t="s">
        <v>126</v>
      </c>
      <c r="BB193" t="s">
        <v>1594</v>
      </c>
      <c r="BC193" t="s">
        <v>236</v>
      </c>
      <c r="BD193" t="s">
        <v>128</v>
      </c>
      <c r="BE193" t="s">
        <v>162</v>
      </c>
      <c r="BF193" t="s">
        <v>151</v>
      </c>
      <c r="BG193" t="s">
        <v>132</v>
      </c>
      <c r="BH193" t="s">
        <v>1595</v>
      </c>
      <c r="BI193" t="s">
        <v>1596</v>
      </c>
      <c r="BJ193" t="s">
        <v>157</v>
      </c>
      <c r="BM193" t="s">
        <v>173</v>
      </c>
      <c r="CQ193" s="1" t="s">
        <v>123</v>
      </c>
      <c r="DA193" s="1" t="s">
        <v>123</v>
      </c>
      <c r="DK193" s="1" t="s">
        <v>123</v>
      </c>
      <c r="EN193" s="1" t="s">
        <v>177</v>
      </c>
      <c r="EO193" t="s">
        <v>178</v>
      </c>
      <c r="EP193">
        <v>2</v>
      </c>
      <c r="EQ193" t="s">
        <v>747</v>
      </c>
      <c r="ER193" t="s">
        <v>236</v>
      </c>
      <c r="ES193" t="s">
        <v>236</v>
      </c>
      <c r="ET193" t="s">
        <v>128</v>
      </c>
      <c r="EU193" t="s">
        <v>178</v>
      </c>
      <c r="EV193" t="s">
        <v>1597</v>
      </c>
      <c r="EW193" t="s">
        <v>1598</v>
      </c>
      <c r="EX193" t="s">
        <v>1206</v>
      </c>
      <c r="EY193" t="s">
        <v>1599</v>
      </c>
      <c r="EZ193" t="s">
        <v>129</v>
      </c>
      <c r="FA193" t="s">
        <v>129</v>
      </c>
      <c r="FB193" t="s">
        <v>236</v>
      </c>
      <c r="FC193" t="s">
        <v>178</v>
      </c>
      <c r="FD193" t="s">
        <v>1600</v>
      </c>
      <c r="FE193" t="s">
        <v>1601</v>
      </c>
      <c r="FF193" t="s">
        <v>173</v>
      </c>
      <c r="FN193" s="1" t="s">
        <v>123</v>
      </c>
      <c r="GV193" t="s">
        <v>1602</v>
      </c>
      <c r="GW193" t="s">
        <v>1603</v>
      </c>
      <c r="GX193" t="s">
        <v>1604</v>
      </c>
      <c r="GY193" t="s">
        <v>186</v>
      </c>
      <c r="GZ193">
        <v>1959</v>
      </c>
      <c r="HA193" t="s">
        <v>483</v>
      </c>
      <c r="HC193" t="s">
        <v>1605</v>
      </c>
      <c r="HD193" t="s">
        <v>1606</v>
      </c>
      <c r="HE193" t="s">
        <v>1607</v>
      </c>
    </row>
    <row r="194" spans="1:213" x14ac:dyDescent="0.45">
      <c r="A194">
        <v>195</v>
      </c>
      <c r="B194">
        <f>_xlfn.IFNA(VLOOKUP(Wszystkie[[#This Row],[Zakończono wypełnianie]],Zakończone[],2,0),"BRAK")</f>
        <v>111</v>
      </c>
      <c r="C194" t="s">
        <v>1649</v>
      </c>
      <c r="D194" t="s">
        <v>118</v>
      </c>
      <c r="E194" t="s">
        <v>359</v>
      </c>
      <c r="I194" t="s">
        <v>119</v>
      </c>
      <c r="J194" t="s">
        <v>1650</v>
      </c>
      <c r="K194" t="s">
        <v>1651</v>
      </c>
      <c r="L194">
        <v>386</v>
      </c>
      <c r="M194">
        <v>0</v>
      </c>
      <c r="N194" t="s">
        <v>122</v>
      </c>
      <c r="O194" s="1" t="s">
        <v>123</v>
      </c>
      <c r="AE194" s="1" t="s">
        <v>124</v>
      </c>
      <c r="AF194" t="s">
        <v>191</v>
      </c>
      <c r="AG194">
        <v>2016</v>
      </c>
      <c r="AH194" t="s">
        <v>126</v>
      </c>
      <c r="AI194" t="s">
        <v>1652</v>
      </c>
      <c r="AJ194" t="s">
        <v>162</v>
      </c>
      <c r="AK194" t="s">
        <v>151</v>
      </c>
      <c r="AL194" t="s">
        <v>162</v>
      </c>
      <c r="AM194" t="s">
        <v>150</v>
      </c>
      <c r="AN194" t="s">
        <v>236</v>
      </c>
      <c r="AO194" t="s">
        <v>530</v>
      </c>
      <c r="AP194" t="s">
        <v>153</v>
      </c>
      <c r="AQ194" t="s">
        <v>153</v>
      </c>
      <c r="AR194" t="s">
        <v>1653</v>
      </c>
      <c r="AS194" t="s">
        <v>1654</v>
      </c>
      <c r="AT194" t="s">
        <v>1655</v>
      </c>
      <c r="AU194" t="s">
        <v>172</v>
      </c>
      <c r="AW194" s="1" t="s">
        <v>123</v>
      </c>
      <c r="CQ194" s="1" t="s">
        <v>123</v>
      </c>
      <c r="DA194" s="1" t="s">
        <v>123</v>
      </c>
      <c r="DK194" s="1" t="s">
        <v>123</v>
      </c>
      <c r="EN194" s="1" t="s">
        <v>123</v>
      </c>
      <c r="EO194" t="s">
        <v>178</v>
      </c>
      <c r="FN194" s="1" t="s">
        <v>123</v>
      </c>
      <c r="GV194" t="s">
        <v>1656</v>
      </c>
      <c r="GW194" t="s">
        <v>1657</v>
      </c>
      <c r="GX194" t="s">
        <v>1658</v>
      </c>
      <c r="GY194" t="s">
        <v>140</v>
      </c>
      <c r="GZ194">
        <v>1993</v>
      </c>
      <c r="HA194" t="s">
        <v>220</v>
      </c>
    </row>
    <row r="195" spans="1:213" x14ac:dyDescent="0.45">
      <c r="A195">
        <v>196</v>
      </c>
      <c r="B195">
        <f>_xlfn.IFNA(VLOOKUP(Wszystkie[[#This Row],[Zakończono wypełnianie]],Zakończone[],2,0),"BRAK")</f>
        <v>112</v>
      </c>
      <c r="C195" t="s">
        <v>1659</v>
      </c>
      <c r="D195" t="s">
        <v>118</v>
      </c>
      <c r="I195" t="s">
        <v>119</v>
      </c>
      <c r="J195" t="s">
        <v>1660</v>
      </c>
      <c r="K195" t="s">
        <v>1661</v>
      </c>
      <c r="L195">
        <v>614</v>
      </c>
      <c r="M195">
        <v>0</v>
      </c>
      <c r="N195" t="s">
        <v>122</v>
      </c>
      <c r="O195" s="1" t="s">
        <v>123</v>
      </c>
      <c r="AE195" s="1" t="s">
        <v>124</v>
      </c>
      <c r="AF195" t="s">
        <v>191</v>
      </c>
      <c r="AG195">
        <v>1991</v>
      </c>
      <c r="AH195" t="s">
        <v>126</v>
      </c>
      <c r="AI195" t="s">
        <v>1662</v>
      </c>
      <c r="AJ195" t="s">
        <v>150</v>
      </c>
      <c r="AK195" t="s">
        <v>150</v>
      </c>
      <c r="AL195" t="s">
        <v>150</v>
      </c>
      <c r="AM195" t="s">
        <v>132</v>
      </c>
      <c r="AN195" t="s">
        <v>132</v>
      </c>
      <c r="AO195" t="s">
        <v>718</v>
      </c>
      <c r="AP195" t="s">
        <v>132</v>
      </c>
      <c r="AQ195" t="s">
        <v>132</v>
      </c>
      <c r="AR195" t="s">
        <v>1663</v>
      </c>
      <c r="AS195" t="s">
        <v>1664</v>
      </c>
      <c r="AT195" t="s">
        <v>1665</v>
      </c>
      <c r="AU195" t="s">
        <v>172</v>
      </c>
      <c r="AW195" s="1" t="s">
        <v>159</v>
      </c>
      <c r="AX195">
        <v>1</v>
      </c>
      <c r="AY195" t="s">
        <v>191</v>
      </c>
      <c r="AZ195">
        <v>2018</v>
      </c>
      <c r="BA195" t="s">
        <v>126</v>
      </c>
      <c r="BB195" t="s">
        <v>1666</v>
      </c>
      <c r="BC195" t="s">
        <v>151</v>
      </c>
      <c r="BD195" t="s">
        <v>151</v>
      </c>
      <c r="BE195" t="s">
        <v>151</v>
      </c>
      <c r="BF195" t="s">
        <v>151</v>
      </c>
      <c r="BG195" t="s">
        <v>151</v>
      </c>
      <c r="BH195">
        <v>1</v>
      </c>
      <c r="BJ195" t="s">
        <v>172</v>
      </c>
      <c r="BM195" t="s">
        <v>173</v>
      </c>
      <c r="CQ195" s="1" t="s">
        <v>123</v>
      </c>
      <c r="DA195" s="1" t="s">
        <v>123</v>
      </c>
      <c r="DK195" s="1" t="s">
        <v>123</v>
      </c>
      <c r="EN195" s="1" t="s">
        <v>177</v>
      </c>
      <c r="EO195" t="s">
        <v>178</v>
      </c>
      <c r="EP195">
        <v>1</v>
      </c>
      <c r="EQ195" t="s">
        <v>191</v>
      </c>
      <c r="ER195" t="s">
        <v>169</v>
      </c>
      <c r="ES195" t="s">
        <v>169</v>
      </c>
      <c r="ET195" t="s">
        <v>151</v>
      </c>
      <c r="EU195" t="s">
        <v>178</v>
      </c>
      <c r="EV195" t="s">
        <v>1667</v>
      </c>
      <c r="EW195" t="s">
        <v>1668</v>
      </c>
      <c r="EX195" t="s">
        <v>173</v>
      </c>
      <c r="FN195" s="1" t="s">
        <v>123</v>
      </c>
      <c r="GV195" t="s">
        <v>1669</v>
      </c>
      <c r="GW195" t="s">
        <v>1670</v>
      </c>
      <c r="GX195" t="s">
        <v>1671</v>
      </c>
      <c r="GY195" t="s">
        <v>186</v>
      </c>
      <c r="GZ195">
        <v>1966</v>
      </c>
      <c r="HA195" t="s">
        <v>141</v>
      </c>
    </row>
    <row r="196" spans="1:213" x14ac:dyDescent="0.45">
      <c r="A196">
        <v>191</v>
      </c>
      <c r="B196">
        <f>_xlfn.IFNA(VLOOKUP(Wszystkie[[#This Row],[Zakończono wypełnianie]],Zakończone[],2,0),"BRAK")</f>
        <v>109</v>
      </c>
      <c r="C196" t="s">
        <v>1618</v>
      </c>
      <c r="D196" t="s">
        <v>118</v>
      </c>
      <c r="I196" t="s">
        <v>119</v>
      </c>
      <c r="J196" t="s">
        <v>1619</v>
      </c>
      <c r="K196" t="s">
        <v>1620</v>
      </c>
      <c r="L196">
        <v>1891</v>
      </c>
      <c r="M196">
        <v>0</v>
      </c>
      <c r="N196" t="s">
        <v>122</v>
      </c>
      <c r="O196" s="1" t="s">
        <v>123</v>
      </c>
      <c r="AE196" s="1" t="s">
        <v>124</v>
      </c>
      <c r="AF196" t="s">
        <v>1621</v>
      </c>
      <c r="AG196">
        <v>2000</v>
      </c>
      <c r="AH196" t="s">
        <v>148</v>
      </c>
      <c r="AI196" t="s">
        <v>1622</v>
      </c>
      <c r="AJ196" t="s">
        <v>150</v>
      </c>
      <c r="AK196" t="s">
        <v>150</v>
      </c>
      <c r="AL196" t="s">
        <v>150</v>
      </c>
      <c r="AM196" t="s">
        <v>236</v>
      </c>
      <c r="AN196" t="s">
        <v>162</v>
      </c>
      <c r="AO196" t="s">
        <v>1623</v>
      </c>
      <c r="AP196" t="s">
        <v>132</v>
      </c>
      <c r="AQ196" t="s">
        <v>302</v>
      </c>
      <c r="AR196" t="s">
        <v>1624</v>
      </c>
      <c r="AS196" t="s">
        <v>1625</v>
      </c>
      <c r="AT196" t="s">
        <v>1626</v>
      </c>
      <c r="AU196" t="s">
        <v>172</v>
      </c>
      <c r="AW196" s="1" t="s">
        <v>123</v>
      </c>
      <c r="AX196" t="s">
        <v>132</v>
      </c>
      <c r="CQ196" s="1" t="s">
        <v>123</v>
      </c>
      <c r="DA196" s="1" t="s">
        <v>123</v>
      </c>
      <c r="DK196" s="1" t="s">
        <v>123</v>
      </c>
      <c r="EN196" s="1" t="s">
        <v>123</v>
      </c>
      <c r="FN196" s="1" t="s">
        <v>123</v>
      </c>
      <c r="GV196" t="s">
        <v>1627</v>
      </c>
      <c r="GW196" t="s">
        <v>1628</v>
      </c>
      <c r="GX196" t="s">
        <v>1629</v>
      </c>
      <c r="GY196" t="s">
        <v>186</v>
      </c>
      <c r="GZ196">
        <v>72</v>
      </c>
      <c r="HA196" t="s">
        <v>1630</v>
      </c>
      <c r="HD196" t="s">
        <v>1631</v>
      </c>
    </row>
    <row r="197" spans="1:213" x14ac:dyDescent="0.45">
      <c r="A197">
        <v>197</v>
      </c>
      <c r="B197" t="str">
        <f>_xlfn.IFNA(VLOOKUP(Wszystkie[[#This Row],[Zakończono wypełnianie]],Zakończone[],2,0),"BRAK")</f>
        <v>BRAK</v>
      </c>
      <c r="C197" t="s">
        <v>1672</v>
      </c>
      <c r="D197" t="s">
        <v>118</v>
      </c>
      <c r="E197" t="s">
        <v>548</v>
      </c>
      <c r="I197" t="s">
        <v>286</v>
      </c>
      <c r="J197" t="s">
        <v>1673</v>
      </c>
      <c r="K197" t="s">
        <v>1673</v>
      </c>
      <c r="L197">
        <v>0</v>
      </c>
      <c r="M197">
        <v>0</v>
      </c>
      <c r="N197" t="s">
        <v>122</v>
      </c>
      <c r="O197" s="1"/>
      <c r="AE197" s="1"/>
      <c r="AW197" s="1"/>
      <c r="CQ197" s="1"/>
      <c r="DA197" s="1"/>
      <c r="DK197" s="1"/>
      <c r="EN197" s="1"/>
      <c r="FN197" s="1"/>
    </row>
    <row r="198" spans="1:213" x14ac:dyDescent="0.45">
      <c r="A198">
        <v>198</v>
      </c>
      <c r="B198">
        <f>_xlfn.IFNA(VLOOKUP(Wszystkie[[#This Row],[Zakończono wypełnianie]],Zakończone[],2,0),"BRAK")</f>
        <v>113</v>
      </c>
      <c r="C198" t="s">
        <v>1674</v>
      </c>
      <c r="D198" t="s">
        <v>118</v>
      </c>
      <c r="I198" t="s">
        <v>119</v>
      </c>
      <c r="J198" t="s">
        <v>1675</v>
      </c>
      <c r="K198" t="s">
        <v>1676</v>
      </c>
      <c r="L198">
        <v>445</v>
      </c>
      <c r="M198">
        <v>0</v>
      </c>
      <c r="N198" t="s">
        <v>122</v>
      </c>
      <c r="O198" s="1" t="s">
        <v>123</v>
      </c>
      <c r="AE198" s="1" t="s">
        <v>124</v>
      </c>
      <c r="AF198" t="s">
        <v>191</v>
      </c>
      <c r="AG198">
        <v>2014</v>
      </c>
      <c r="AH198" t="s">
        <v>126</v>
      </c>
      <c r="AI198" t="s">
        <v>192</v>
      </c>
      <c r="AJ198" t="s">
        <v>169</v>
      </c>
      <c r="AK198" t="s">
        <v>169</v>
      </c>
      <c r="AL198" t="s">
        <v>162</v>
      </c>
      <c r="AM198" t="s">
        <v>151</v>
      </c>
      <c r="AN198" t="s">
        <v>151</v>
      </c>
      <c r="AO198" t="s">
        <v>237</v>
      </c>
      <c r="AP198" t="s">
        <v>226</v>
      </c>
      <c r="AQ198" t="s">
        <v>1428</v>
      </c>
      <c r="AR198" t="s">
        <v>1677</v>
      </c>
      <c r="AS198" t="s">
        <v>1678</v>
      </c>
      <c r="AT198" t="s">
        <v>1679</v>
      </c>
      <c r="AU198" t="s">
        <v>157</v>
      </c>
      <c r="AW198" s="1" t="s">
        <v>123</v>
      </c>
      <c r="CQ198" s="1" t="s">
        <v>123</v>
      </c>
      <c r="DA198" s="1" t="s">
        <v>123</v>
      </c>
      <c r="DK198" s="1" t="s">
        <v>123</v>
      </c>
      <c r="EN198" s="1" t="s">
        <v>123</v>
      </c>
      <c r="FN198" s="1" t="s">
        <v>123</v>
      </c>
      <c r="GV198" t="s">
        <v>532</v>
      </c>
      <c r="GW198" t="s">
        <v>1680</v>
      </c>
      <c r="GX198" t="s">
        <v>1681</v>
      </c>
      <c r="GY198" t="s">
        <v>186</v>
      </c>
      <c r="GZ198">
        <v>1984</v>
      </c>
      <c r="HA198" t="s">
        <v>398</v>
      </c>
    </row>
    <row r="199" spans="1:213" x14ac:dyDescent="0.45">
      <c r="A199">
        <v>199</v>
      </c>
      <c r="B199" t="str">
        <f>_xlfn.IFNA(VLOOKUP(Wszystkie[[#This Row],[Zakończono wypełnianie]],Zakończone[],2,0),"BRAK")</f>
        <v>BRAK</v>
      </c>
      <c r="C199" t="s">
        <v>1682</v>
      </c>
      <c r="D199" t="s">
        <v>118</v>
      </c>
      <c r="I199" t="s">
        <v>286</v>
      </c>
      <c r="J199" t="s">
        <v>1683</v>
      </c>
      <c r="K199" t="s">
        <v>1683</v>
      </c>
      <c r="L199">
        <v>0</v>
      </c>
      <c r="M199">
        <v>0</v>
      </c>
      <c r="N199" t="s">
        <v>122</v>
      </c>
      <c r="O199" s="1" t="s">
        <v>123</v>
      </c>
      <c r="AE199" s="1" t="s">
        <v>124</v>
      </c>
      <c r="AW199" s="1"/>
      <c r="CQ199" s="1"/>
      <c r="DA199" s="1"/>
      <c r="DK199" s="1"/>
      <c r="EN199" s="1"/>
      <c r="FN199" s="1"/>
    </row>
    <row r="200" spans="1:213" x14ac:dyDescent="0.45">
      <c r="A200">
        <v>189</v>
      </c>
      <c r="B200">
        <f>_xlfn.IFNA(VLOOKUP(Wszystkie[[#This Row],[Zakończono wypełnianie]],Zakończone[],2,0),"BRAK")</f>
        <v>108</v>
      </c>
      <c r="C200" t="s">
        <v>1352</v>
      </c>
      <c r="D200" t="s">
        <v>118</v>
      </c>
      <c r="I200" t="s">
        <v>119</v>
      </c>
      <c r="J200" t="s">
        <v>1608</v>
      </c>
      <c r="K200" t="s">
        <v>1609</v>
      </c>
      <c r="L200">
        <v>4906</v>
      </c>
      <c r="M200">
        <v>0</v>
      </c>
      <c r="N200" t="s">
        <v>122</v>
      </c>
      <c r="O200" s="1" t="s">
        <v>123</v>
      </c>
      <c r="AE200" s="1" t="s">
        <v>124</v>
      </c>
      <c r="AF200" t="s">
        <v>223</v>
      </c>
      <c r="AG200">
        <v>2009</v>
      </c>
      <c r="AH200" t="s">
        <v>148</v>
      </c>
      <c r="AI200" t="s">
        <v>554</v>
      </c>
      <c r="AJ200" t="s">
        <v>162</v>
      </c>
      <c r="AK200" t="s">
        <v>162</v>
      </c>
      <c r="AL200" t="s">
        <v>162</v>
      </c>
      <c r="AM200" t="s">
        <v>162</v>
      </c>
      <c r="AN200" t="s">
        <v>162</v>
      </c>
      <c r="AO200" t="s">
        <v>1610</v>
      </c>
      <c r="AP200" t="s">
        <v>302</v>
      </c>
      <c r="AQ200" t="s">
        <v>153</v>
      </c>
      <c r="AS200" t="s">
        <v>1611</v>
      </c>
      <c r="AT200" t="s">
        <v>1612</v>
      </c>
      <c r="AV200" t="s">
        <v>1613</v>
      </c>
      <c r="AW200" s="1" t="s">
        <v>123</v>
      </c>
      <c r="AX200" t="s">
        <v>132</v>
      </c>
      <c r="CQ200" s="1" t="s">
        <v>123</v>
      </c>
      <c r="DA200" s="1" t="s">
        <v>123</v>
      </c>
      <c r="DK200" s="1" t="s">
        <v>123</v>
      </c>
      <c r="EN200" s="1" t="s">
        <v>123</v>
      </c>
      <c r="EO200" t="s">
        <v>180</v>
      </c>
      <c r="EP200" t="s">
        <v>132</v>
      </c>
      <c r="FN200" s="1" t="s">
        <v>123</v>
      </c>
      <c r="GV200" t="s">
        <v>1614</v>
      </c>
      <c r="GW200" t="s">
        <v>1247</v>
      </c>
      <c r="GX200" t="s">
        <v>1247</v>
      </c>
      <c r="GY200" t="s">
        <v>140</v>
      </c>
      <c r="GZ200">
        <v>1983</v>
      </c>
      <c r="HA200" t="s">
        <v>220</v>
      </c>
      <c r="HC200" t="s">
        <v>1615</v>
      </c>
      <c r="HD200" t="s">
        <v>1615</v>
      </c>
    </row>
    <row r="201" spans="1:213" x14ac:dyDescent="0.45">
      <c r="A201">
        <v>200</v>
      </c>
      <c r="B201" t="str">
        <f>_xlfn.IFNA(VLOOKUP(Wszystkie[[#This Row],[Zakończono wypełnianie]],Zakończone[],2,0),"BRAK")</f>
        <v>BRAK</v>
      </c>
      <c r="C201" t="s">
        <v>1684</v>
      </c>
      <c r="D201" t="s">
        <v>118</v>
      </c>
      <c r="E201" t="s">
        <v>1647</v>
      </c>
      <c r="I201" t="s">
        <v>286</v>
      </c>
      <c r="J201" t="s">
        <v>1685</v>
      </c>
      <c r="K201" t="s">
        <v>1685</v>
      </c>
      <c r="L201">
        <v>0</v>
      </c>
      <c r="M201">
        <v>0</v>
      </c>
      <c r="N201" t="s">
        <v>122</v>
      </c>
      <c r="O201" s="1" t="s">
        <v>123</v>
      </c>
      <c r="AE201" s="1" t="s">
        <v>124</v>
      </c>
      <c r="AF201" t="s">
        <v>1686</v>
      </c>
      <c r="AG201">
        <v>2000</v>
      </c>
      <c r="AH201" t="s">
        <v>148</v>
      </c>
      <c r="AI201" t="s">
        <v>1687</v>
      </c>
      <c r="AJ201" t="s">
        <v>151</v>
      </c>
      <c r="AK201" t="s">
        <v>151</v>
      </c>
      <c r="AL201" t="s">
        <v>162</v>
      </c>
      <c r="AM201" t="s">
        <v>129</v>
      </c>
      <c r="AN201" t="s">
        <v>129</v>
      </c>
      <c r="AO201" t="s">
        <v>1688</v>
      </c>
      <c r="AP201" t="s">
        <v>302</v>
      </c>
      <c r="AQ201" t="s">
        <v>153</v>
      </c>
      <c r="AR201" t="s">
        <v>1689</v>
      </c>
      <c r="AS201" t="s">
        <v>1690</v>
      </c>
      <c r="AT201" t="s">
        <v>1691</v>
      </c>
      <c r="AU201" t="s">
        <v>157</v>
      </c>
      <c r="AW201" s="1" t="s">
        <v>123</v>
      </c>
      <c r="AX201" t="s">
        <v>132</v>
      </c>
      <c r="CQ201" s="1" t="s">
        <v>387</v>
      </c>
      <c r="DA201" s="1"/>
      <c r="DK201" s="1"/>
      <c r="EN201" s="1"/>
      <c r="FN201" s="1"/>
    </row>
    <row r="202" spans="1:213" x14ac:dyDescent="0.45">
      <c r="A202">
        <v>201</v>
      </c>
      <c r="B202" t="str">
        <f>_xlfn.IFNA(VLOOKUP(Wszystkie[[#This Row],[Zakończono wypełnianie]],Zakończone[],2,0),"BRAK")</f>
        <v>BRAK</v>
      </c>
      <c r="C202" t="s">
        <v>1692</v>
      </c>
      <c r="D202" t="s">
        <v>118</v>
      </c>
      <c r="I202" t="s">
        <v>286</v>
      </c>
      <c r="J202" t="s">
        <v>1693</v>
      </c>
      <c r="K202" t="s">
        <v>1693</v>
      </c>
      <c r="L202">
        <v>0</v>
      </c>
      <c r="M202">
        <v>0</v>
      </c>
      <c r="N202" t="s">
        <v>122</v>
      </c>
      <c r="O202" s="1" t="s">
        <v>123</v>
      </c>
      <c r="AE202" s="1" t="s">
        <v>124</v>
      </c>
      <c r="AW202" s="1"/>
      <c r="CQ202" s="1"/>
      <c r="DA202" s="1"/>
      <c r="DK202" s="1"/>
      <c r="EN202" s="1"/>
      <c r="FN202" s="1"/>
    </row>
    <row r="203" spans="1:213" x14ac:dyDescent="0.45">
      <c r="A203">
        <v>202</v>
      </c>
      <c r="B203" t="str">
        <f>_xlfn.IFNA(VLOOKUP(Wszystkie[[#This Row],[Zakończono wypełnianie]],Zakończone[],2,0),"BRAK")</f>
        <v>BRAK</v>
      </c>
      <c r="C203" t="s">
        <v>1694</v>
      </c>
      <c r="D203" t="s">
        <v>118</v>
      </c>
      <c r="I203" t="s">
        <v>286</v>
      </c>
      <c r="J203" t="s">
        <v>1695</v>
      </c>
      <c r="K203" t="s">
        <v>1695</v>
      </c>
      <c r="L203">
        <v>0</v>
      </c>
      <c r="M203">
        <v>0</v>
      </c>
      <c r="N203" t="s">
        <v>122</v>
      </c>
      <c r="O203" s="1" t="s">
        <v>123</v>
      </c>
      <c r="AE203" s="1" t="s">
        <v>124</v>
      </c>
      <c r="AF203" t="s">
        <v>1090</v>
      </c>
      <c r="AG203">
        <v>1990</v>
      </c>
      <c r="AH203" t="s">
        <v>126</v>
      </c>
      <c r="AI203" t="s">
        <v>1696</v>
      </c>
      <c r="AJ203" t="s">
        <v>150</v>
      </c>
      <c r="AK203" t="s">
        <v>162</v>
      </c>
      <c r="AL203" t="s">
        <v>169</v>
      </c>
      <c r="AM203" t="s">
        <v>169</v>
      </c>
      <c r="AN203" t="s">
        <v>169</v>
      </c>
      <c r="AO203" t="s">
        <v>237</v>
      </c>
      <c r="AP203" t="s">
        <v>194</v>
      </c>
      <c r="AQ203" t="s">
        <v>194</v>
      </c>
      <c r="AR203" t="s">
        <v>1697</v>
      </c>
      <c r="AS203" t="s">
        <v>1698</v>
      </c>
      <c r="AT203" t="s">
        <v>1699</v>
      </c>
      <c r="AU203" t="s">
        <v>172</v>
      </c>
      <c r="AV203" t="s">
        <v>1700</v>
      </c>
      <c r="AW203" s="1" t="s">
        <v>159</v>
      </c>
      <c r="AX203">
        <v>3</v>
      </c>
      <c r="CQ203" s="1"/>
      <c r="DA203" s="1"/>
      <c r="DK203" s="1"/>
      <c r="EN203" s="1"/>
      <c r="FN203" s="1"/>
    </row>
    <row r="204" spans="1:213" x14ac:dyDescent="0.45">
      <c r="A204">
        <v>203</v>
      </c>
      <c r="B204" t="str">
        <f>_xlfn.IFNA(VLOOKUP(Wszystkie[[#This Row],[Zakończono wypełnianie]],Zakończone[],2,0),"BRAK")</f>
        <v>BRAK</v>
      </c>
      <c r="C204" t="s">
        <v>1701</v>
      </c>
      <c r="D204" t="s">
        <v>118</v>
      </c>
      <c r="I204" t="s">
        <v>286</v>
      </c>
      <c r="J204" t="s">
        <v>1702</v>
      </c>
      <c r="K204" t="s">
        <v>1702</v>
      </c>
      <c r="L204">
        <v>0</v>
      </c>
      <c r="M204">
        <v>0</v>
      </c>
      <c r="N204" t="s">
        <v>122</v>
      </c>
      <c r="O204" s="1" t="s">
        <v>123</v>
      </c>
      <c r="AE204" s="1" t="s">
        <v>124</v>
      </c>
      <c r="AF204" t="s">
        <v>1703</v>
      </c>
      <c r="AG204">
        <v>2011</v>
      </c>
      <c r="AH204" t="s">
        <v>148</v>
      </c>
      <c r="AI204" t="s">
        <v>554</v>
      </c>
      <c r="AJ204" t="s">
        <v>169</v>
      </c>
      <c r="AK204" t="s">
        <v>150</v>
      </c>
      <c r="AL204" t="s">
        <v>169</v>
      </c>
      <c r="AM204" t="s">
        <v>169</v>
      </c>
      <c r="AN204" t="s">
        <v>169</v>
      </c>
      <c r="AO204">
        <v>2</v>
      </c>
      <c r="AP204" t="s">
        <v>131</v>
      </c>
      <c r="AQ204" t="s">
        <v>153</v>
      </c>
      <c r="AR204" t="s">
        <v>1704</v>
      </c>
      <c r="AS204" t="s">
        <v>1705</v>
      </c>
      <c r="AT204" t="s">
        <v>1706</v>
      </c>
      <c r="AU204" t="s">
        <v>157</v>
      </c>
      <c r="AW204" s="1" t="s">
        <v>123</v>
      </c>
      <c r="CQ204" s="1" t="s">
        <v>387</v>
      </c>
      <c r="DA204" s="1"/>
      <c r="DK204" s="1"/>
      <c r="EN204" s="1"/>
      <c r="FN204" s="1"/>
    </row>
    <row r="205" spans="1:213" x14ac:dyDescent="0.45">
      <c r="A205">
        <v>204</v>
      </c>
      <c r="B205" t="str">
        <f>_xlfn.IFNA(VLOOKUP(Wszystkie[[#This Row],[Zakończono wypełnianie]],Zakończone[],2,0),"BRAK")</f>
        <v>BRAK</v>
      </c>
      <c r="C205" t="s">
        <v>1707</v>
      </c>
      <c r="D205" t="s">
        <v>118</v>
      </c>
      <c r="I205" t="s">
        <v>286</v>
      </c>
      <c r="J205" t="s">
        <v>1708</v>
      </c>
      <c r="K205" t="s">
        <v>1708</v>
      </c>
      <c r="L205">
        <v>0</v>
      </c>
      <c r="M205">
        <v>0</v>
      </c>
      <c r="N205" t="s">
        <v>122</v>
      </c>
      <c r="O205" s="1" t="s">
        <v>123</v>
      </c>
      <c r="AE205" s="1" t="s">
        <v>123</v>
      </c>
      <c r="AW205" s="1" t="s">
        <v>159</v>
      </c>
      <c r="AX205">
        <v>2</v>
      </c>
      <c r="CQ205" s="1"/>
      <c r="DA205" s="1"/>
      <c r="DK205" s="1"/>
      <c r="EN205" s="1"/>
      <c r="FN205" s="1"/>
    </row>
    <row r="206" spans="1:213" x14ac:dyDescent="0.45">
      <c r="A206">
        <v>206</v>
      </c>
      <c r="B206" t="str">
        <f>_xlfn.IFNA(VLOOKUP(Wszystkie[[#This Row],[Zakończono wypełnianie]],Zakończone[],2,0),"BRAK")</f>
        <v>BRAK</v>
      </c>
      <c r="C206" t="s">
        <v>1722</v>
      </c>
      <c r="D206" t="s">
        <v>118</v>
      </c>
      <c r="E206" t="s">
        <v>1647</v>
      </c>
      <c r="I206" t="s">
        <v>286</v>
      </c>
      <c r="J206" t="s">
        <v>1723</v>
      </c>
      <c r="K206" t="s">
        <v>1723</v>
      </c>
      <c r="L206">
        <v>0</v>
      </c>
      <c r="M206">
        <v>0</v>
      </c>
      <c r="N206" t="s">
        <v>122</v>
      </c>
      <c r="O206" s="1" t="s">
        <v>123</v>
      </c>
      <c r="AE206" s="1" t="s">
        <v>124</v>
      </c>
      <c r="AF206" t="s">
        <v>1724</v>
      </c>
      <c r="AG206">
        <v>2005</v>
      </c>
      <c r="AH206" t="s">
        <v>148</v>
      </c>
      <c r="AI206" t="s">
        <v>1725</v>
      </c>
      <c r="AJ206" t="s">
        <v>150</v>
      </c>
      <c r="AK206" t="s">
        <v>162</v>
      </c>
      <c r="AL206" t="s">
        <v>162</v>
      </c>
      <c r="AM206" t="s">
        <v>162</v>
      </c>
      <c r="AN206" t="s">
        <v>162</v>
      </c>
      <c r="AO206">
        <v>2</v>
      </c>
      <c r="AP206" t="s">
        <v>131</v>
      </c>
      <c r="AQ206" t="s">
        <v>302</v>
      </c>
      <c r="AR206" t="s">
        <v>1726</v>
      </c>
      <c r="AS206" t="s">
        <v>1727</v>
      </c>
      <c r="AT206" t="s">
        <v>1728</v>
      </c>
      <c r="AU206" t="s">
        <v>157</v>
      </c>
      <c r="AW206" s="1" t="s">
        <v>123</v>
      </c>
      <c r="CQ206" s="1" t="s">
        <v>123</v>
      </c>
      <c r="DA206" s="1" t="s">
        <v>123</v>
      </c>
      <c r="DK206" s="1" t="s">
        <v>123</v>
      </c>
      <c r="EN206" s="1" t="s">
        <v>123</v>
      </c>
      <c r="FN206" s="1" t="s">
        <v>123</v>
      </c>
      <c r="GY206" t="s">
        <v>140</v>
      </c>
      <c r="GZ206">
        <v>1981</v>
      </c>
      <c r="HA206" t="s">
        <v>483</v>
      </c>
      <c r="HC206" t="s">
        <v>142</v>
      </c>
      <c r="HD206" t="s">
        <v>180</v>
      </c>
    </row>
    <row r="207" spans="1:213" x14ac:dyDescent="0.45">
      <c r="A207">
        <v>207</v>
      </c>
      <c r="B207" t="str">
        <f>_xlfn.IFNA(VLOOKUP(Wszystkie[[#This Row],[Zakończono wypełnianie]],Zakończone[],2,0),"BRAK")</f>
        <v>BRAK</v>
      </c>
      <c r="C207" t="s">
        <v>1729</v>
      </c>
      <c r="D207" t="s">
        <v>118</v>
      </c>
      <c r="I207" t="s">
        <v>286</v>
      </c>
      <c r="J207" t="s">
        <v>1730</v>
      </c>
      <c r="K207" t="s">
        <v>1730</v>
      </c>
      <c r="L207">
        <v>0</v>
      </c>
      <c r="M207">
        <v>0</v>
      </c>
      <c r="N207" t="s">
        <v>122</v>
      </c>
      <c r="O207" s="1" t="s">
        <v>123</v>
      </c>
      <c r="AE207" s="1" t="s">
        <v>124</v>
      </c>
      <c r="AW207" s="1"/>
      <c r="CQ207" s="1"/>
      <c r="DA207" s="1"/>
      <c r="DK207" s="1"/>
      <c r="EN207" s="1"/>
      <c r="FN207" s="1"/>
    </row>
    <row r="208" spans="1:213" x14ac:dyDescent="0.45">
      <c r="A208">
        <v>205</v>
      </c>
      <c r="B208">
        <f>_xlfn.IFNA(VLOOKUP(Wszystkie[[#This Row],[Zakończono wypełnianie]],Zakończone[],2,0),"BRAK")</f>
        <v>114</v>
      </c>
      <c r="C208" t="s">
        <v>1709</v>
      </c>
      <c r="D208" t="s">
        <v>118</v>
      </c>
      <c r="I208" t="s">
        <v>119</v>
      </c>
      <c r="J208" t="s">
        <v>1710</v>
      </c>
      <c r="K208" t="s">
        <v>1711</v>
      </c>
      <c r="L208">
        <v>588</v>
      </c>
      <c r="M208">
        <v>0</v>
      </c>
      <c r="N208" t="s">
        <v>122</v>
      </c>
      <c r="O208" s="1" t="s">
        <v>123</v>
      </c>
      <c r="AE208" s="1" t="s">
        <v>124</v>
      </c>
      <c r="AF208" t="s">
        <v>1712</v>
      </c>
      <c r="AG208">
        <v>2012</v>
      </c>
      <c r="AH208" t="s">
        <v>148</v>
      </c>
      <c r="AI208" t="s">
        <v>1713</v>
      </c>
      <c r="AJ208" t="s">
        <v>162</v>
      </c>
      <c r="AK208" t="s">
        <v>162</v>
      </c>
      <c r="AL208" t="s">
        <v>169</v>
      </c>
      <c r="AM208" t="s">
        <v>129</v>
      </c>
      <c r="AN208" t="s">
        <v>129</v>
      </c>
      <c r="AO208" t="s">
        <v>1714</v>
      </c>
      <c r="AP208" t="s">
        <v>131</v>
      </c>
      <c r="AQ208" t="s">
        <v>131</v>
      </c>
      <c r="AR208" t="s">
        <v>1715</v>
      </c>
      <c r="AS208" t="s">
        <v>1716</v>
      </c>
      <c r="AT208" t="s">
        <v>1717</v>
      </c>
      <c r="AU208" t="s">
        <v>157</v>
      </c>
      <c r="AW208" s="1" t="s">
        <v>123</v>
      </c>
      <c r="CQ208" s="1" t="s">
        <v>123</v>
      </c>
      <c r="DA208" s="1" t="s">
        <v>123</v>
      </c>
      <c r="DK208" s="1" t="s">
        <v>123</v>
      </c>
      <c r="EN208" s="1" t="s">
        <v>123</v>
      </c>
      <c r="FN208" s="1" t="s">
        <v>123</v>
      </c>
      <c r="GV208" t="s">
        <v>1718</v>
      </c>
      <c r="GW208" t="s">
        <v>1719</v>
      </c>
      <c r="GX208" t="s">
        <v>1720</v>
      </c>
      <c r="GY208" t="s">
        <v>140</v>
      </c>
      <c r="GZ208">
        <v>1985</v>
      </c>
      <c r="HA208" t="s">
        <v>246</v>
      </c>
      <c r="HC208" t="s">
        <v>1721</v>
      </c>
      <c r="HD208" t="s">
        <v>532</v>
      </c>
    </row>
    <row r="209" spans="1:213" x14ac:dyDescent="0.45">
      <c r="A209">
        <v>208</v>
      </c>
      <c r="B209" t="str">
        <f>_xlfn.IFNA(VLOOKUP(Wszystkie[[#This Row],[Zakończono wypełnianie]],Zakończone[],2,0),"BRAK")</f>
        <v>BRAK</v>
      </c>
      <c r="C209" t="s">
        <v>1731</v>
      </c>
      <c r="D209" t="s">
        <v>118</v>
      </c>
      <c r="I209" t="s">
        <v>286</v>
      </c>
      <c r="J209" t="s">
        <v>1732</v>
      </c>
      <c r="K209" t="s">
        <v>1732</v>
      </c>
      <c r="L209">
        <v>0</v>
      </c>
      <c r="M209">
        <v>0</v>
      </c>
      <c r="N209" t="s">
        <v>122</v>
      </c>
      <c r="O209" s="1" t="s">
        <v>123</v>
      </c>
      <c r="AE209" s="1" t="s">
        <v>124</v>
      </c>
      <c r="AW209" s="1"/>
      <c r="CQ209" s="1"/>
      <c r="DA209" s="1"/>
      <c r="DK209" s="1"/>
      <c r="EN209" s="1"/>
      <c r="FN209" s="1"/>
    </row>
    <row r="210" spans="1:213" x14ac:dyDescent="0.45">
      <c r="A210">
        <v>209</v>
      </c>
      <c r="B210" t="str">
        <f>_xlfn.IFNA(VLOOKUP(Wszystkie[[#This Row],[Zakończono wypełnianie]],Zakończone[],2,0),"BRAK")</f>
        <v>BRAK</v>
      </c>
      <c r="C210" t="s">
        <v>1733</v>
      </c>
      <c r="D210" t="s">
        <v>118</v>
      </c>
      <c r="I210" t="s">
        <v>286</v>
      </c>
      <c r="J210" t="s">
        <v>1734</v>
      </c>
      <c r="K210" t="s">
        <v>1734</v>
      </c>
      <c r="L210">
        <v>0</v>
      </c>
      <c r="M210">
        <v>0</v>
      </c>
      <c r="N210" t="s">
        <v>122</v>
      </c>
      <c r="O210" s="1" t="s">
        <v>123</v>
      </c>
      <c r="AE210" s="1" t="s">
        <v>124</v>
      </c>
      <c r="AW210" s="1"/>
      <c r="CQ210" s="1"/>
      <c r="DA210" s="1"/>
      <c r="DK210" s="1"/>
      <c r="EN210" s="1"/>
      <c r="FN210" s="1"/>
    </row>
    <row r="211" spans="1:213" x14ac:dyDescent="0.45">
      <c r="A211">
        <v>210</v>
      </c>
      <c r="B211" t="str">
        <f>_xlfn.IFNA(VLOOKUP(Wszystkie[[#This Row],[Zakończono wypełnianie]],Zakończone[],2,0),"BRAK")</f>
        <v>BRAK</v>
      </c>
      <c r="C211" t="s">
        <v>1735</v>
      </c>
      <c r="D211" t="s">
        <v>118</v>
      </c>
      <c r="E211" t="s">
        <v>1736</v>
      </c>
      <c r="I211" t="s">
        <v>286</v>
      </c>
      <c r="J211" t="s">
        <v>1737</v>
      </c>
      <c r="K211" t="s">
        <v>1737</v>
      </c>
      <c r="L211">
        <v>0</v>
      </c>
      <c r="M211">
        <v>0</v>
      </c>
      <c r="N211" t="s">
        <v>122</v>
      </c>
      <c r="O211" s="1" t="s">
        <v>123</v>
      </c>
      <c r="AE211" s="1" t="s">
        <v>124</v>
      </c>
      <c r="AW211" s="1"/>
      <c r="CQ211" s="1"/>
      <c r="DA211" s="1"/>
      <c r="DK211" s="1"/>
      <c r="EN211" s="1"/>
      <c r="FN211" s="1"/>
    </row>
    <row r="212" spans="1:213" x14ac:dyDescent="0.45">
      <c r="A212">
        <v>211</v>
      </c>
      <c r="B212">
        <f>_xlfn.IFNA(VLOOKUP(Wszystkie[[#This Row],[Zakończono wypełnianie]],Zakończone[],2,0),"BRAK")</f>
        <v>115</v>
      </c>
      <c r="C212" t="s">
        <v>1572</v>
      </c>
      <c r="D212" t="s">
        <v>118</v>
      </c>
      <c r="I212" t="s">
        <v>119</v>
      </c>
      <c r="J212" t="s">
        <v>1738</v>
      </c>
      <c r="K212" t="s">
        <v>1739</v>
      </c>
      <c r="L212">
        <v>1112</v>
      </c>
      <c r="M212">
        <v>0</v>
      </c>
      <c r="N212" t="s">
        <v>122</v>
      </c>
      <c r="O212" s="1" t="s">
        <v>123</v>
      </c>
      <c r="AE212" s="1" t="s">
        <v>124</v>
      </c>
      <c r="AF212" t="s">
        <v>125</v>
      </c>
      <c r="AG212">
        <v>2001</v>
      </c>
      <c r="AH212" t="s">
        <v>126</v>
      </c>
      <c r="AI212" t="s">
        <v>1339</v>
      </c>
      <c r="AJ212" t="s">
        <v>150</v>
      </c>
      <c r="AK212" t="s">
        <v>150</v>
      </c>
      <c r="AL212" t="s">
        <v>150</v>
      </c>
      <c r="AM212" t="s">
        <v>162</v>
      </c>
      <c r="AN212" t="s">
        <v>162</v>
      </c>
      <c r="AO212" t="s">
        <v>1740</v>
      </c>
      <c r="AP212" t="s">
        <v>131</v>
      </c>
      <c r="AQ212" t="s">
        <v>302</v>
      </c>
      <c r="AR212" t="s">
        <v>1741</v>
      </c>
      <c r="AS212" t="s">
        <v>1742</v>
      </c>
      <c r="AT212" t="s">
        <v>1743</v>
      </c>
      <c r="AU212" t="s">
        <v>157</v>
      </c>
      <c r="AV212" t="s">
        <v>1744</v>
      </c>
      <c r="AW212" s="1" t="s">
        <v>123</v>
      </c>
      <c r="AX212" t="s">
        <v>132</v>
      </c>
      <c r="CQ212" s="1" t="s">
        <v>123</v>
      </c>
      <c r="DA212" s="1" t="s">
        <v>123</v>
      </c>
      <c r="DK212" s="1" t="s">
        <v>123</v>
      </c>
      <c r="EN212" s="1" t="s">
        <v>123</v>
      </c>
      <c r="FN212" s="1" t="s">
        <v>123</v>
      </c>
      <c r="GV212" t="s">
        <v>1745</v>
      </c>
      <c r="GW212" t="s">
        <v>1746</v>
      </c>
      <c r="GX212" t="s">
        <v>1747</v>
      </c>
      <c r="GY212" t="s">
        <v>186</v>
      </c>
      <c r="GZ212">
        <v>1976</v>
      </c>
      <c r="HA212" t="s">
        <v>141</v>
      </c>
      <c r="HC212" t="s">
        <v>1748</v>
      </c>
      <c r="HD212" t="s">
        <v>1749</v>
      </c>
      <c r="HE212" t="s">
        <v>1750</v>
      </c>
    </row>
    <row r="213" spans="1:213" x14ac:dyDescent="0.45">
      <c r="A213">
        <v>212</v>
      </c>
      <c r="B213">
        <f>_xlfn.IFNA(VLOOKUP(Wszystkie[[#This Row],[Zakończono wypełnianie]],Zakończone[],2,0),"BRAK")</f>
        <v>116</v>
      </c>
      <c r="C213" t="s">
        <v>1751</v>
      </c>
      <c r="D213" t="s">
        <v>118</v>
      </c>
      <c r="I213" t="s">
        <v>119</v>
      </c>
      <c r="J213" t="s">
        <v>1752</v>
      </c>
      <c r="K213" t="s">
        <v>1753</v>
      </c>
      <c r="L213">
        <v>625</v>
      </c>
      <c r="M213">
        <v>0</v>
      </c>
      <c r="N213" t="s">
        <v>122</v>
      </c>
      <c r="O213" s="1" t="s">
        <v>123</v>
      </c>
      <c r="AE213" s="1" t="s">
        <v>124</v>
      </c>
      <c r="AF213" t="s">
        <v>191</v>
      </c>
      <c r="AG213">
        <v>2009</v>
      </c>
      <c r="AH213" t="s">
        <v>126</v>
      </c>
      <c r="AI213" t="s">
        <v>192</v>
      </c>
      <c r="AJ213" t="s">
        <v>162</v>
      </c>
      <c r="AK213" t="s">
        <v>150</v>
      </c>
      <c r="AL213" t="s">
        <v>169</v>
      </c>
      <c r="AM213" t="s">
        <v>169</v>
      </c>
      <c r="AN213" t="s">
        <v>169</v>
      </c>
      <c r="AO213" t="s">
        <v>530</v>
      </c>
      <c r="AP213" t="s">
        <v>226</v>
      </c>
      <c r="AQ213" t="s">
        <v>759</v>
      </c>
      <c r="AS213" t="s">
        <v>1754</v>
      </c>
      <c r="AT213" t="s">
        <v>1755</v>
      </c>
      <c r="AV213" t="s">
        <v>1756</v>
      </c>
      <c r="AW213" s="1" t="s">
        <v>123</v>
      </c>
      <c r="CQ213" s="1" t="s">
        <v>123</v>
      </c>
      <c r="DA213" s="1" t="s">
        <v>123</v>
      </c>
      <c r="DK213" s="1" t="s">
        <v>123</v>
      </c>
      <c r="EN213" s="1" t="s">
        <v>123</v>
      </c>
      <c r="FN213" s="1" t="s">
        <v>123</v>
      </c>
      <c r="GV213" t="s">
        <v>1757</v>
      </c>
      <c r="GW213" t="s">
        <v>1758</v>
      </c>
      <c r="GX213" t="s">
        <v>1759</v>
      </c>
      <c r="GY213" t="s">
        <v>186</v>
      </c>
      <c r="GZ213">
        <v>1984</v>
      </c>
      <c r="HA213" t="s">
        <v>141</v>
      </c>
    </row>
    <row r="214" spans="1:213" x14ac:dyDescent="0.45">
      <c r="A214">
        <v>213</v>
      </c>
      <c r="B214" t="str">
        <f>_xlfn.IFNA(VLOOKUP(Wszystkie[[#This Row],[Zakończono wypełnianie]],Zakończone[],2,0),"BRAK")</f>
        <v>BRAK</v>
      </c>
      <c r="C214" t="s">
        <v>1760</v>
      </c>
      <c r="D214" t="s">
        <v>118</v>
      </c>
      <c r="I214" t="s">
        <v>286</v>
      </c>
      <c r="J214" t="s">
        <v>1761</v>
      </c>
      <c r="K214" t="s">
        <v>1761</v>
      </c>
      <c r="L214">
        <v>0</v>
      </c>
      <c r="M214">
        <v>0</v>
      </c>
      <c r="N214" t="s">
        <v>122</v>
      </c>
      <c r="O214" s="1" t="s">
        <v>123</v>
      </c>
      <c r="AE214" s="1" t="s">
        <v>124</v>
      </c>
      <c r="AW214" s="1"/>
      <c r="CQ214" s="1"/>
      <c r="DA214" s="1"/>
      <c r="DK214" s="1"/>
      <c r="EN214" s="1"/>
      <c r="FN214" s="1"/>
    </row>
    <row r="215" spans="1:213" x14ac:dyDescent="0.45">
      <c r="A215">
        <v>214</v>
      </c>
      <c r="B215">
        <f>_xlfn.IFNA(VLOOKUP(Wszystkie[[#This Row],[Zakończono wypełnianie]],Zakończone[],2,0),"BRAK")</f>
        <v>117</v>
      </c>
      <c r="C215" t="s">
        <v>1762</v>
      </c>
      <c r="D215" t="s">
        <v>118</v>
      </c>
      <c r="I215" t="s">
        <v>119</v>
      </c>
      <c r="J215" t="s">
        <v>1763</v>
      </c>
      <c r="K215" t="s">
        <v>1764</v>
      </c>
      <c r="L215">
        <v>336</v>
      </c>
      <c r="M215">
        <v>0</v>
      </c>
      <c r="N215" t="s">
        <v>122</v>
      </c>
      <c r="O215" s="1" t="s">
        <v>123</v>
      </c>
      <c r="AE215" s="1" t="s">
        <v>124</v>
      </c>
      <c r="AF215" t="s">
        <v>747</v>
      </c>
      <c r="AG215">
        <v>2002</v>
      </c>
      <c r="AH215" t="s">
        <v>126</v>
      </c>
      <c r="AI215" t="s">
        <v>1176</v>
      </c>
      <c r="AJ215" t="s">
        <v>129</v>
      </c>
      <c r="AK215" t="s">
        <v>129</v>
      </c>
      <c r="AL215" t="s">
        <v>129</v>
      </c>
      <c r="AM215" t="s">
        <v>129</v>
      </c>
      <c r="AN215" t="s">
        <v>129</v>
      </c>
      <c r="AO215" t="s">
        <v>1765</v>
      </c>
      <c r="AP215" t="s">
        <v>302</v>
      </c>
      <c r="AQ215" t="s">
        <v>226</v>
      </c>
      <c r="AS215" t="s">
        <v>1766</v>
      </c>
      <c r="AT215" t="s">
        <v>386</v>
      </c>
      <c r="AU215" t="s">
        <v>157</v>
      </c>
      <c r="AV215" t="s">
        <v>1767</v>
      </c>
      <c r="AW215" s="1" t="s">
        <v>123</v>
      </c>
      <c r="CQ215" s="1" t="s">
        <v>123</v>
      </c>
      <c r="DA215" s="1" t="s">
        <v>123</v>
      </c>
      <c r="DK215" s="1" t="s">
        <v>123</v>
      </c>
      <c r="EN215" s="1" t="s">
        <v>123</v>
      </c>
      <c r="FN215" s="1" t="s">
        <v>123</v>
      </c>
      <c r="GV215" t="s">
        <v>1768</v>
      </c>
      <c r="GW215" t="s">
        <v>1769</v>
      </c>
      <c r="GX215" t="s">
        <v>1769</v>
      </c>
      <c r="GY215" t="s">
        <v>186</v>
      </c>
      <c r="GZ215">
        <v>1977</v>
      </c>
      <c r="HA215" t="s">
        <v>141</v>
      </c>
      <c r="HC215" t="s">
        <v>386</v>
      </c>
      <c r="HD215" t="s">
        <v>386</v>
      </c>
    </row>
    <row r="216" spans="1:213" x14ac:dyDescent="0.45">
      <c r="A216">
        <v>215</v>
      </c>
      <c r="B216">
        <f>_xlfn.IFNA(VLOOKUP(Wszystkie[[#This Row],[Zakończono wypełnianie]],Zakończone[],2,0),"BRAK")</f>
        <v>118</v>
      </c>
      <c r="C216" t="s">
        <v>1131</v>
      </c>
      <c r="D216" t="s">
        <v>118</v>
      </c>
      <c r="I216" t="s">
        <v>119</v>
      </c>
      <c r="J216" t="s">
        <v>1770</v>
      </c>
      <c r="K216" t="s">
        <v>1771</v>
      </c>
      <c r="L216">
        <v>1129</v>
      </c>
      <c r="M216">
        <v>0</v>
      </c>
      <c r="N216" t="s">
        <v>122</v>
      </c>
      <c r="O216" s="1" t="s">
        <v>123</v>
      </c>
      <c r="Q216" t="s">
        <v>148</v>
      </c>
      <c r="AE216" s="1" t="s">
        <v>124</v>
      </c>
      <c r="AF216" t="s">
        <v>191</v>
      </c>
      <c r="AG216">
        <v>2014</v>
      </c>
      <c r="AH216" t="s">
        <v>126</v>
      </c>
      <c r="AI216" t="s">
        <v>1186</v>
      </c>
      <c r="AJ216" t="s">
        <v>162</v>
      </c>
      <c r="AK216" t="s">
        <v>150</v>
      </c>
      <c r="AL216" t="s">
        <v>162</v>
      </c>
      <c r="AM216" t="s">
        <v>162</v>
      </c>
      <c r="AN216" t="s">
        <v>150</v>
      </c>
      <c r="AO216">
        <v>1</v>
      </c>
      <c r="AP216" t="s">
        <v>131</v>
      </c>
      <c r="AQ216" t="s">
        <v>153</v>
      </c>
      <c r="AS216" t="s">
        <v>766</v>
      </c>
      <c r="AT216" t="s">
        <v>1772</v>
      </c>
      <c r="AU216" t="s">
        <v>172</v>
      </c>
      <c r="AW216" s="1" t="s">
        <v>123</v>
      </c>
      <c r="CQ216" s="1" t="s">
        <v>123</v>
      </c>
      <c r="DA216" s="1" t="s">
        <v>123</v>
      </c>
      <c r="DK216" s="1" t="s">
        <v>123</v>
      </c>
      <c r="EN216" s="1" t="s">
        <v>123</v>
      </c>
      <c r="FN216" s="1" t="s">
        <v>123</v>
      </c>
      <c r="GV216" t="s">
        <v>1773</v>
      </c>
      <c r="GW216" t="s">
        <v>1774</v>
      </c>
      <c r="GX216" t="s">
        <v>1775</v>
      </c>
      <c r="GY216" t="s">
        <v>140</v>
      </c>
      <c r="GZ216">
        <v>1990</v>
      </c>
      <c r="HA216" t="s">
        <v>141</v>
      </c>
      <c r="HC216" t="s">
        <v>1776</v>
      </c>
      <c r="HD216" t="s">
        <v>1777</v>
      </c>
    </row>
    <row r="217" spans="1:213" x14ac:dyDescent="0.45">
      <c r="A217">
        <v>216</v>
      </c>
      <c r="B217" t="str">
        <f>_xlfn.IFNA(VLOOKUP(Wszystkie[[#This Row],[Zakończono wypełnianie]],Zakończone[],2,0),"BRAK")</f>
        <v>BRAK</v>
      </c>
      <c r="C217" t="s">
        <v>1778</v>
      </c>
      <c r="D217" t="s">
        <v>118</v>
      </c>
      <c r="E217" t="s">
        <v>260</v>
      </c>
      <c r="I217" t="s">
        <v>286</v>
      </c>
      <c r="J217" t="s">
        <v>1779</v>
      </c>
      <c r="K217" t="s">
        <v>1779</v>
      </c>
      <c r="L217">
        <v>0</v>
      </c>
      <c r="M217">
        <v>0</v>
      </c>
      <c r="N217" t="s">
        <v>122</v>
      </c>
      <c r="O217" s="1" t="s">
        <v>416</v>
      </c>
      <c r="AE217" s="1"/>
      <c r="AW217" s="1"/>
      <c r="CQ217" s="1"/>
      <c r="DA217" s="1"/>
      <c r="DK217" s="1"/>
      <c r="EN217" s="1"/>
      <c r="FN217" s="1"/>
    </row>
    <row r="218" spans="1:213" x14ac:dyDescent="0.45">
      <c r="A218">
        <v>217</v>
      </c>
      <c r="B218">
        <f>_xlfn.IFNA(VLOOKUP(Wszystkie[[#This Row],[Zakończono wypełnianie]],Zakończone[],2,0),"BRAK")</f>
        <v>119</v>
      </c>
      <c r="C218" t="s">
        <v>1780</v>
      </c>
      <c r="D218" t="s">
        <v>118</v>
      </c>
      <c r="E218" t="s">
        <v>1781</v>
      </c>
      <c r="I218" t="s">
        <v>119</v>
      </c>
      <c r="J218" t="s">
        <v>1782</v>
      </c>
      <c r="K218" t="s">
        <v>1783</v>
      </c>
      <c r="L218">
        <v>968</v>
      </c>
      <c r="M218">
        <v>0</v>
      </c>
      <c r="N218" t="s">
        <v>122</v>
      </c>
      <c r="O218" s="1" t="s">
        <v>123</v>
      </c>
      <c r="AE218" s="1" t="s">
        <v>124</v>
      </c>
      <c r="AF218" t="s">
        <v>223</v>
      </c>
      <c r="AG218">
        <v>2011</v>
      </c>
      <c r="AH218" t="s">
        <v>148</v>
      </c>
      <c r="AI218" t="s">
        <v>1784</v>
      </c>
      <c r="AJ218" t="s">
        <v>150</v>
      </c>
      <c r="AK218" t="s">
        <v>162</v>
      </c>
      <c r="AL218" t="s">
        <v>169</v>
      </c>
      <c r="AM218" t="s">
        <v>150</v>
      </c>
      <c r="AN218" t="s">
        <v>150</v>
      </c>
      <c r="AO218">
        <v>2</v>
      </c>
      <c r="AP218" t="s">
        <v>302</v>
      </c>
      <c r="AQ218" t="s">
        <v>153</v>
      </c>
      <c r="AR218" t="s">
        <v>1785</v>
      </c>
      <c r="AS218" t="s">
        <v>1786</v>
      </c>
      <c r="AT218" t="s">
        <v>1787</v>
      </c>
      <c r="AU218" t="s">
        <v>157</v>
      </c>
      <c r="AW218" s="1" t="s">
        <v>123</v>
      </c>
      <c r="AX218" t="s">
        <v>132</v>
      </c>
      <c r="CQ218" s="1" t="s">
        <v>123</v>
      </c>
      <c r="DA218" s="1" t="s">
        <v>123</v>
      </c>
      <c r="DK218" s="1" t="s">
        <v>123</v>
      </c>
      <c r="EN218" s="1" t="s">
        <v>123</v>
      </c>
      <c r="FN218" s="1" t="s">
        <v>123</v>
      </c>
      <c r="GV218" t="s">
        <v>1788</v>
      </c>
      <c r="GW218" t="s">
        <v>1789</v>
      </c>
      <c r="GX218" t="s">
        <v>1790</v>
      </c>
      <c r="GY218" t="s">
        <v>140</v>
      </c>
      <c r="GZ218">
        <v>1986</v>
      </c>
      <c r="HA218" t="s">
        <v>398</v>
      </c>
      <c r="HC218" t="s">
        <v>1791</v>
      </c>
    </row>
    <row r="219" spans="1:213" x14ac:dyDescent="0.45">
      <c r="A219">
        <v>218</v>
      </c>
      <c r="B219">
        <f>_xlfn.IFNA(VLOOKUP(Wszystkie[[#This Row],[Zakończono wypełnianie]],Zakończone[],2,0),"BRAK")</f>
        <v>120</v>
      </c>
      <c r="C219" t="s">
        <v>1792</v>
      </c>
      <c r="D219" t="s">
        <v>118</v>
      </c>
      <c r="E219" t="s">
        <v>359</v>
      </c>
      <c r="I219" t="s">
        <v>119</v>
      </c>
      <c r="J219" t="s">
        <v>1793</v>
      </c>
      <c r="K219" t="s">
        <v>1794</v>
      </c>
      <c r="L219">
        <v>465</v>
      </c>
      <c r="M219">
        <v>0</v>
      </c>
      <c r="N219" t="s">
        <v>122</v>
      </c>
      <c r="O219" s="1" t="s">
        <v>123</v>
      </c>
      <c r="AE219" s="1" t="s">
        <v>124</v>
      </c>
      <c r="AF219" t="s">
        <v>191</v>
      </c>
      <c r="AG219">
        <v>2016</v>
      </c>
      <c r="AH219" t="s">
        <v>126</v>
      </c>
      <c r="AI219" t="s">
        <v>1795</v>
      </c>
      <c r="AJ219" t="s">
        <v>236</v>
      </c>
      <c r="AK219" t="s">
        <v>236</v>
      </c>
      <c r="AL219" t="s">
        <v>129</v>
      </c>
      <c r="AM219" t="s">
        <v>129</v>
      </c>
      <c r="AN219" t="s">
        <v>129</v>
      </c>
      <c r="AO219">
        <v>34</v>
      </c>
      <c r="AP219" t="s">
        <v>152</v>
      </c>
      <c r="AQ219" t="s">
        <v>152</v>
      </c>
      <c r="AR219" t="s">
        <v>1796</v>
      </c>
      <c r="AS219" t="s">
        <v>1797</v>
      </c>
      <c r="AT219" t="s">
        <v>1798</v>
      </c>
      <c r="AU219" t="s">
        <v>157</v>
      </c>
      <c r="AW219" s="1" t="s">
        <v>123</v>
      </c>
      <c r="AX219" t="s">
        <v>132</v>
      </c>
      <c r="CQ219" s="1" t="s">
        <v>123</v>
      </c>
      <c r="DA219" s="1" t="s">
        <v>123</v>
      </c>
      <c r="DK219" s="1" t="s">
        <v>123</v>
      </c>
      <c r="EN219" s="1" t="s">
        <v>123</v>
      </c>
      <c r="FN219" s="1" t="s">
        <v>123</v>
      </c>
      <c r="GV219" t="s">
        <v>1799</v>
      </c>
      <c r="GW219" t="s">
        <v>1800</v>
      </c>
      <c r="GX219" t="s">
        <v>1801</v>
      </c>
      <c r="GY219" t="s">
        <v>140</v>
      </c>
      <c r="GZ219">
        <v>2006</v>
      </c>
      <c r="HA219" t="s">
        <v>483</v>
      </c>
    </row>
    <row r="220" spans="1:213" x14ac:dyDescent="0.45">
      <c r="A220">
        <v>219</v>
      </c>
      <c r="B220" t="str">
        <f>_xlfn.IFNA(VLOOKUP(Wszystkie[[#This Row],[Zakończono wypełnianie]],Zakończone[],2,0),"BRAK")</f>
        <v>BRAK</v>
      </c>
      <c r="C220" t="s">
        <v>1802</v>
      </c>
      <c r="D220" t="s">
        <v>118</v>
      </c>
      <c r="E220" t="s">
        <v>359</v>
      </c>
      <c r="I220" t="s">
        <v>286</v>
      </c>
      <c r="J220" t="s">
        <v>1803</v>
      </c>
      <c r="K220" t="s">
        <v>1803</v>
      </c>
      <c r="L220">
        <v>0</v>
      </c>
      <c r="M220">
        <v>0</v>
      </c>
      <c r="N220" t="s">
        <v>122</v>
      </c>
      <c r="O220" s="1" t="s">
        <v>123</v>
      </c>
      <c r="AE220" s="1" t="s">
        <v>124</v>
      </c>
      <c r="AF220" t="s">
        <v>191</v>
      </c>
      <c r="AG220">
        <v>2016</v>
      </c>
      <c r="AH220" t="s">
        <v>126</v>
      </c>
      <c r="AI220" t="s">
        <v>1795</v>
      </c>
      <c r="AJ220" t="s">
        <v>236</v>
      </c>
      <c r="AK220" t="s">
        <v>236</v>
      </c>
      <c r="AL220" t="s">
        <v>151</v>
      </c>
      <c r="AM220" t="s">
        <v>129</v>
      </c>
      <c r="AN220" t="s">
        <v>132</v>
      </c>
      <c r="AO220" t="s">
        <v>1804</v>
      </c>
      <c r="AP220" t="s">
        <v>131</v>
      </c>
      <c r="AQ220" t="s">
        <v>132</v>
      </c>
      <c r="AR220" t="s">
        <v>1805</v>
      </c>
      <c r="AS220" t="s">
        <v>1806</v>
      </c>
      <c r="AT220" t="s">
        <v>1807</v>
      </c>
      <c r="AU220" t="s">
        <v>157</v>
      </c>
      <c r="AW220" s="1" t="s">
        <v>159</v>
      </c>
      <c r="AX220">
        <v>1</v>
      </c>
      <c r="CQ220" s="1"/>
      <c r="DA220" s="1"/>
      <c r="DK220" s="1"/>
      <c r="EN220" s="1"/>
      <c r="FN220" s="1"/>
    </row>
    <row r="221" spans="1:213" x14ac:dyDescent="0.45">
      <c r="A221">
        <v>220</v>
      </c>
      <c r="B221">
        <f>_xlfn.IFNA(VLOOKUP(Wszystkie[[#This Row],[Zakończono wypełnianie]],Zakończone[],2,0),"BRAK")</f>
        <v>121</v>
      </c>
      <c r="C221" t="s">
        <v>1336</v>
      </c>
      <c r="D221" t="s">
        <v>118</v>
      </c>
      <c r="I221" t="s">
        <v>119</v>
      </c>
      <c r="J221" t="s">
        <v>1808</v>
      </c>
      <c r="K221" t="s">
        <v>1809</v>
      </c>
      <c r="L221">
        <v>2379</v>
      </c>
      <c r="M221">
        <v>0</v>
      </c>
      <c r="N221" t="s">
        <v>122</v>
      </c>
      <c r="O221" s="1" t="s">
        <v>123</v>
      </c>
      <c r="AE221" s="1" t="s">
        <v>124</v>
      </c>
      <c r="AF221" t="s">
        <v>223</v>
      </c>
      <c r="AG221">
        <v>2012</v>
      </c>
      <c r="AH221" t="s">
        <v>148</v>
      </c>
      <c r="AI221" t="s">
        <v>1810</v>
      </c>
      <c r="AJ221" t="s">
        <v>150</v>
      </c>
      <c r="AK221" t="s">
        <v>162</v>
      </c>
      <c r="AL221" t="s">
        <v>150</v>
      </c>
      <c r="AM221" t="s">
        <v>162</v>
      </c>
      <c r="AN221" t="s">
        <v>150</v>
      </c>
      <c r="AO221" t="s">
        <v>237</v>
      </c>
      <c r="AP221" t="s">
        <v>132</v>
      </c>
      <c r="AQ221" t="s">
        <v>132</v>
      </c>
      <c r="AR221" t="s">
        <v>1811</v>
      </c>
      <c r="AS221" t="s">
        <v>1812</v>
      </c>
      <c r="AT221" t="s">
        <v>1813</v>
      </c>
      <c r="AU221" t="s">
        <v>230</v>
      </c>
      <c r="AV221" t="s">
        <v>1814</v>
      </c>
      <c r="AW221" s="1" t="s">
        <v>123</v>
      </c>
      <c r="CQ221" s="1" t="s">
        <v>123</v>
      </c>
      <c r="DA221" s="1" t="s">
        <v>123</v>
      </c>
      <c r="DK221" s="1" t="s">
        <v>123</v>
      </c>
      <c r="EN221" s="1" t="s">
        <v>123</v>
      </c>
      <c r="FN221" s="1" t="s">
        <v>123</v>
      </c>
      <c r="GV221" t="s">
        <v>1815</v>
      </c>
      <c r="GW221" t="s">
        <v>1816</v>
      </c>
      <c r="GX221" t="s">
        <v>1817</v>
      </c>
      <c r="GY221" t="s">
        <v>140</v>
      </c>
      <c r="GZ221">
        <v>1986</v>
      </c>
      <c r="HA221" t="s">
        <v>246</v>
      </c>
      <c r="HC221" t="s">
        <v>1818</v>
      </c>
      <c r="HD221" t="s">
        <v>1819</v>
      </c>
    </row>
    <row r="222" spans="1:213" x14ac:dyDescent="0.45">
      <c r="A222">
        <v>221</v>
      </c>
      <c r="B222" t="str">
        <f>_xlfn.IFNA(VLOOKUP(Wszystkie[[#This Row],[Zakończono wypełnianie]],Zakończone[],2,0),"BRAK")</f>
        <v>BRAK</v>
      </c>
      <c r="C222" t="s">
        <v>1352</v>
      </c>
      <c r="D222" t="s">
        <v>118</v>
      </c>
      <c r="I222" t="s">
        <v>286</v>
      </c>
      <c r="J222" t="s">
        <v>1820</v>
      </c>
      <c r="K222" t="s">
        <v>1820</v>
      </c>
      <c r="L222">
        <v>0</v>
      </c>
      <c r="M222">
        <v>0</v>
      </c>
      <c r="N222" t="s">
        <v>122</v>
      </c>
      <c r="O222" s="1" t="s">
        <v>416</v>
      </c>
      <c r="P222" t="s">
        <v>223</v>
      </c>
      <c r="Q222" t="s">
        <v>148</v>
      </c>
      <c r="R222" t="s">
        <v>1495</v>
      </c>
      <c r="S222" t="s">
        <v>128</v>
      </c>
      <c r="T222" t="s">
        <v>236</v>
      </c>
      <c r="U222" t="s">
        <v>129</v>
      </c>
      <c r="V222" t="s">
        <v>1821</v>
      </c>
      <c r="W222" t="s">
        <v>943</v>
      </c>
      <c r="X222" t="s">
        <v>194</v>
      </c>
      <c r="Y222" t="s">
        <v>1822</v>
      </c>
      <c r="Z222" t="s">
        <v>1823</v>
      </c>
      <c r="AA222" t="s">
        <v>1824</v>
      </c>
      <c r="AB222" t="s">
        <v>892</v>
      </c>
      <c r="AD222">
        <v>5</v>
      </c>
      <c r="AE222" s="1" t="s">
        <v>123</v>
      </c>
      <c r="AW222" s="1" t="s">
        <v>123</v>
      </c>
      <c r="AX222" t="s">
        <v>132</v>
      </c>
      <c r="CQ222" s="1" t="s">
        <v>123</v>
      </c>
      <c r="DA222" s="1" t="s">
        <v>123</v>
      </c>
      <c r="DK222" s="1" t="s">
        <v>123</v>
      </c>
      <c r="EN222" s="1" t="s">
        <v>123</v>
      </c>
      <c r="FN222" s="1" t="s">
        <v>123</v>
      </c>
    </row>
    <row r="223" spans="1:213" x14ac:dyDescent="0.45">
      <c r="A223">
        <v>222</v>
      </c>
      <c r="B223" t="str">
        <f>_xlfn.IFNA(VLOOKUP(Wszystkie[[#This Row],[Zakończono wypełnianie]],Zakończone[],2,0),"BRAK")</f>
        <v>BRAK</v>
      </c>
      <c r="C223" t="s">
        <v>1825</v>
      </c>
      <c r="D223" t="s">
        <v>118</v>
      </c>
      <c r="I223" t="s">
        <v>286</v>
      </c>
      <c r="J223" t="s">
        <v>1826</v>
      </c>
      <c r="K223" t="s">
        <v>1826</v>
      </c>
      <c r="L223">
        <v>0</v>
      </c>
      <c r="M223">
        <v>0</v>
      </c>
      <c r="N223" t="s">
        <v>122</v>
      </c>
      <c r="O223" s="1" t="s">
        <v>123</v>
      </c>
      <c r="AE223" s="1" t="s">
        <v>124</v>
      </c>
      <c r="AW223" s="1"/>
      <c r="CQ223" s="1"/>
      <c r="DA223" s="1"/>
      <c r="DK223" s="1"/>
      <c r="EN223" s="1"/>
      <c r="FN223" s="1"/>
    </row>
    <row r="224" spans="1:213" x14ac:dyDescent="0.45">
      <c r="A224">
        <v>223</v>
      </c>
      <c r="B224">
        <f>_xlfn.IFNA(VLOOKUP(Wszystkie[[#This Row],[Zakończono wypełnianie]],Zakończone[],2,0),"BRAK")</f>
        <v>122</v>
      </c>
      <c r="C224" t="s">
        <v>1827</v>
      </c>
      <c r="D224" t="s">
        <v>118</v>
      </c>
      <c r="I224" t="s">
        <v>119</v>
      </c>
      <c r="J224" t="s">
        <v>1828</v>
      </c>
      <c r="K224" t="s">
        <v>1829</v>
      </c>
      <c r="L224">
        <v>673</v>
      </c>
      <c r="M224">
        <v>0</v>
      </c>
      <c r="N224" t="s">
        <v>122</v>
      </c>
      <c r="O224" s="1" t="s">
        <v>123</v>
      </c>
      <c r="AE224" s="1" t="s">
        <v>124</v>
      </c>
      <c r="AF224" t="s">
        <v>1830</v>
      </c>
      <c r="AG224">
        <v>2005</v>
      </c>
      <c r="AH224" t="s">
        <v>148</v>
      </c>
      <c r="AI224" t="s">
        <v>1831</v>
      </c>
      <c r="AJ224" t="s">
        <v>162</v>
      </c>
      <c r="AK224" t="s">
        <v>169</v>
      </c>
      <c r="AL224" t="s">
        <v>169</v>
      </c>
      <c r="AM224" t="s">
        <v>128</v>
      </c>
      <c r="AN224" t="s">
        <v>162</v>
      </c>
      <c r="AO224" t="s">
        <v>237</v>
      </c>
      <c r="AP224" t="s">
        <v>302</v>
      </c>
      <c r="AQ224" t="s">
        <v>153</v>
      </c>
      <c r="AR224" t="s">
        <v>1832</v>
      </c>
      <c r="AS224" t="s">
        <v>1833</v>
      </c>
      <c r="AT224" t="s">
        <v>1834</v>
      </c>
      <c r="AV224" t="s">
        <v>158</v>
      </c>
      <c r="AW224" s="1" t="s">
        <v>123</v>
      </c>
      <c r="CQ224" s="1" t="s">
        <v>123</v>
      </c>
      <c r="DA224" s="1" t="s">
        <v>214</v>
      </c>
      <c r="DB224" t="s">
        <v>191</v>
      </c>
      <c r="DC224" t="s">
        <v>1835</v>
      </c>
      <c r="DD224" t="s">
        <v>150</v>
      </c>
      <c r="DE224" t="s">
        <v>150</v>
      </c>
      <c r="DF224" t="s">
        <v>151</v>
      </c>
      <c r="DG224" t="s">
        <v>150</v>
      </c>
      <c r="DH224" t="s">
        <v>169</v>
      </c>
      <c r="DI224" t="s">
        <v>169</v>
      </c>
      <c r="DJ224" t="s">
        <v>1836</v>
      </c>
      <c r="DK224" s="1" t="s">
        <v>123</v>
      </c>
      <c r="EN224" s="1" t="s">
        <v>123</v>
      </c>
      <c r="FN224" s="1" t="s">
        <v>123</v>
      </c>
      <c r="GV224" t="s">
        <v>1837</v>
      </c>
      <c r="GW224" t="s">
        <v>1838</v>
      </c>
      <c r="GX224" t="s">
        <v>1839</v>
      </c>
      <c r="GY224" t="s">
        <v>140</v>
      </c>
      <c r="GZ224">
        <v>1981</v>
      </c>
      <c r="HA224" t="s">
        <v>141</v>
      </c>
      <c r="HC224" t="s">
        <v>1840</v>
      </c>
    </row>
    <row r="225" spans="1:213" x14ac:dyDescent="0.45">
      <c r="A225">
        <v>224</v>
      </c>
      <c r="B225" t="str">
        <f>_xlfn.IFNA(VLOOKUP(Wszystkie[[#This Row],[Zakończono wypełnianie]],Zakończone[],2,0),"BRAK")</f>
        <v>BRAK</v>
      </c>
      <c r="C225" t="s">
        <v>1841</v>
      </c>
      <c r="D225" t="s">
        <v>118</v>
      </c>
      <c r="E225" t="s">
        <v>359</v>
      </c>
      <c r="I225" t="s">
        <v>286</v>
      </c>
      <c r="J225" t="s">
        <v>1842</v>
      </c>
      <c r="K225" t="s">
        <v>1842</v>
      </c>
      <c r="L225">
        <v>0</v>
      </c>
      <c r="M225">
        <v>0</v>
      </c>
      <c r="N225" t="s">
        <v>122</v>
      </c>
      <c r="O225" s="1" t="s">
        <v>123</v>
      </c>
      <c r="AE225" s="1" t="s">
        <v>124</v>
      </c>
      <c r="AW225" s="1"/>
      <c r="CQ225" s="1"/>
      <c r="DA225" s="1"/>
      <c r="DK225" s="1"/>
      <c r="EN225" s="1"/>
      <c r="FN225" s="1"/>
    </row>
    <row r="226" spans="1:213" x14ac:dyDescent="0.45">
      <c r="A226">
        <v>225</v>
      </c>
      <c r="B226" t="str">
        <f>_xlfn.IFNA(VLOOKUP(Wszystkie[[#This Row],[Zakończono wypełnianie]],Zakończone[],2,0),"BRAK")</f>
        <v>BRAK</v>
      </c>
      <c r="C226" t="s">
        <v>1131</v>
      </c>
      <c r="D226" t="s">
        <v>118</v>
      </c>
      <c r="I226" t="s">
        <v>286</v>
      </c>
      <c r="J226" t="s">
        <v>1843</v>
      </c>
      <c r="K226" t="s">
        <v>1843</v>
      </c>
      <c r="L226">
        <v>0</v>
      </c>
      <c r="M226">
        <v>0</v>
      </c>
      <c r="N226" t="s">
        <v>122</v>
      </c>
      <c r="O226" s="1" t="s">
        <v>123</v>
      </c>
      <c r="AE226" s="1" t="s">
        <v>124</v>
      </c>
      <c r="AW226" s="1"/>
      <c r="CQ226" s="1"/>
      <c r="DA226" s="1"/>
      <c r="DK226" s="1"/>
      <c r="EN226" s="1"/>
      <c r="FN226" s="1"/>
    </row>
    <row r="227" spans="1:213" x14ac:dyDescent="0.45">
      <c r="A227">
        <v>226</v>
      </c>
      <c r="B227" t="str">
        <f>_xlfn.IFNA(VLOOKUP(Wszystkie[[#This Row],[Zakończono wypełnianie]],Zakończone[],2,0),"BRAK")</f>
        <v>BRAK</v>
      </c>
      <c r="C227" t="s">
        <v>1331</v>
      </c>
      <c r="D227" t="s">
        <v>118</v>
      </c>
      <c r="I227" t="s">
        <v>286</v>
      </c>
      <c r="J227" t="s">
        <v>1844</v>
      </c>
      <c r="K227" t="s">
        <v>1844</v>
      </c>
      <c r="L227">
        <v>0</v>
      </c>
      <c r="M227">
        <v>0</v>
      </c>
      <c r="N227" t="s">
        <v>122</v>
      </c>
      <c r="O227" s="1" t="s">
        <v>416</v>
      </c>
      <c r="AE227" s="1"/>
      <c r="AW227" s="1"/>
      <c r="CQ227" s="1"/>
      <c r="DA227" s="1"/>
      <c r="DK227" s="1"/>
      <c r="EN227" s="1"/>
      <c r="FN227" s="1"/>
    </row>
    <row r="228" spans="1:213" x14ac:dyDescent="0.45">
      <c r="A228">
        <v>227</v>
      </c>
      <c r="B228">
        <f>_xlfn.IFNA(VLOOKUP(Wszystkie[[#This Row],[Zakończono wypełnianie]],Zakończone[],2,0),"BRAK")</f>
        <v>123</v>
      </c>
      <c r="C228" t="s">
        <v>1845</v>
      </c>
      <c r="D228" t="s">
        <v>118</v>
      </c>
      <c r="I228" t="s">
        <v>119</v>
      </c>
      <c r="J228" t="s">
        <v>1846</v>
      </c>
      <c r="K228" t="s">
        <v>1847</v>
      </c>
      <c r="L228">
        <v>790</v>
      </c>
      <c r="M228">
        <v>0</v>
      </c>
      <c r="N228" t="s">
        <v>122</v>
      </c>
      <c r="O228" s="1" t="s">
        <v>123</v>
      </c>
      <c r="AE228" s="1" t="s">
        <v>124</v>
      </c>
      <c r="AF228" t="s">
        <v>223</v>
      </c>
      <c r="AG228">
        <v>2018</v>
      </c>
      <c r="AH228" t="s">
        <v>148</v>
      </c>
      <c r="AI228" t="s">
        <v>461</v>
      </c>
      <c r="AJ228" t="s">
        <v>162</v>
      </c>
      <c r="AK228" t="s">
        <v>162</v>
      </c>
      <c r="AL228" t="s">
        <v>150</v>
      </c>
      <c r="AM228" t="s">
        <v>169</v>
      </c>
      <c r="AN228" t="s">
        <v>132</v>
      </c>
      <c r="AO228" t="s">
        <v>1848</v>
      </c>
      <c r="AP228" t="s">
        <v>302</v>
      </c>
      <c r="AQ228" t="s">
        <v>132</v>
      </c>
      <c r="AR228" t="s">
        <v>1849</v>
      </c>
      <c r="AS228" t="s">
        <v>1850</v>
      </c>
      <c r="AT228" t="s">
        <v>1851</v>
      </c>
      <c r="AU228" t="s">
        <v>157</v>
      </c>
      <c r="AW228" s="1" t="s">
        <v>123</v>
      </c>
      <c r="CQ228" s="1" t="s">
        <v>123</v>
      </c>
      <c r="DA228" s="1" t="s">
        <v>123</v>
      </c>
      <c r="DK228" s="1" t="s">
        <v>123</v>
      </c>
      <c r="EN228" s="1" t="s">
        <v>123</v>
      </c>
      <c r="FN228" s="1" t="s">
        <v>123</v>
      </c>
      <c r="GV228" t="s">
        <v>1852</v>
      </c>
      <c r="GW228" t="s">
        <v>1853</v>
      </c>
      <c r="GX228" t="s">
        <v>1854</v>
      </c>
      <c r="GY228" t="s">
        <v>140</v>
      </c>
      <c r="GZ228">
        <v>1994</v>
      </c>
      <c r="HA228" t="s">
        <v>141</v>
      </c>
      <c r="HB228" t="s">
        <v>1855</v>
      </c>
      <c r="HC228" t="s">
        <v>1856</v>
      </c>
    </row>
    <row r="229" spans="1:213" x14ac:dyDescent="0.45">
      <c r="A229">
        <v>228</v>
      </c>
      <c r="B229" t="str">
        <f>_xlfn.IFNA(VLOOKUP(Wszystkie[[#This Row],[Zakończono wypełnianie]],Zakończone[],2,0),"BRAK")</f>
        <v>BRAK</v>
      </c>
      <c r="C229" t="s">
        <v>1857</v>
      </c>
      <c r="D229" t="s">
        <v>118</v>
      </c>
      <c r="E229" t="s">
        <v>1781</v>
      </c>
      <c r="I229" t="s">
        <v>286</v>
      </c>
      <c r="J229" t="s">
        <v>1858</v>
      </c>
      <c r="K229" t="s">
        <v>1858</v>
      </c>
      <c r="L229">
        <v>0</v>
      </c>
      <c r="M229">
        <v>0</v>
      </c>
      <c r="N229" t="s">
        <v>122</v>
      </c>
      <c r="O229" s="1" t="s">
        <v>123</v>
      </c>
      <c r="AE229" s="1" t="s">
        <v>124</v>
      </c>
      <c r="AW229" s="1"/>
      <c r="CQ229" s="1"/>
      <c r="DA229" s="1"/>
      <c r="DK229" s="1"/>
      <c r="EN229" s="1"/>
      <c r="FN229" s="1"/>
    </row>
    <row r="230" spans="1:213" x14ac:dyDescent="0.45">
      <c r="A230">
        <v>137</v>
      </c>
      <c r="B230">
        <f>_xlfn.IFNA(VLOOKUP(Wszystkie[[#This Row],[Zakończono wypełnianie]],Zakończone[],2,0),"BRAK")</f>
        <v>83</v>
      </c>
      <c r="C230" t="s">
        <v>1142</v>
      </c>
      <c r="D230" t="s">
        <v>118</v>
      </c>
      <c r="I230" t="s">
        <v>119</v>
      </c>
      <c r="J230" t="s">
        <v>1288</v>
      </c>
      <c r="K230" t="s">
        <v>1289</v>
      </c>
      <c r="L230">
        <v>1208727</v>
      </c>
      <c r="M230">
        <v>0</v>
      </c>
      <c r="N230" t="s">
        <v>122</v>
      </c>
      <c r="O230" s="1" t="s">
        <v>123</v>
      </c>
      <c r="AE230" s="1" t="s">
        <v>124</v>
      </c>
      <c r="AF230" t="s">
        <v>1290</v>
      </c>
      <c r="AG230">
        <v>2012</v>
      </c>
      <c r="AH230" t="s">
        <v>148</v>
      </c>
      <c r="AI230" t="s">
        <v>1050</v>
      </c>
      <c r="AJ230" t="s">
        <v>162</v>
      </c>
      <c r="AK230" t="s">
        <v>151</v>
      </c>
      <c r="AL230" t="s">
        <v>162</v>
      </c>
      <c r="AM230" t="s">
        <v>151</v>
      </c>
      <c r="AN230" t="s">
        <v>128</v>
      </c>
      <c r="AO230" t="s">
        <v>237</v>
      </c>
      <c r="AP230" t="s">
        <v>132</v>
      </c>
      <c r="AQ230" t="s">
        <v>132</v>
      </c>
      <c r="AR230" t="s">
        <v>1291</v>
      </c>
      <c r="AS230" t="s">
        <v>1292</v>
      </c>
      <c r="AT230" t="s">
        <v>1293</v>
      </c>
      <c r="AU230" t="s">
        <v>892</v>
      </c>
      <c r="AW230" s="1" t="s">
        <v>123</v>
      </c>
      <c r="AX230" t="s">
        <v>132</v>
      </c>
      <c r="CQ230" s="1" t="s">
        <v>123</v>
      </c>
      <c r="DA230" s="1" t="s">
        <v>123</v>
      </c>
      <c r="DK230" s="1" t="s">
        <v>123</v>
      </c>
      <c r="EN230" s="1" t="s">
        <v>177</v>
      </c>
      <c r="EO230" t="s">
        <v>178</v>
      </c>
      <c r="EP230" t="s">
        <v>132</v>
      </c>
      <c r="EQ230" t="s">
        <v>191</v>
      </c>
      <c r="ER230" t="s">
        <v>162</v>
      </c>
      <c r="ES230" t="s">
        <v>151</v>
      </c>
      <c r="ET230" t="s">
        <v>128</v>
      </c>
      <c r="EU230" t="s">
        <v>178</v>
      </c>
      <c r="EV230" t="s">
        <v>1294</v>
      </c>
      <c r="EW230" t="s">
        <v>1295</v>
      </c>
      <c r="EX230" t="s">
        <v>173</v>
      </c>
      <c r="FN230" s="1" t="s">
        <v>123</v>
      </c>
      <c r="GV230" t="s">
        <v>1296</v>
      </c>
      <c r="GW230" t="s">
        <v>1297</v>
      </c>
      <c r="GX230" t="s">
        <v>1298</v>
      </c>
      <c r="GY230" t="s">
        <v>186</v>
      </c>
      <c r="GZ230">
        <v>1987</v>
      </c>
      <c r="HA230" t="s">
        <v>246</v>
      </c>
      <c r="HC230" t="s">
        <v>1299</v>
      </c>
      <c r="HD230" t="s">
        <v>1300</v>
      </c>
    </row>
    <row r="231" spans="1:213" x14ac:dyDescent="0.45">
      <c r="A231">
        <v>229</v>
      </c>
      <c r="B231" t="str">
        <f>_xlfn.IFNA(VLOOKUP(Wszystkie[[#This Row],[Zakończono wypełnianie]],Zakończone[],2,0),"BRAK")</f>
        <v>BRAK</v>
      </c>
      <c r="C231" t="s">
        <v>1859</v>
      </c>
      <c r="D231" t="s">
        <v>118</v>
      </c>
      <c r="E231" t="s">
        <v>1860</v>
      </c>
      <c r="I231" t="s">
        <v>286</v>
      </c>
      <c r="J231" t="s">
        <v>1861</v>
      </c>
      <c r="K231" t="s">
        <v>1861</v>
      </c>
      <c r="L231">
        <v>0</v>
      </c>
      <c r="M231">
        <v>0</v>
      </c>
      <c r="N231" t="s">
        <v>122</v>
      </c>
      <c r="O231" s="1" t="s">
        <v>123</v>
      </c>
      <c r="AE231" s="1" t="s">
        <v>124</v>
      </c>
      <c r="AW231" s="1"/>
      <c r="CQ231" s="1"/>
      <c r="DA231" s="1"/>
      <c r="DK231" s="1"/>
      <c r="EN231" s="1"/>
      <c r="FN231" s="1"/>
    </row>
    <row r="232" spans="1:213" x14ac:dyDescent="0.45">
      <c r="A232">
        <v>230</v>
      </c>
      <c r="B232" t="str">
        <f>_xlfn.IFNA(VLOOKUP(Wszystkie[[#This Row],[Zakończono wypełnianie]],Zakończone[],2,0),"BRAK")</f>
        <v>BRAK</v>
      </c>
      <c r="C232" t="s">
        <v>1862</v>
      </c>
      <c r="D232" t="s">
        <v>118</v>
      </c>
      <c r="E232" t="s">
        <v>400</v>
      </c>
      <c r="I232" t="s">
        <v>286</v>
      </c>
      <c r="J232" t="s">
        <v>1863</v>
      </c>
      <c r="K232" t="s">
        <v>1863</v>
      </c>
      <c r="L232">
        <v>0</v>
      </c>
      <c r="M232">
        <v>0</v>
      </c>
      <c r="N232" t="s">
        <v>122</v>
      </c>
      <c r="O232" s="1" t="s">
        <v>123</v>
      </c>
      <c r="AE232" s="1" t="s">
        <v>124</v>
      </c>
      <c r="AW232" s="1"/>
      <c r="CQ232" s="1"/>
      <c r="DA232" s="1"/>
      <c r="DK232" s="1"/>
      <c r="EN232" s="1"/>
      <c r="FN232" s="1"/>
    </row>
    <row r="233" spans="1:213" x14ac:dyDescent="0.45">
      <c r="A233">
        <v>231</v>
      </c>
      <c r="B233">
        <f>_xlfn.IFNA(VLOOKUP(Wszystkie[[#This Row],[Zakończono wypełnianie]],Zakończone[],2,0),"BRAK")</f>
        <v>124</v>
      </c>
      <c r="C233" t="s">
        <v>1864</v>
      </c>
      <c r="D233" t="s">
        <v>118</v>
      </c>
      <c r="E233" t="s">
        <v>359</v>
      </c>
      <c r="I233" t="s">
        <v>119</v>
      </c>
      <c r="J233" t="s">
        <v>1865</v>
      </c>
      <c r="K233" t="s">
        <v>1866</v>
      </c>
      <c r="L233">
        <v>607</v>
      </c>
      <c r="M233">
        <v>0</v>
      </c>
      <c r="N233" t="s">
        <v>122</v>
      </c>
      <c r="O233" s="1" t="s">
        <v>123</v>
      </c>
      <c r="AE233" s="1" t="s">
        <v>124</v>
      </c>
      <c r="AF233" t="s">
        <v>191</v>
      </c>
      <c r="AG233">
        <v>2015</v>
      </c>
      <c r="AH233" t="s">
        <v>148</v>
      </c>
      <c r="AI233" t="s">
        <v>1867</v>
      </c>
      <c r="AJ233" t="s">
        <v>162</v>
      </c>
      <c r="AK233" t="s">
        <v>150</v>
      </c>
      <c r="AL233" t="s">
        <v>169</v>
      </c>
      <c r="AM233" t="s">
        <v>151</v>
      </c>
      <c r="AN233" t="s">
        <v>162</v>
      </c>
      <c r="AO233" t="s">
        <v>1868</v>
      </c>
      <c r="AP233" t="s">
        <v>153</v>
      </c>
      <c r="AQ233" t="s">
        <v>226</v>
      </c>
      <c r="AR233" t="s">
        <v>1869</v>
      </c>
      <c r="AS233" t="s">
        <v>1870</v>
      </c>
      <c r="AT233" t="s">
        <v>1871</v>
      </c>
      <c r="AU233" t="s">
        <v>172</v>
      </c>
      <c r="AW233" s="1" t="s">
        <v>123</v>
      </c>
      <c r="AX233" t="s">
        <v>132</v>
      </c>
      <c r="CQ233" s="1" t="s">
        <v>123</v>
      </c>
      <c r="DA233" s="1" t="s">
        <v>123</v>
      </c>
      <c r="DK233" s="1" t="s">
        <v>123</v>
      </c>
      <c r="EN233" s="1" t="s">
        <v>123</v>
      </c>
      <c r="FN233" s="1" t="s">
        <v>123</v>
      </c>
      <c r="GV233" t="s">
        <v>276</v>
      </c>
      <c r="GW233" t="s">
        <v>1872</v>
      </c>
      <c r="GX233" t="s">
        <v>1873</v>
      </c>
      <c r="GY233" t="s">
        <v>186</v>
      </c>
      <c r="GZ233">
        <v>1991</v>
      </c>
      <c r="HA233" t="s">
        <v>398</v>
      </c>
    </row>
    <row r="234" spans="1:213" x14ac:dyDescent="0.45">
      <c r="A234">
        <v>232</v>
      </c>
      <c r="B234" t="str">
        <f>_xlfn.IFNA(VLOOKUP(Wszystkie[[#This Row],[Zakończono wypełnianie]],Zakończone[],2,0),"BRAK")</f>
        <v>BRAK</v>
      </c>
      <c r="C234" t="s">
        <v>1874</v>
      </c>
      <c r="D234" t="s">
        <v>118</v>
      </c>
      <c r="I234" t="s">
        <v>286</v>
      </c>
      <c r="J234" t="s">
        <v>1875</v>
      </c>
      <c r="K234" t="s">
        <v>1875</v>
      </c>
      <c r="L234">
        <v>0</v>
      </c>
      <c r="M234">
        <v>0</v>
      </c>
      <c r="N234" t="s">
        <v>122</v>
      </c>
      <c r="O234" s="1" t="s">
        <v>416</v>
      </c>
      <c r="P234" t="s">
        <v>223</v>
      </c>
      <c r="Q234" t="s">
        <v>148</v>
      </c>
      <c r="R234" t="s">
        <v>1876</v>
      </c>
      <c r="S234" t="s">
        <v>129</v>
      </c>
      <c r="T234" t="s">
        <v>236</v>
      </c>
      <c r="U234" t="s">
        <v>151</v>
      </c>
      <c r="V234" t="s">
        <v>1877</v>
      </c>
      <c r="W234" t="s">
        <v>302</v>
      </c>
      <c r="X234" t="s">
        <v>153</v>
      </c>
      <c r="Z234" t="s">
        <v>1878</v>
      </c>
      <c r="AA234" t="s">
        <v>1879</v>
      </c>
      <c r="AB234" t="s">
        <v>157</v>
      </c>
      <c r="AD234">
        <v>3</v>
      </c>
      <c r="AE234" s="1" t="s">
        <v>123</v>
      </c>
      <c r="AW234" s="1" t="s">
        <v>123</v>
      </c>
      <c r="CQ234" s="1" t="s">
        <v>123</v>
      </c>
      <c r="DA234" s="1" t="s">
        <v>123</v>
      </c>
      <c r="DK234" s="1" t="s">
        <v>123</v>
      </c>
      <c r="EN234" s="1" t="s">
        <v>123</v>
      </c>
      <c r="FN234" s="1" t="s">
        <v>123</v>
      </c>
    </row>
    <row r="235" spans="1:213" x14ac:dyDescent="0.45">
      <c r="A235">
        <v>233</v>
      </c>
      <c r="B235">
        <f>_xlfn.IFNA(VLOOKUP(Wszystkie[[#This Row],[Zakończono wypełnianie]],Zakończone[],2,0),"BRAK")</f>
        <v>125</v>
      </c>
      <c r="C235" t="s">
        <v>1880</v>
      </c>
      <c r="D235" t="s">
        <v>118</v>
      </c>
      <c r="E235" t="s">
        <v>359</v>
      </c>
      <c r="I235" t="s">
        <v>119</v>
      </c>
      <c r="J235" t="s">
        <v>1881</v>
      </c>
      <c r="K235" t="s">
        <v>1882</v>
      </c>
      <c r="L235">
        <v>627</v>
      </c>
      <c r="M235">
        <v>0</v>
      </c>
      <c r="N235" t="s">
        <v>122</v>
      </c>
      <c r="O235" s="1" t="s">
        <v>123</v>
      </c>
      <c r="AE235" s="1" t="s">
        <v>124</v>
      </c>
      <c r="AF235" t="s">
        <v>125</v>
      </c>
      <c r="AG235">
        <v>2011</v>
      </c>
      <c r="AH235" t="s">
        <v>126</v>
      </c>
      <c r="AI235" t="s">
        <v>1883</v>
      </c>
      <c r="AJ235" t="s">
        <v>169</v>
      </c>
      <c r="AK235" t="s">
        <v>169</v>
      </c>
      <c r="AL235" t="s">
        <v>169</v>
      </c>
      <c r="AM235" t="s">
        <v>151</v>
      </c>
      <c r="AN235" t="s">
        <v>150</v>
      </c>
      <c r="AO235" t="s">
        <v>1884</v>
      </c>
      <c r="AP235" t="s">
        <v>131</v>
      </c>
      <c r="AQ235" t="s">
        <v>153</v>
      </c>
      <c r="AR235" t="s">
        <v>1885</v>
      </c>
      <c r="AS235" t="s">
        <v>1886</v>
      </c>
      <c r="AT235" t="s">
        <v>1887</v>
      </c>
      <c r="AU235" t="s">
        <v>157</v>
      </c>
      <c r="AV235" t="s">
        <v>1888</v>
      </c>
      <c r="AW235" s="1" t="s">
        <v>123</v>
      </c>
      <c r="AX235" t="s">
        <v>132</v>
      </c>
      <c r="CQ235" s="1" t="s">
        <v>123</v>
      </c>
      <c r="DA235" s="1" t="s">
        <v>123</v>
      </c>
      <c r="DK235" s="1" t="s">
        <v>123</v>
      </c>
      <c r="EN235" s="1" t="s">
        <v>177</v>
      </c>
      <c r="EO235" t="s">
        <v>180</v>
      </c>
      <c r="EP235" t="s">
        <v>132</v>
      </c>
      <c r="EQ235" t="s">
        <v>1889</v>
      </c>
      <c r="ER235" t="s">
        <v>132</v>
      </c>
      <c r="ES235" t="s">
        <v>132</v>
      </c>
      <c r="ET235" t="s">
        <v>132</v>
      </c>
      <c r="EU235" t="s">
        <v>180</v>
      </c>
      <c r="EV235" t="s">
        <v>1889</v>
      </c>
      <c r="EW235" t="s">
        <v>1889</v>
      </c>
      <c r="EX235" t="s">
        <v>173</v>
      </c>
      <c r="FN235" s="1" t="s">
        <v>123</v>
      </c>
      <c r="GV235" t="s">
        <v>1889</v>
      </c>
      <c r="GW235" t="s">
        <v>1889</v>
      </c>
      <c r="GX235" t="s">
        <v>1889</v>
      </c>
      <c r="GY235" t="s">
        <v>140</v>
      </c>
      <c r="GZ235">
        <v>1987</v>
      </c>
      <c r="HA235" t="s">
        <v>220</v>
      </c>
      <c r="HC235" t="s">
        <v>1889</v>
      </c>
      <c r="HD235" t="s">
        <v>1889</v>
      </c>
    </row>
    <row r="236" spans="1:213" x14ac:dyDescent="0.45">
      <c r="A236">
        <v>234</v>
      </c>
      <c r="B236">
        <f>_xlfn.IFNA(VLOOKUP(Wszystkie[[#This Row],[Zakończono wypełnianie]],Zakończone[],2,0),"BRAK")</f>
        <v>126</v>
      </c>
      <c r="C236" t="s">
        <v>1890</v>
      </c>
      <c r="D236" t="s">
        <v>118</v>
      </c>
      <c r="I236" t="s">
        <v>119</v>
      </c>
      <c r="J236" t="s">
        <v>1891</v>
      </c>
      <c r="K236" t="s">
        <v>1892</v>
      </c>
      <c r="L236">
        <v>680</v>
      </c>
      <c r="M236">
        <v>0</v>
      </c>
      <c r="N236" t="s">
        <v>122</v>
      </c>
      <c r="O236" s="1" t="s">
        <v>123</v>
      </c>
      <c r="AE236" s="1" t="s">
        <v>124</v>
      </c>
      <c r="AF236" t="s">
        <v>191</v>
      </c>
      <c r="AG236">
        <v>2016</v>
      </c>
      <c r="AH236" t="s">
        <v>126</v>
      </c>
      <c r="AI236" t="s">
        <v>1893</v>
      </c>
      <c r="AJ236" t="s">
        <v>150</v>
      </c>
      <c r="AK236" t="s">
        <v>150</v>
      </c>
      <c r="AL236" t="s">
        <v>150</v>
      </c>
      <c r="AM236" t="s">
        <v>128</v>
      </c>
      <c r="AN236" t="s">
        <v>150</v>
      </c>
      <c r="AO236" t="s">
        <v>530</v>
      </c>
      <c r="AP236" t="s">
        <v>302</v>
      </c>
      <c r="AQ236" t="s">
        <v>226</v>
      </c>
      <c r="AS236" t="s">
        <v>1894</v>
      </c>
      <c r="AT236" t="s">
        <v>1895</v>
      </c>
      <c r="AU236" t="s">
        <v>157</v>
      </c>
      <c r="AW236" s="1" t="s">
        <v>123</v>
      </c>
      <c r="AX236" t="s">
        <v>132</v>
      </c>
      <c r="CQ236" s="1" t="s">
        <v>123</v>
      </c>
      <c r="DA236" s="1" t="s">
        <v>123</v>
      </c>
      <c r="DK236" s="1" t="s">
        <v>123</v>
      </c>
      <c r="EN236" s="1" t="s">
        <v>123</v>
      </c>
      <c r="FN236" s="1" t="s">
        <v>123</v>
      </c>
      <c r="GV236" t="s">
        <v>1896</v>
      </c>
      <c r="GW236" t="s">
        <v>1897</v>
      </c>
      <c r="GX236" t="s">
        <v>1898</v>
      </c>
      <c r="GY236" t="s">
        <v>140</v>
      </c>
      <c r="GZ236">
        <v>1991</v>
      </c>
      <c r="HA236" t="s">
        <v>398</v>
      </c>
    </row>
    <row r="237" spans="1:213" x14ac:dyDescent="0.45">
      <c r="A237">
        <v>235</v>
      </c>
      <c r="B237">
        <f>_xlfn.IFNA(VLOOKUP(Wszystkie[[#This Row],[Zakończono wypełnianie]],Zakończone[],2,0),"BRAK")</f>
        <v>127</v>
      </c>
      <c r="C237" t="s">
        <v>1899</v>
      </c>
      <c r="D237" t="s">
        <v>118</v>
      </c>
      <c r="E237" t="s">
        <v>359</v>
      </c>
      <c r="I237" t="s">
        <v>119</v>
      </c>
      <c r="J237" t="s">
        <v>1900</v>
      </c>
      <c r="K237" t="s">
        <v>1901</v>
      </c>
      <c r="L237">
        <v>650</v>
      </c>
      <c r="M237">
        <v>0</v>
      </c>
      <c r="N237" t="s">
        <v>122</v>
      </c>
      <c r="O237" s="1" t="s">
        <v>123</v>
      </c>
      <c r="AE237" s="1" t="s">
        <v>124</v>
      </c>
      <c r="AF237" t="s">
        <v>742</v>
      </c>
      <c r="AG237">
        <v>2009</v>
      </c>
      <c r="AH237" t="s">
        <v>148</v>
      </c>
      <c r="AI237" t="s">
        <v>1666</v>
      </c>
      <c r="AJ237" t="s">
        <v>162</v>
      </c>
      <c r="AK237" t="s">
        <v>151</v>
      </c>
      <c r="AL237" t="s">
        <v>236</v>
      </c>
      <c r="AM237" t="s">
        <v>236</v>
      </c>
      <c r="AN237" t="s">
        <v>128</v>
      </c>
      <c r="AO237">
        <v>9</v>
      </c>
      <c r="AP237" t="s">
        <v>131</v>
      </c>
      <c r="AQ237" t="s">
        <v>153</v>
      </c>
      <c r="AR237" t="s">
        <v>1902</v>
      </c>
      <c r="AS237" t="s">
        <v>1903</v>
      </c>
      <c r="AT237" t="s">
        <v>1904</v>
      </c>
      <c r="AV237" t="s">
        <v>1905</v>
      </c>
      <c r="AW237" s="1" t="s">
        <v>123</v>
      </c>
      <c r="AX237" t="s">
        <v>132</v>
      </c>
      <c r="CQ237" s="1" t="s">
        <v>123</v>
      </c>
      <c r="DA237" s="1" t="s">
        <v>123</v>
      </c>
      <c r="DK237" s="1" t="s">
        <v>123</v>
      </c>
      <c r="EN237" s="1" t="s">
        <v>123</v>
      </c>
      <c r="FN237" s="1" t="s">
        <v>123</v>
      </c>
      <c r="GV237" t="s">
        <v>1906</v>
      </c>
      <c r="GW237" t="s">
        <v>1907</v>
      </c>
      <c r="GX237" t="s">
        <v>1908</v>
      </c>
      <c r="GY237" t="s">
        <v>140</v>
      </c>
      <c r="GZ237">
        <v>1985</v>
      </c>
      <c r="HA237" t="s">
        <v>141</v>
      </c>
      <c r="HC237" t="s">
        <v>142</v>
      </c>
      <c r="HD237" t="s">
        <v>1909</v>
      </c>
    </row>
    <row r="238" spans="1:213" x14ac:dyDescent="0.45">
      <c r="A238">
        <v>236</v>
      </c>
      <c r="B238">
        <f>_xlfn.IFNA(VLOOKUP(Wszystkie[[#This Row],[Zakończono wypełnianie]],Zakończone[],2,0),"BRAK")</f>
        <v>128</v>
      </c>
      <c r="C238" t="s">
        <v>1910</v>
      </c>
      <c r="D238" t="s">
        <v>118</v>
      </c>
      <c r="E238" t="s">
        <v>1911</v>
      </c>
      <c r="I238" t="s">
        <v>119</v>
      </c>
      <c r="J238" t="s">
        <v>1912</v>
      </c>
      <c r="K238" t="s">
        <v>1913</v>
      </c>
      <c r="L238">
        <v>1026</v>
      </c>
      <c r="M238">
        <v>0</v>
      </c>
      <c r="N238" t="s">
        <v>122</v>
      </c>
      <c r="O238" s="1" t="s">
        <v>123</v>
      </c>
      <c r="AE238" s="1" t="s">
        <v>124</v>
      </c>
      <c r="AF238" t="s">
        <v>191</v>
      </c>
      <c r="AG238">
        <v>2011</v>
      </c>
      <c r="AH238" t="s">
        <v>126</v>
      </c>
      <c r="AI238" t="s">
        <v>1914</v>
      </c>
      <c r="AJ238" t="s">
        <v>150</v>
      </c>
      <c r="AK238" t="s">
        <v>162</v>
      </c>
      <c r="AL238" t="s">
        <v>150</v>
      </c>
      <c r="AM238" t="s">
        <v>151</v>
      </c>
      <c r="AN238" t="s">
        <v>169</v>
      </c>
      <c r="AO238" t="s">
        <v>1362</v>
      </c>
      <c r="AP238" t="s">
        <v>131</v>
      </c>
      <c r="AQ238" t="s">
        <v>759</v>
      </c>
      <c r="AR238" t="s">
        <v>1915</v>
      </c>
      <c r="AS238" t="s">
        <v>1916</v>
      </c>
      <c r="AT238" t="s">
        <v>1917</v>
      </c>
      <c r="AV238" t="s">
        <v>1918</v>
      </c>
      <c r="AW238" s="1" t="s">
        <v>123</v>
      </c>
      <c r="CQ238" s="1" t="s">
        <v>123</v>
      </c>
      <c r="DA238" s="1" t="s">
        <v>123</v>
      </c>
      <c r="DK238" s="1" t="s">
        <v>123</v>
      </c>
      <c r="EN238" s="1" t="s">
        <v>123</v>
      </c>
      <c r="FN238" s="1" t="s">
        <v>123</v>
      </c>
      <c r="GV238" t="s">
        <v>1919</v>
      </c>
      <c r="GW238" t="s">
        <v>1920</v>
      </c>
      <c r="GX238" t="s">
        <v>1921</v>
      </c>
      <c r="GY238" t="s">
        <v>140</v>
      </c>
      <c r="GZ238">
        <v>1987</v>
      </c>
      <c r="HA238" t="s">
        <v>220</v>
      </c>
      <c r="HC238" t="s">
        <v>1922</v>
      </c>
      <c r="HD238" t="s">
        <v>1923</v>
      </c>
      <c r="HE238" t="s">
        <v>1924</v>
      </c>
    </row>
    <row r="239" spans="1:213" x14ac:dyDescent="0.45">
      <c r="A239">
        <v>237</v>
      </c>
      <c r="B239" t="str">
        <f>_xlfn.IFNA(VLOOKUP(Wszystkie[[#This Row],[Zakończono wypełnianie]],Zakończone[],2,0),"BRAK")</f>
        <v>BRAK</v>
      </c>
      <c r="C239" t="s">
        <v>1925</v>
      </c>
      <c r="D239" t="s">
        <v>118</v>
      </c>
      <c r="I239" t="s">
        <v>286</v>
      </c>
      <c r="J239" t="s">
        <v>1926</v>
      </c>
      <c r="K239" t="s">
        <v>1926</v>
      </c>
      <c r="L239">
        <v>0</v>
      </c>
      <c r="M239">
        <v>0</v>
      </c>
      <c r="N239" t="s">
        <v>122</v>
      </c>
      <c r="O239" s="1" t="s">
        <v>123</v>
      </c>
      <c r="AE239" s="1" t="s">
        <v>124</v>
      </c>
      <c r="AW239" s="1"/>
      <c r="CQ239" s="1"/>
      <c r="DA239" s="1"/>
      <c r="DK239" s="1"/>
      <c r="EN239" s="1"/>
      <c r="FN239" s="1"/>
    </row>
    <row r="240" spans="1:213" x14ac:dyDescent="0.45">
      <c r="A240">
        <v>238</v>
      </c>
      <c r="B240">
        <f>_xlfn.IFNA(VLOOKUP(Wszystkie[[#This Row],[Zakończono wypełnianie]],Zakończone[],2,0),"BRAK")</f>
        <v>129</v>
      </c>
      <c r="C240" t="s">
        <v>1142</v>
      </c>
      <c r="D240" t="s">
        <v>118</v>
      </c>
      <c r="E240" t="s">
        <v>1927</v>
      </c>
      <c r="I240" t="s">
        <v>119</v>
      </c>
      <c r="J240" t="s">
        <v>1928</v>
      </c>
      <c r="K240" t="s">
        <v>1929</v>
      </c>
      <c r="L240">
        <v>1449</v>
      </c>
      <c r="M240">
        <v>0</v>
      </c>
      <c r="N240" t="s">
        <v>122</v>
      </c>
      <c r="O240" s="1" t="s">
        <v>123</v>
      </c>
      <c r="AE240" s="1" t="s">
        <v>124</v>
      </c>
      <c r="AF240" t="s">
        <v>1930</v>
      </c>
      <c r="AG240">
        <v>2007</v>
      </c>
      <c r="AH240" t="s">
        <v>126</v>
      </c>
      <c r="AI240" t="s">
        <v>1931</v>
      </c>
      <c r="AJ240" t="s">
        <v>162</v>
      </c>
      <c r="AK240" t="s">
        <v>162</v>
      </c>
      <c r="AL240" t="s">
        <v>169</v>
      </c>
      <c r="AM240" t="s">
        <v>169</v>
      </c>
      <c r="AN240" t="s">
        <v>169</v>
      </c>
      <c r="AO240" t="s">
        <v>1932</v>
      </c>
      <c r="AP240" t="s">
        <v>302</v>
      </c>
      <c r="AQ240" t="s">
        <v>153</v>
      </c>
      <c r="AR240" t="s">
        <v>1933</v>
      </c>
      <c r="AS240" t="s">
        <v>1934</v>
      </c>
      <c r="AT240" t="s">
        <v>1935</v>
      </c>
      <c r="AV240" t="s">
        <v>1936</v>
      </c>
      <c r="AW240" s="1" t="s">
        <v>123</v>
      </c>
      <c r="CQ240" s="1" t="s">
        <v>123</v>
      </c>
      <c r="DA240" s="1" t="s">
        <v>123</v>
      </c>
      <c r="DK240" s="1" t="s">
        <v>123</v>
      </c>
      <c r="EN240" s="1" t="s">
        <v>123</v>
      </c>
      <c r="FN240" s="1" t="s">
        <v>123</v>
      </c>
      <c r="GV240" t="s">
        <v>1937</v>
      </c>
      <c r="GW240" t="s">
        <v>1938</v>
      </c>
      <c r="GX240" t="s">
        <v>1939</v>
      </c>
      <c r="GY240" t="s">
        <v>186</v>
      </c>
      <c r="GZ240">
        <v>2007</v>
      </c>
      <c r="HA240" t="s">
        <v>398</v>
      </c>
      <c r="HC240" t="s">
        <v>1940</v>
      </c>
    </row>
    <row r="241" spans="1:212" x14ac:dyDescent="0.45">
      <c r="A241">
        <v>239</v>
      </c>
      <c r="B241" t="str">
        <f>_xlfn.IFNA(VLOOKUP(Wszystkie[[#This Row],[Zakończono wypełnianie]],Zakończone[],2,0),"BRAK")</f>
        <v>BRAK</v>
      </c>
      <c r="C241" t="s">
        <v>1941</v>
      </c>
      <c r="D241" t="s">
        <v>118</v>
      </c>
      <c r="I241" t="s">
        <v>286</v>
      </c>
      <c r="J241" t="s">
        <v>1942</v>
      </c>
      <c r="K241" t="s">
        <v>1942</v>
      </c>
      <c r="L241">
        <v>0</v>
      </c>
      <c r="M241">
        <v>0</v>
      </c>
      <c r="N241" t="s">
        <v>122</v>
      </c>
      <c r="O241" s="1" t="s">
        <v>123</v>
      </c>
      <c r="AE241" s="1" t="s">
        <v>124</v>
      </c>
      <c r="AW241" s="1"/>
      <c r="CQ241" s="1"/>
      <c r="DA241" s="1"/>
      <c r="DK241" s="1"/>
      <c r="EN241" s="1"/>
      <c r="FN241" s="1"/>
    </row>
    <row r="242" spans="1:212" x14ac:dyDescent="0.45">
      <c r="A242">
        <v>240</v>
      </c>
      <c r="B242" t="str">
        <f>_xlfn.IFNA(VLOOKUP(Wszystkie[[#This Row],[Zakończono wypełnianie]],Zakończone[],2,0),"BRAK")</f>
        <v>BRAK</v>
      </c>
      <c r="C242" t="s">
        <v>1943</v>
      </c>
      <c r="D242" t="s">
        <v>118</v>
      </c>
      <c r="I242" t="s">
        <v>286</v>
      </c>
      <c r="J242" t="s">
        <v>1944</v>
      </c>
      <c r="K242" t="s">
        <v>1944</v>
      </c>
      <c r="L242">
        <v>0</v>
      </c>
      <c r="M242">
        <v>0</v>
      </c>
      <c r="N242" t="s">
        <v>122</v>
      </c>
      <c r="O242" s="1" t="s">
        <v>123</v>
      </c>
      <c r="AE242" s="1" t="s">
        <v>124</v>
      </c>
      <c r="AF242" t="s">
        <v>191</v>
      </c>
      <c r="AG242">
        <v>1967</v>
      </c>
      <c r="AH242" t="s">
        <v>126</v>
      </c>
      <c r="AI242" t="s">
        <v>1945</v>
      </c>
      <c r="AJ242" t="s">
        <v>150</v>
      </c>
      <c r="AK242" t="s">
        <v>150</v>
      </c>
      <c r="AL242" t="s">
        <v>132</v>
      </c>
      <c r="AM242" t="s">
        <v>150</v>
      </c>
      <c r="AN242" t="s">
        <v>150</v>
      </c>
      <c r="AO242">
        <v>1</v>
      </c>
      <c r="AP242" t="s">
        <v>302</v>
      </c>
      <c r="AQ242" t="s">
        <v>153</v>
      </c>
      <c r="AR242" t="s">
        <v>1946</v>
      </c>
      <c r="AS242" t="s">
        <v>1947</v>
      </c>
      <c r="AT242" t="s">
        <v>1948</v>
      </c>
      <c r="AU242" t="s">
        <v>157</v>
      </c>
      <c r="AW242" s="1" t="s">
        <v>159</v>
      </c>
      <c r="AX242">
        <v>3</v>
      </c>
      <c r="CQ242" s="1"/>
      <c r="DA242" s="1"/>
      <c r="DK242" s="1"/>
      <c r="EN242" s="1"/>
      <c r="FN242" s="1"/>
    </row>
    <row r="243" spans="1:212" x14ac:dyDescent="0.45">
      <c r="A243">
        <v>241</v>
      </c>
      <c r="B243" t="str">
        <f>_xlfn.IFNA(VLOOKUP(Wszystkie[[#This Row],[Zakończono wypełnianie]],Zakończone[],2,0),"BRAK")</f>
        <v>BRAK</v>
      </c>
      <c r="C243" t="s">
        <v>1142</v>
      </c>
      <c r="D243" t="s">
        <v>118</v>
      </c>
      <c r="I243" t="s">
        <v>286</v>
      </c>
      <c r="J243" t="s">
        <v>1949</v>
      </c>
      <c r="K243" t="s">
        <v>1949</v>
      </c>
      <c r="L243">
        <v>0</v>
      </c>
      <c r="M243">
        <v>0</v>
      </c>
      <c r="N243" t="s">
        <v>122</v>
      </c>
      <c r="O243" s="1" t="s">
        <v>123</v>
      </c>
      <c r="AE243" s="1" t="s">
        <v>124</v>
      </c>
      <c r="AW243" s="1"/>
      <c r="CQ243" s="1"/>
      <c r="DA243" s="1"/>
      <c r="DK243" s="1"/>
      <c r="EN243" s="1"/>
      <c r="FN243" s="1"/>
    </row>
    <row r="244" spans="1:212" x14ac:dyDescent="0.45">
      <c r="A244">
        <v>242</v>
      </c>
      <c r="B244" t="str">
        <f>_xlfn.IFNA(VLOOKUP(Wszystkie[[#This Row],[Zakończono wypełnianie]],Zakończone[],2,0),"BRAK")</f>
        <v>BRAK</v>
      </c>
      <c r="C244" t="s">
        <v>1352</v>
      </c>
      <c r="D244" t="s">
        <v>118</v>
      </c>
      <c r="I244" t="s">
        <v>286</v>
      </c>
      <c r="J244" t="s">
        <v>1950</v>
      </c>
      <c r="K244" t="s">
        <v>1950</v>
      </c>
      <c r="L244">
        <v>0</v>
      </c>
      <c r="M244">
        <v>0</v>
      </c>
      <c r="N244" t="s">
        <v>122</v>
      </c>
      <c r="O244" s="1" t="s">
        <v>123</v>
      </c>
      <c r="AE244" s="1" t="s">
        <v>124</v>
      </c>
      <c r="AW244" s="1"/>
      <c r="CQ244" s="1"/>
      <c r="DA244" s="1"/>
      <c r="DK244" s="1"/>
      <c r="EN244" s="1"/>
      <c r="FN244" s="1"/>
    </row>
    <row r="245" spans="1:212" x14ac:dyDescent="0.45">
      <c r="A245">
        <v>243</v>
      </c>
      <c r="B245">
        <f>_xlfn.IFNA(VLOOKUP(Wszystkie[[#This Row],[Zakończono wypełnianie]],Zakończone[],2,0),"BRAK")</f>
        <v>130</v>
      </c>
      <c r="C245" t="s">
        <v>1951</v>
      </c>
      <c r="D245" t="s">
        <v>118</v>
      </c>
      <c r="I245" t="s">
        <v>119</v>
      </c>
      <c r="J245" t="s">
        <v>1952</v>
      </c>
      <c r="K245" t="s">
        <v>1953</v>
      </c>
      <c r="L245">
        <v>942</v>
      </c>
      <c r="M245">
        <v>0</v>
      </c>
      <c r="N245" t="s">
        <v>122</v>
      </c>
      <c r="O245" s="1" t="s">
        <v>123</v>
      </c>
      <c r="AE245" s="1" t="s">
        <v>124</v>
      </c>
      <c r="AF245" t="s">
        <v>1954</v>
      </c>
      <c r="AG245">
        <v>2012</v>
      </c>
      <c r="AH245" t="s">
        <v>148</v>
      </c>
      <c r="AI245" t="s">
        <v>161</v>
      </c>
      <c r="AJ245" t="s">
        <v>128</v>
      </c>
      <c r="AK245" t="s">
        <v>162</v>
      </c>
      <c r="AL245" t="s">
        <v>128</v>
      </c>
      <c r="AM245" t="s">
        <v>128</v>
      </c>
      <c r="AN245" t="s">
        <v>236</v>
      </c>
      <c r="AO245" t="s">
        <v>530</v>
      </c>
      <c r="AP245" t="s">
        <v>302</v>
      </c>
      <c r="AQ245" t="s">
        <v>131</v>
      </c>
      <c r="AR245" t="s">
        <v>1955</v>
      </c>
      <c r="AS245" t="s">
        <v>1956</v>
      </c>
      <c r="AT245" t="s">
        <v>1957</v>
      </c>
      <c r="AU245" t="s">
        <v>157</v>
      </c>
      <c r="AW245" s="1" t="s">
        <v>123</v>
      </c>
      <c r="AX245" t="s">
        <v>132</v>
      </c>
      <c r="CQ245" s="1" t="s">
        <v>123</v>
      </c>
      <c r="DA245" s="1" t="s">
        <v>123</v>
      </c>
      <c r="DK245" s="1" t="s">
        <v>123</v>
      </c>
      <c r="EN245" s="1" t="s">
        <v>123</v>
      </c>
      <c r="FN245" s="1" t="s">
        <v>123</v>
      </c>
      <c r="GV245" t="s">
        <v>1958</v>
      </c>
      <c r="GW245" t="s">
        <v>1959</v>
      </c>
      <c r="GX245" t="s">
        <v>1960</v>
      </c>
      <c r="GY245" t="s">
        <v>140</v>
      </c>
      <c r="GZ245">
        <v>1986</v>
      </c>
      <c r="HA245" t="s">
        <v>1630</v>
      </c>
      <c r="HC245" t="s">
        <v>1961</v>
      </c>
      <c r="HD245" t="s">
        <v>142</v>
      </c>
    </row>
    <row r="246" spans="1:212" x14ac:dyDescent="0.45">
      <c r="A246">
        <v>244</v>
      </c>
      <c r="B246" t="str">
        <f>_xlfn.IFNA(VLOOKUP(Wszystkie[[#This Row],[Zakończono wypełnianie]],Zakończone[],2,0),"BRAK")</f>
        <v>BRAK</v>
      </c>
      <c r="C246" t="s">
        <v>1336</v>
      </c>
      <c r="D246" t="s">
        <v>118</v>
      </c>
      <c r="I246" t="s">
        <v>286</v>
      </c>
      <c r="J246" t="s">
        <v>1962</v>
      </c>
      <c r="K246" t="s">
        <v>1962</v>
      </c>
      <c r="L246">
        <v>0</v>
      </c>
      <c r="M246">
        <v>0</v>
      </c>
      <c r="N246" t="s">
        <v>122</v>
      </c>
      <c r="O246" s="1" t="s">
        <v>123</v>
      </c>
      <c r="AE246" s="1" t="s">
        <v>124</v>
      </c>
      <c r="AF246" t="s">
        <v>1963</v>
      </c>
      <c r="AG246">
        <v>2006</v>
      </c>
      <c r="AH246" t="s">
        <v>126</v>
      </c>
      <c r="AI246" t="s">
        <v>192</v>
      </c>
      <c r="AJ246" t="s">
        <v>150</v>
      </c>
      <c r="AK246" t="s">
        <v>150</v>
      </c>
      <c r="AL246" t="s">
        <v>162</v>
      </c>
      <c r="AM246" t="s">
        <v>150</v>
      </c>
      <c r="AN246" t="s">
        <v>150</v>
      </c>
      <c r="AO246" t="s">
        <v>237</v>
      </c>
      <c r="AP246" t="s">
        <v>226</v>
      </c>
      <c r="AQ246" t="s">
        <v>759</v>
      </c>
      <c r="AS246" t="s">
        <v>1964</v>
      </c>
      <c r="AT246" t="s">
        <v>1539</v>
      </c>
      <c r="AU246" t="s">
        <v>230</v>
      </c>
      <c r="AW246" s="1" t="s">
        <v>123</v>
      </c>
      <c r="AX246" t="s">
        <v>132</v>
      </c>
      <c r="CQ246" s="1" t="s">
        <v>123</v>
      </c>
      <c r="DA246" s="1" t="s">
        <v>123</v>
      </c>
      <c r="DK246" s="1" t="s">
        <v>123</v>
      </c>
      <c r="EN246" s="1" t="s">
        <v>123</v>
      </c>
      <c r="FN246" s="1" t="s">
        <v>123</v>
      </c>
    </row>
    <row r="247" spans="1:212" x14ac:dyDescent="0.45">
      <c r="A247">
        <v>245</v>
      </c>
      <c r="B247">
        <f>_xlfn.IFNA(VLOOKUP(Wszystkie[[#This Row],[Zakończono wypełnianie]],Zakończone[],2,0),"BRAK")</f>
        <v>131</v>
      </c>
      <c r="C247" t="s">
        <v>1965</v>
      </c>
      <c r="D247" t="s">
        <v>118</v>
      </c>
      <c r="E247" t="s">
        <v>1966</v>
      </c>
      <c r="I247" t="s">
        <v>119</v>
      </c>
      <c r="J247" t="s">
        <v>1967</v>
      </c>
      <c r="K247" t="s">
        <v>1968</v>
      </c>
      <c r="L247">
        <v>504</v>
      </c>
      <c r="M247">
        <v>0</v>
      </c>
      <c r="N247" t="s">
        <v>122</v>
      </c>
      <c r="O247" s="1" t="s">
        <v>123</v>
      </c>
      <c r="AE247" s="1" t="s">
        <v>124</v>
      </c>
      <c r="AF247" t="s">
        <v>191</v>
      </c>
      <c r="AG247">
        <v>2003</v>
      </c>
      <c r="AH247" t="s">
        <v>126</v>
      </c>
      <c r="AI247" t="s">
        <v>127</v>
      </c>
      <c r="AJ247" t="s">
        <v>150</v>
      </c>
      <c r="AK247" t="s">
        <v>150</v>
      </c>
      <c r="AL247" t="s">
        <v>162</v>
      </c>
      <c r="AM247" t="s">
        <v>151</v>
      </c>
      <c r="AN247" t="s">
        <v>151</v>
      </c>
      <c r="AO247" t="s">
        <v>237</v>
      </c>
      <c r="AP247" t="s">
        <v>152</v>
      </c>
      <c r="AQ247" t="s">
        <v>131</v>
      </c>
      <c r="AR247" t="s">
        <v>1969</v>
      </c>
      <c r="AS247" t="s">
        <v>1970</v>
      </c>
      <c r="AT247" t="s">
        <v>1971</v>
      </c>
      <c r="AU247" t="s">
        <v>157</v>
      </c>
      <c r="AV247" t="s">
        <v>1972</v>
      </c>
      <c r="AW247" s="1" t="s">
        <v>123</v>
      </c>
      <c r="CQ247" s="1" t="s">
        <v>123</v>
      </c>
      <c r="DA247" s="1" t="s">
        <v>123</v>
      </c>
      <c r="DK247" s="1" t="s">
        <v>123</v>
      </c>
      <c r="EN247" s="1" t="s">
        <v>123</v>
      </c>
      <c r="FN247" s="1" t="s">
        <v>123</v>
      </c>
      <c r="GV247" t="s">
        <v>1973</v>
      </c>
      <c r="GW247" t="s">
        <v>1363</v>
      </c>
      <c r="GX247" t="s">
        <v>1974</v>
      </c>
      <c r="GY247" t="s">
        <v>140</v>
      </c>
      <c r="GZ247">
        <v>1979</v>
      </c>
      <c r="HA247" t="s">
        <v>141</v>
      </c>
    </row>
    <row r="248" spans="1:212" x14ac:dyDescent="0.45">
      <c r="A248">
        <v>246</v>
      </c>
      <c r="B248">
        <f>_xlfn.IFNA(VLOOKUP(Wszystkie[[#This Row],[Zakończono wypełnianie]],Zakończone[],2,0),"BRAK")</f>
        <v>132</v>
      </c>
      <c r="C248" t="s">
        <v>1975</v>
      </c>
      <c r="D248" t="s">
        <v>118</v>
      </c>
      <c r="E248" t="s">
        <v>1736</v>
      </c>
      <c r="I248" t="s">
        <v>119</v>
      </c>
      <c r="J248" t="s">
        <v>1976</v>
      </c>
      <c r="K248" t="s">
        <v>1977</v>
      </c>
      <c r="L248">
        <v>70</v>
      </c>
      <c r="M248">
        <v>0</v>
      </c>
      <c r="N248" t="s">
        <v>344</v>
      </c>
      <c r="O248" s="1" t="s">
        <v>416</v>
      </c>
      <c r="AE248" s="1"/>
      <c r="AW248" s="1"/>
      <c r="CQ248" s="1"/>
      <c r="DA248" s="1"/>
      <c r="DK248" s="1"/>
      <c r="EN248" s="1"/>
      <c r="FN248" s="1"/>
    </row>
    <row r="249" spans="1:212" x14ac:dyDescent="0.45">
      <c r="A249">
        <v>247</v>
      </c>
      <c r="B249" t="str">
        <f>_xlfn.IFNA(VLOOKUP(Wszystkie[[#This Row],[Zakończono wypełnianie]],Zakończone[],2,0),"BRAK")</f>
        <v>BRAK</v>
      </c>
      <c r="C249" t="s">
        <v>1975</v>
      </c>
      <c r="D249" t="s">
        <v>118</v>
      </c>
      <c r="E249" t="s">
        <v>992</v>
      </c>
      <c r="I249" t="s">
        <v>286</v>
      </c>
      <c r="J249" t="s">
        <v>1978</v>
      </c>
      <c r="K249" t="s">
        <v>1978</v>
      </c>
      <c r="L249">
        <v>0</v>
      </c>
      <c r="M249">
        <v>0</v>
      </c>
      <c r="N249" t="s">
        <v>122</v>
      </c>
      <c r="O249" s="1" t="s">
        <v>123</v>
      </c>
      <c r="AE249" s="1" t="s">
        <v>124</v>
      </c>
      <c r="AW249" s="1"/>
      <c r="CQ249" s="1"/>
      <c r="DA249" s="1"/>
      <c r="DK249" s="1"/>
      <c r="EN249" s="1"/>
      <c r="FN249" s="1"/>
    </row>
    <row r="250" spans="1:212" x14ac:dyDescent="0.45">
      <c r="A250">
        <v>248</v>
      </c>
      <c r="B250">
        <f>_xlfn.IFNA(VLOOKUP(Wszystkie[[#This Row],[Zakończono wypełnianie]],Zakończone[],2,0),"BRAK")</f>
        <v>133</v>
      </c>
      <c r="C250" t="s">
        <v>1142</v>
      </c>
      <c r="D250" t="s">
        <v>118</v>
      </c>
      <c r="I250" t="s">
        <v>119</v>
      </c>
      <c r="J250" t="s">
        <v>1979</v>
      </c>
      <c r="K250" t="s">
        <v>1980</v>
      </c>
      <c r="L250">
        <v>1026</v>
      </c>
      <c r="M250">
        <v>0</v>
      </c>
      <c r="N250" t="s">
        <v>122</v>
      </c>
      <c r="O250" s="1" t="s">
        <v>416</v>
      </c>
      <c r="P250" t="s">
        <v>1981</v>
      </c>
      <c r="Q250" t="s">
        <v>148</v>
      </c>
      <c r="R250" t="s">
        <v>1982</v>
      </c>
      <c r="S250" t="s">
        <v>162</v>
      </c>
      <c r="T250" t="s">
        <v>162</v>
      </c>
      <c r="U250" t="s">
        <v>150</v>
      </c>
      <c r="V250" t="s">
        <v>1983</v>
      </c>
      <c r="W250" t="s">
        <v>1984</v>
      </c>
      <c r="X250" t="s">
        <v>194</v>
      </c>
      <c r="Y250" t="s">
        <v>1985</v>
      </c>
      <c r="Z250" t="s">
        <v>1986</v>
      </c>
      <c r="AA250" t="s">
        <v>1987</v>
      </c>
      <c r="AB250" t="s">
        <v>157</v>
      </c>
      <c r="AD250">
        <v>4</v>
      </c>
      <c r="AE250" s="1" t="s">
        <v>123</v>
      </c>
      <c r="AW250" s="1" t="s">
        <v>123</v>
      </c>
      <c r="CQ250" s="1" t="s">
        <v>123</v>
      </c>
      <c r="DA250" s="1" t="s">
        <v>123</v>
      </c>
      <c r="DK250" s="1" t="s">
        <v>123</v>
      </c>
      <c r="EN250" s="1" t="s">
        <v>123</v>
      </c>
      <c r="FN250" s="1" t="s">
        <v>123</v>
      </c>
      <c r="GV250" t="s">
        <v>1988</v>
      </c>
      <c r="GW250" t="s">
        <v>1989</v>
      </c>
      <c r="GX250" t="s">
        <v>1990</v>
      </c>
      <c r="GY250" t="s">
        <v>186</v>
      </c>
      <c r="GZ250">
        <v>1992</v>
      </c>
      <c r="HA250" t="s">
        <v>246</v>
      </c>
      <c r="HC250" t="s">
        <v>1991</v>
      </c>
    </row>
    <row r="251" spans="1:212" x14ac:dyDescent="0.45">
      <c r="A251">
        <v>249</v>
      </c>
      <c r="B251" t="str">
        <f>_xlfn.IFNA(VLOOKUP(Wszystkie[[#This Row],[Zakończono wypełnianie]],Zakończone[],2,0),"BRAK")</f>
        <v>BRAK</v>
      </c>
      <c r="C251" t="s">
        <v>1992</v>
      </c>
      <c r="D251" t="s">
        <v>118</v>
      </c>
      <c r="I251" t="s">
        <v>286</v>
      </c>
      <c r="J251" t="s">
        <v>1993</v>
      </c>
      <c r="K251" t="s">
        <v>1993</v>
      </c>
      <c r="L251">
        <v>0</v>
      </c>
      <c r="M251">
        <v>0</v>
      </c>
      <c r="N251" t="s">
        <v>122</v>
      </c>
      <c r="O251" s="1" t="s">
        <v>123</v>
      </c>
      <c r="AE251" s="1" t="s">
        <v>124</v>
      </c>
      <c r="AW251" s="1"/>
      <c r="CQ251" s="1"/>
      <c r="DA251" s="1"/>
      <c r="DK251" s="1"/>
      <c r="EN251" s="1"/>
      <c r="FN251" s="1"/>
    </row>
    <row r="252" spans="1:212" x14ac:dyDescent="0.45">
      <c r="A252">
        <v>250</v>
      </c>
      <c r="B252" t="str">
        <f>_xlfn.IFNA(VLOOKUP(Wszystkie[[#This Row],[Zakończono wypełnianie]],Zakończone[],2,0),"BRAK")</f>
        <v>BRAK</v>
      </c>
      <c r="C252" t="s">
        <v>1994</v>
      </c>
      <c r="D252" t="s">
        <v>118</v>
      </c>
      <c r="E252" t="s">
        <v>359</v>
      </c>
      <c r="I252" t="s">
        <v>286</v>
      </c>
      <c r="J252" t="s">
        <v>1995</v>
      </c>
      <c r="K252" t="s">
        <v>1995</v>
      </c>
      <c r="L252">
        <v>0</v>
      </c>
      <c r="M252">
        <v>0</v>
      </c>
      <c r="N252" t="s">
        <v>122</v>
      </c>
      <c r="O252" s="1" t="s">
        <v>123</v>
      </c>
      <c r="AE252" s="1" t="s">
        <v>124</v>
      </c>
      <c r="AW252" s="1"/>
      <c r="CQ252" s="1"/>
      <c r="DA252" s="1"/>
      <c r="DK252" s="1"/>
      <c r="EN252" s="1"/>
      <c r="FN252" s="1"/>
    </row>
    <row r="253" spans="1:212" x14ac:dyDescent="0.45">
      <c r="A253">
        <v>251</v>
      </c>
      <c r="B253" t="str">
        <f>_xlfn.IFNA(VLOOKUP(Wszystkie[[#This Row],[Zakończono wypełnianie]],Zakończone[],2,0),"BRAK")</f>
        <v>BRAK</v>
      </c>
      <c r="C253" t="s">
        <v>1996</v>
      </c>
      <c r="D253" t="s">
        <v>118</v>
      </c>
      <c r="E253" t="s">
        <v>359</v>
      </c>
      <c r="I253" t="s">
        <v>286</v>
      </c>
      <c r="J253" t="s">
        <v>1997</v>
      </c>
      <c r="K253" t="s">
        <v>1997</v>
      </c>
      <c r="L253">
        <v>0</v>
      </c>
      <c r="M253">
        <v>0</v>
      </c>
      <c r="N253" t="s">
        <v>122</v>
      </c>
      <c r="O253" s="1" t="s">
        <v>123</v>
      </c>
      <c r="AE253" s="1" t="s">
        <v>124</v>
      </c>
      <c r="AW253" s="1"/>
      <c r="CQ253" s="1"/>
      <c r="DA253" s="1"/>
      <c r="DK253" s="1"/>
      <c r="EN253" s="1"/>
      <c r="FN253" s="1"/>
    </row>
    <row r="254" spans="1:212" x14ac:dyDescent="0.45">
      <c r="A254">
        <v>252</v>
      </c>
      <c r="B254" t="str">
        <f>_xlfn.IFNA(VLOOKUP(Wszystkie[[#This Row],[Zakończono wypełnianie]],Zakończone[],2,0),"BRAK")</f>
        <v>BRAK</v>
      </c>
      <c r="C254" t="s">
        <v>1998</v>
      </c>
      <c r="D254" t="s">
        <v>118</v>
      </c>
      <c r="E254" t="s">
        <v>359</v>
      </c>
      <c r="I254" t="s">
        <v>286</v>
      </c>
      <c r="J254" t="s">
        <v>1999</v>
      </c>
      <c r="K254" t="s">
        <v>1999</v>
      </c>
      <c r="L254">
        <v>0</v>
      </c>
      <c r="M254">
        <v>0</v>
      </c>
      <c r="N254" t="s">
        <v>122</v>
      </c>
      <c r="O254" s="1" t="s">
        <v>123</v>
      </c>
      <c r="AE254" s="1" t="s">
        <v>124</v>
      </c>
      <c r="AW254" s="1"/>
      <c r="CQ254" s="1"/>
      <c r="DA254" s="1"/>
      <c r="DK254" s="1"/>
      <c r="EN254" s="1"/>
      <c r="FN254" s="1"/>
    </row>
    <row r="255" spans="1:212" x14ac:dyDescent="0.45">
      <c r="A255">
        <v>253</v>
      </c>
      <c r="B255" t="str">
        <f>_xlfn.IFNA(VLOOKUP(Wszystkie[[#This Row],[Zakończono wypełnianie]],Zakończone[],2,0),"BRAK")</f>
        <v>BRAK</v>
      </c>
      <c r="C255" t="s">
        <v>2000</v>
      </c>
      <c r="D255" t="s">
        <v>118</v>
      </c>
      <c r="E255" t="s">
        <v>359</v>
      </c>
      <c r="I255" t="s">
        <v>286</v>
      </c>
      <c r="J255" t="s">
        <v>2001</v>
      </c>
      <c r="K255" t="s">
        <v>2001</v>
      </c>
      <c r="L255">
        <v>0</v>
      </c>
      <c r="M255">
        <v>0</v>
      </c>
      <c r="N255" t="s">
        <v>122</v>
      </c>
      <c r="O255" s="1" t="s">
        <v>416</v>
      </c>
      <c r="P255" t="s">
        <v>2002</v>
      </c>
      <c r="Q255" t="s">
        <v>148</v>
      </c>
      <c r="R255" t="s">
        <v>2003</v>
      </c>
      <c r="S255" t="s">
        <v>236</v>
      </c>
      <c r="T255" t="s">
        <v>236</v>
      </c>
      <c r="U255" t="s">
        <v>236</v>
      </c>
      <c r="V255" t="s">
        <v>2004</v>
      </c>
      <c r="W255" t="s">
        <v>302</v>
      </c>
      <c r="X255" t="s">
        <v>153</v>
      </c>
      <c r="Y255" t="s">
        <v>2005</v>
      </c>
      <c r="Z255" t="s">
        <v>2006</v>
      </c>
      <c r="AA255" t="s">
        <v>2007</v>
      </c>
      <c r="AB255" t="s">
        <v>172</v>
      </c>
      <c r="AD255">
        <v>6</v>
      </c>
      <c r="AE255" s="1" t="s">
        <v>124</v>
      </c>
      <c r="AW255" s="1"/>
      <c r="CQ255" s="1"/>
      <c r="DA255" s="1"/>
      <c r="DK255" s="1"/>
      <c r="EN255" s="1"/>
      <c r="FN255" s="1"/>
    </row>
    <row r="256" spans="1:212" x14ac:dyDescent="0.45">
      <c r="A256">
        <v>254</v>
      </c>
      <c r="B256" t="str">
        <f>_xlfn.IFNA(VLOOKUP(Wszystkie[[#This Row],[Zakończono wypełnianie]],Zakończone[],2,0),"BRAK")</f>
        <v>BRAK</v>
      </c>
      <c r="C256" t="s">
        <v>2008</v>
      </c>
      <c r="D256" t="s">
        <v>118</v>
      </c>
      <c r="E256" t="s">
        <v>359</v>
      </c>
      <c r="I256" t="s">
        <v>286</v>
      </c>
      <c r="J256" t="s">
        <v>2009</v>
      </c>
      <c r="K256" t="s">
        <v>2009</v>
      </c>
      <c r="L256">
        <v>0</v>
      </c>
      <c r="M256">
        <v>0</v>
      </c>
      <c r="N256" t="s">
        <v>122</v>
      </c>
      <c r="O256" s="1" t="s">
        <v>123</v>
      </c>
      <c r="AE256" s="1" t="s">
        <v>124</v>
      </c>
      <c r="AW256" s="1"/>
      <c r="CQ256" s="1"/>
      <c r="DA256" s="1"/>
      <c r="DK256" s="1"/>
      <c r="EN256" s="1"/>
      <c r="FN256" s="1"/>
    </row>
    <row r="257" spans="1:213" x14ac:dyDescent="0.45">
      <c r="A257">
        <v>255</v>
      </c>
      <c r="B257" t="str">
        <f>_xlfn.IFNA(VLOOKUP(Wszystkie[[#This Row],[Zakończono wypełnianie]],Zakończone[],2,0),"BRAK")</f>
        <v>BRAK</v>
      </c>
      <c r="C257" t="s">
        <v>2010</v>
      </c>
      <c r="D257" t="s">
        <v>118</v>
      </c>
      <c r="I257" t="s">
        <v>286</v>
      </c>
      <c r="J257" t="s">
        <v>2011</v>
      </c>
      <c r="K257" t="s">
        <v>2011</v>
      </c>
      <c r="L257">
        <v>0</v>
      </c>
      <c r="M257">
        <v>0</v>
      </c>
      <c r="O257" s="1"/>
      <c r="AE257" s="1"/>
      <c r="AW257" s="1"/>
      <c r="CQ257" s="1"/>
      <c r="DA257" s="1"/>
      <c r="DK257" s="1"/>
      <c r="EN257" s="1"/>
      <c r="FN257" s="1"/>
    </row>
    <row r="258" spans="1:213" x14ac:dyDescent="0.45">
      <c r="A258">
        <v>256</v>
      </c>
      <c r="B258" t="str">
        <f>_xlfn.IFNA(VLOOKUP(Wszystkie[[#This Row],[Zakończono wypełnianie]],Zakończone[],2,0),"BRAK")</f>
        <v>BRAK</v>
      </c>
      <c r="C258" t="s">
        <v>2012</v>
      </c>
      <c r="D258" t="s">
        <v>118</v>
      </c>
      <c r="I258" t="s">
        <v>286</v>
      </c>
      <c r="J258" t="s">
        <v>2013</v>
      </c>
      <c r="K258" t="s">
        <v>2013</v>
      </c>
      <c r="L258">
        <v>0</v>
      </c>
      <c r="M258">
        <v>0</v>
      </c>
      <c r="O258" s="1"/>
      <c r="AE258" s="1"/>
      <c r="AW258" s="1"/>
      <c r="CQ258" s="1"/>
      <c r="DA258" s="1"/>
      <c r="DK258" s="1"/>
      <c r="EN258" s="1"/>
      <c r="FN258" s="1"/>
    </row>
    <row r="259" spans="1:213" x14ac:dyDescent="0.45">
      <c r="A259">
        <v>257</v>
      </c>
      <c r="B259">
        <f>_xlfn.IFNA(VLOOKUP(Wszystkie[[#This Row],[Zakończono wypełnianie]],Zakończone[],2,0),"BRAK")</f>
        <v>134</v>
      </c>
      <c r="C259" t="s">
        <v>2014</v>
      </c>
      <c r="D259" t="s">
        <v>118</v>
      </c>
      <c r="I259" t="s">
        <v>119</v>
      </c>
      <c r="J259" t="s">
        <v>2015</v>
      </c>
      <c r="K259" t="s">
        <v>2016</v>
      </c>
      <c r="L259">
        <v>1430</v>
      </c>
      <c r="M259">
        <v>0</v>
      </c>
      <c r="N259" t="s">
        <v>122</v>
      </c>
      <c r="O259" s="1" t="s">
        <v>123</v>
      </c>
      <c r="AE259" s="1" t="s">
        <v>124</v>
      </c>
      <c r="AF259" t="s">
        <v>191</v>
      </c>
      <c r="AG259">
        <v>1989</v>
      </c>
      <c r="AH259" t="s">
        <v>126</v>
      </c>
      <c r="AI259" t="s">
        <v>2017</v>
      </c>
      <c r="AJ259" t="s">
        <v>150</v>
      </c>
      <c r="AK259" t="s">
        <v>150</v>
      </c>
      <c r="AL259" t="s">
        <v>162</v>
      </c>
      <c r="AM259" t="s">
        <v>162</v>
      </c>
      <c r="AN259" t="s">
        <v>162</v>
      </c>
      <c r="AO259">
        <v>0</v>
      </c>
      <c r="AP259" t="s">
        <v>226</v>
      </c>
      <c r="AQ259" t="s">
        <v>226</v>
      </c>
      <c r="AR259" t="s">
        <v>2018</v>
      </c>
      <c r="AS259" t="s">
        <v>1229</v>
      </c>
      <c r="AT259" t="s">
        <v>1229</v>
      </c>
      <c r="AU259" t="s">
        <v>157</v>
      </c>
      <c r="AV259" t="s">
        <v>1271</v>
      </c>
      <c r="AW259" s="1" t="s">
        <v>159</v>
      </c>
      <c r="AX259">
        <v>1</v>
      </c>
      <c r="AY259" t="s">
        <v>191</v>
      </c>
      <c r="AZ259">
        <v>2016</v>
      </c>
      <c r="BA259" t="s">
        <v>126</v>
      </c>
      <c r="BB259" t="s">
        <v>2019</v>
      </c>
      <c r="BC259" t="s">
        <v>150</v>
      </c>
      <c r="BD259" t="s">
        <v>150</v>
      </c>
      <c r="BE259" t="s">
        <v>151</v>
      </c>
      <c r="BF259" t="s">
        <v>128</v>
      </c>
      <c r="BG259" t="s">
        <v>162</v>
      </c>
      <c r="BH259" t="s">
        <v>2020</v>
      </c>
      <c r="BI259" t="s">
        <v>2021</v>
      </c>
      <c r="BJ259" t="s">
        <v>157</v>
      </c>
      <c r="BM259" t="s">
        <v>173</v>
      </c>
      <c r="CQ259" s="1" t="s">
        <v>123</v>
      </c>
      <c r="DA259" s="1" t="s">
        <v>123</v>
      </c>
      <c r="DK259" s="1" t="s">
        <v>123</v>
      </c>
      <c r="EN259" s="1" t="s">
        <v>123</v>
      </c>
      <c r="FN259" s="1" t="s">
        <v>2022</v>
      </c>
      <c r="FO259" t="s">
        <v>2023</v>
      </c>
      <c r="FP259" t="s">
        <v>2024</v>
      </c>
      <c r="FQ259">
        <v>1</v>
      </c>
      <c r="FR259" t="s">
        <v>191</v>
      </c>
      <c r="FS259" t="s">
        <v>150</v>
      </c>
      <c r="FT259" t="s">
        <v>150</v>
      </c>
      <c r="FU259" t="s">
        <v>150</v>
      </c>
      <c r="FV259" t="s">
        <v>150</v>
      </c>
      <c r="FW259" t="s">
        <v>150</v>
      </c>
      <c r="FX259" t="s">
        <v>150</v>
      </c>
      <c r="FY259" t="s">
        <v>150</v>
      </c>
      <c r="GA259" t="s">
        <v>2025</v>
      </c>
      <c r="GB259" t="s">
        <v>173</v>
      </c>
      <c r="GV259" t="s">
        <v>1229</v>
      </c>
      <c r="GW259" t="s">
        <v>1229</v>
      </c>
      <c r="GX259" t="s">
        <v>1229</v>
      </c>
      <c r="GY259" t="s">
        <v>186</v>
      </c>
      <c r="GZ259">
        <v>1965</v>
      </c>
      <c r="HA259" t="s">
        <v>220</v>
      </c>
      <c r="HC259" t="s">
        <v>2026</v>
      </c>
      <c r="HE259" t="s">
        <v>2027</v>
      </c>
    </row>
    <row r="260" spans="1:213" x14ac:dyDescent="0.45">
      <c r="A260">
        <v>258</v>
      </c>
      <c r="B260">
        <f>_xlfn.IFNA(VLOOKUP(Wszystkie[[#This Row],[Zakończono wypełnianie]],Zakończone[],2,0),"BRAK")</f>
        <v>135</v>
      </c>
      <c r="C260" t="s">
        <v>2014</v>
      </c>
      <c r="D260" t="s">
        <v>118</v>
      </c>
      <c r="I260" t="s">
        <v>119</v>
      </c>
      <c r="J260" t="s">
        <v>2028</v>
      </c>
      <c r="K260" t="s">
        <v>2029</v>
      </c>
      <c r="L260">
        <v>721</v>
      </c>
      <c r="M260">
        <v>0</v>
      </c>
      <c r="N260" t="s">
        <v>122</v>
      </c>
      <c r="O260" s="1" t="s">
        <v>123</v>
      </c>
      <c r="AE260" s="1" t="s">
        <v>124</v>
      </c>
      <c r="AF260" t="s">
        <v>234</v>
      </c>
      <c r="AG260">
        <v>1985</v>
      </c>
      <c r="AH260" t="s">
        <v>148</v>
      </c>
      <c r="AI260" t="s">
        <v>2030</v>
      </c>
      <c r="AJ260" t="s">
        <v>169</v>
      </c>
      <c r="AK260" t="s">
        <v>169</v>
      </c>
      <c r="AL260" t="s">
        <v>150</v>
      </c>
      <c r="AM260" t="s">
        <v>128</v>
      </c>
      <c r="AN260" t="s">
        <v>128</v>
      </c>
      <c r="AO260">
        <v>4</v>
      </c>
      <c r="AP260" t="s">
        <v>131</v>
      </c>
      <c r="AQ260" t="s">
        <v>131</v>
      </c>
      <c r="AR260" t="s">
        <v>2031</v>
      </c>
      <c r="AS260" t="s">
        <v>1229</v>
      </c>
      <c r="AT260" t="s">
        <v>1229</v>
      </c>
      <c r="AU260" t="s">
        <v>157</v>
      </c>
      <c r="AV260" t="s">
        <v>2032</v>
      </c>
      <c r="AW260" s="1" t="s">
        <v>123</v>
      </c>
      <c r="CQ260" s="1" t="s">
        <v>123</v>
      </c>
      <c r="DA260" s="1" t="s">
        <v>123</v>
      </c>
      <c r="DK260" s="1" t="s">
        <v>174</v>
      </c>
      <c r="DL260" t="s">
        <v>394</v>
      </c>
      <c r="DP260" t="s">
        <v>234</v>
      </c>
      <c r="DQ260" t="s">
        <v>162</v>
      </c>
      <c r="DR260" t="s">
        <v>162</v>
      </c>
      <c r="DS260" t="s">
        <v>162</v>
      </c>
      <c r="DT260" t="s">
        <v>132</v>
      </c>
      <c r="DU260" t="s">
        <v>132</v>
      </c>
      <c r="DV260" t="s">
        <v>132</v>
      </c>
      <c r="DW260" t="s">
        <v>162</v>
      </c>
      <c r="DX260">
        <v>20</v>
      </c>
      <c r="DY260">
        <v>60</v>
      </c>
      <c r="DZ260">
        <v>0</v>
      </c>
      <c r="EA260">
        <v>0</v>
      </c>
      <c r="EB260">
        <v>0</v>
      </c>
      <c r="EC260">
        <v>20</v>
      </c>
      <c r="ED260">
        <v>0</v>
      </c>
      <c r="EF260">
        <v>20</v>
      </c>
      <c r="EG260">
        <v>60</v>
      </c>
      <c r="EH260">
        <v>0</v>
      </c>
      <c r="EI260">
        <v>0</v>
      </c>
      <c r="EJ260">
        <v>0</v>
      </c>
      <c r="EK260">
        <v>20</v>
      </c>
      <c r="EL260">
        <v>0</v>
      </c>
      <c r="EN260" s="1" t="s">
        <v>123</v>
      </c>
      <c r="FN260" s="1" t="s">
        <v>123</v>
      </c>
      <c r="GV260" t="s">
        <v>2033</v>
      </c>
      <c r="GW260" t="s">
        <v>1229</v>
      </c>
      <c r="GX260" t="s">
        <v>1229</v>
      </c>
      <c r="GY260" t="s">
        <v>186</v>
      </c>
      <c r="GZ260">
        <v>1961</v>
      </c>
      <c r="HA260" t="s">
        <v>141</v>
      </c>
    </row>
    <row r="261" spans="1:213" x14ac:dyDescent="0.45">
      <c r="A261">
        <v>259</v>
      </c>
      <c r="B261">
        <f>_xlfn.IFNA(VLOOKUP(Wszystkie[[#This Row],[Zakończono wypełnianie]],Zakończone[],2,0),"BRAK")</f>
        <v>136</v>
      </c>
      <c r="C261" t="s">
        <v>2014</v>
      </c>
      <c r="D261" t="s">
        <v>118</v>
      </c>
      <c r="I261" t="s">
        <v>119</v>
      </c>
      <c r="J261" t="s">
        <v>2034</v>
      </c>
      <c r="K261" t="s">
        <v>2035</v>
      </c>
      <c r="L261">
        <v>1151</v>
      </c>
      <c r="M261">
        <v>0</v>
      </c>
      <c r="N261" t="s">
        <v>122</v>
      </c>
      <c r="O261" s="1" t="s">
        <v>123</v>
      </c>
      <c r="AE261" s="1" t="s">
        <v>124</v>
      </c>
      <c r="AF261" t="s">
        <v>223</v>
      </c>
      <c r="AG261">
        <v>1987</v>
      </c>
      <c r="AH261" t="s">
        <v>148</v>
      </c>
      <c r="AI261" t="s">
        <v>554</v>
      </c>
      <c r="AJ261" t="s">
        <v>132</v>
      </c>
      <c r="AK261" t="s">
        <v>132</v>
      </c>
      <c r="AL261" t="s">
        <v>132</v>
      </c>
      <c r="AM261" t="s">
        <v>132</v>
      </c>
      <c r="AN261" t="s">
        <v>132</v>
      </c>
      <c r="AO261" t="s">
        <v>2036</v>
      </c>
      <c r="AP261" t="s">
        <v>132</v>
      </c>
      <c r="AQ261" t="s">
        <v>132</v>
      </c>
      <c r="AS261" t="s">
        <v>1229</v>
      </c>
      <c r="AT261" t="s">
        <v>1229</v>
      </c>
      <c r="AU261" t="s">
        <v>157</v>
      </c>
      <c r="AV261" t="s">
        <v>2037</v>
      </c>
      <c r="AW261" s="1" t="s">
        <v>159</v>
      </c>
      <c r="AX261">
        <v>3</v>
      </c>
      <c r="AY261" t="s">
        <v>191</v>
      </c>
      <c r="AZ261">
        <v>2020</v>
      </c>
      <c r="BA261" t="s">
        <v>126</v>
      </c>
      <c r="BB261" t="s">
        <v>2038</v>
      </c>
      <c r="BC261" t="s">
        <v>150</v>
      </c>
      <c r="BD261" t="s">
        <v>162</v>
      </c>
      <c r="BE261" t="s">
        <v>169</v>
      </c>
      <c r="BF261" t="s">
        <v>150</v>
      </c>
      <c r="BG261" t="s">
        <v>132</v>
      </c>
      <c r="BH261" t="s">
        <v>2039</v>
      </c>
      <c r="BI261" t="s">
        <v>2040</v>
      </c>
      <c r="BJ261" t="s">
        <v>157</v>
      </c>
      <c r="BM261" t="s">
        <v>166</v>
      </c>
      <c r="BN261" t="s">
        <v>191</v>
      </c>
      <c r="BO261">
        <v>2013</v>
      </c>
      <c r="BP261" t="s">
        <v>126</v>
      </c>
      <c r="BQ261" t="s">
        <v>1867</v>
      </c>
      <c r="BR261" t="s">
        <v>162</v>
      </c>
      <c r="BS261" t="s">
        <v>150</v>
      </c>
      <c r="BT261" t="s">
        <v>162</v>
      </c>
      <c r="BU261" t="s">
        <v>162</v>
      </c>
      <c r="BV261" t="s">
        <v>162</v>
      </c>
      <c r="BW261" t="s">
        <v>237</v>
      </c>
      <c r="BY261" t="s">
        <v>157</v>
      </c>
      <c r="CA261" t="s">
        <v>2041</v>
      </c>
      <c r="CB261" t="s">
        <v>238</v>
      </c>
      <c r="CC261" t="s">
        <v>191</v>
      </c>
      <c r="CD261">
        <v>2016</v>
      </c>
      <c r="CE261" t="s">
        <v>126</v>
      </c>
      <c r="CF261" t="s">
        <v>2042</v>
      </c>
      <c r="CG261" t="s">
        <v>151</v>
      </c>
      <c r="CH261" t="s">
        <v>162</v>
      </c>
      <c r="CI261" t="s">
        <v>150</v>
      </c>
      <c r="CJ261" t="s">
        <v>169</v>
      </c>
      <c r="CK261" t="s">
        <v>150</v>
      </c>
      <c r="CL261" t="s">
        <v>237</v>
      </c>
      <c r="CM261" t="s">
        <v>2043</v>
      </c>
      <c r="CN261" t="s">
        <v>157</v>
      </c>
      <c r="CQ261" s="1" t="s">
        <v>123</v>
      </c>
      <c r="DA261" s="1" t="s">
        <v>123</v>
      </c>
      <c r="DK261" s="1" t="s">
        <v>123</v>
      </c>
      <c r="EN261" s="1" t="s">
        <v>123</v>
      </c>
      <c r="FN261" s="1" t="s">
        <v>123</v>
      </c>
      <c r="GV261" t="s">
        <v>1229</v>
      </c>
      <c r="GW261" t="s">
        <v>1229</v>
      </c>
      <c r="GX261" t="s">
        <v>1229</v>
      </c>
      <c r="GY261" t="s">
        <v>186</v>
      </c>
      <c r="GZ261">
        <v>1962</v>
      </c>
      <c r="HA261" t="s">
        <v>141</v>
      </c>
      <c r="HD261" t="s">
        <v>2044</v>
      </c>
      <c r="HE261" t="s">
        <v>2045</v>
      </c>
    </row>
    <row r="262" spans="1:213" x14ac:dyDescent="0.45">
      <c r="A262">
        <v>260</v>
      </c>
      <c r="B262">
        <f>_xlfn.IFNA(VLOOKUP(Wszystkie[[#This Row],[Zakończono wypełnianie]],Zakończone[],2,0),"BRAK")</f>
        <v>137</v>
      </c>
      <c r="C262" t="s">
        <v>2014</v>
      </c>
      <c r="D262" t="s">
        <v>118</v>
      </c>
      <c r="I262" t="s">
        <v>119</v>
      </c>
      <c r="J262" t="s">
        <v>2046</v>
      </c>
      <c r="K262" t="s">
        <v>2047</v>
      </c>
      <c r="L262">
        <v>707</v>
      </c>
      <c r="M262">
        <v>0</v>
      </c>
      <c r="N262" t="s">
        <v>122</v>
      </c>
      <c r="O262" s="1" t="s">
        <v>123</v>
      </c>
      <c r="AE262" s="1" t="s">
        <v>124</v>
      </c>
      <c r="AF262" t="s">
        <v>191</v>
      </c>
      <c r="AG262">
        <v>1985</v>
      </c>
      <c r="AH262" t="s">
        <v>126</v>
      </c>
      <c r="AI262" t="s">
        <v>2017</v>
      </c>
      <c r="AJ262" t="s">
        <v>150</v>
      </c>
      <c r="AK262" t="s">
        <v>150</v>
      </c>
      <c r="AL262" t="s">
        <v>151</v>
      </c>
      <c r="AM262" t="s">
        <v>236</v>
      </c>
      <c r="AN262" t="s">
        <v>150</v>
      </c>
      <c r="AO262" t="s">
        <v>237</v>
      </c>
      <c r="AP262" t="s">
        <v>152</v>
      </c>
      <c r="AQ262" t="s">
        <v>759</v>
      </c>
      <c r="AR262" t="s">
        <v>2048</v>
      </c>
      <c r="AS262" t="s">
        <v>1229</v>
      </c>
      <c r="AT262" t="s">
        <v>1229</v>
      </c>
      <c r="AU262" t="s">
        <v>157</v>
      </c>
      <c r="AV262" t="s">
        <v>2032</v>
      </c>
      <c r="AW262" s="1" t="s">
        <v>159</v>
      </c>
      <c r="AX262">
        <v>1</v>
      </c>
      <c r="AY262" t="s">
        <v>191</v>
      </c>
      <c r="AZ262">
        <v>2018</v>
      </c>
      <c r="BA262" t="s">
        <v>126</v>
      </c>
      <c r="BB262" t="s">
        <v>2049</v>
      </c>
      <c r="BC262" t="s">
        <v>151</v>
      </c>
      <c r="BD262" t="s">
        <v>151</v>
      </c>
      <c r="BE262" t="s">
        <v>128</v>
      </c>
      <c r="BF262" t="s">
        <v>162</v>
      </c>
      <c r="BG262" t="s">
        <v>132</v>
      </c>
      <c r="BH262">
        <v>12</v>
      </c>
      <c r="BI262" t="s">
        <v>2050</v>
      </c>
      <c r="BJ262" t="s">
        <v>157</v>
      </c>
      <c r="BM262" t="s">
        <v>173</v>
      </c>
      <c r="CQ262" s="1" t="s">
        <v>123</v>
      </c>
      <c r="DA262" s="1" t="s">
        <v>123</v>
      </c>
      <c r="DK262" s="1" t="s">
        <v>123</v>
      </c>
      <c r="EN262" s="1" t="s">
        <v>177</v>
      </c>
      <c r="EO262" t="s">
        <v>178</v>
      </c>
      <c r="EP262">
        <v>2</v>
      </c>
      <c r="EQ262" t="s">
        <v>191</v>
      </c>
      <c r="ER262" t="s">
        <v>151</v>
      </c>
      <c r="ES262" t="s">
        <v>162</v>
      </c>
      <c r="ET262" t="s">
        <v>151</v>
      </c>
      <c r="EU262" t="s">
        <v>178</v>
      </c>
      <c r="EV262" t="s">
        <v>2051</v>
      </c>
      <c r="EW262" t="s">
        <v>2052</v>
      </c>
      <c r="EX262" t="s">
        <v>1206</v>
      </c>
      <c r="EY262" t="s">
        <v>223</v>
      </c>
      <c r="EZ262" t="s">
        <v>162</v>
      </c>
      <c r="FA262" t="s">
        <v>162</v>
      </c>
      <c r="FB262" t="s">
        <v>151</v>
      </c>
      <c r="FC262" t="s">
        <v>178</v>
      </c>
      <c r="FD262" t="s">
        <v>2053</v>
      </c>
      <c r="FE262" t="s">
        <v>2054</v>
      </c>
      <c r="FF262" t="s">
        <v>173</v>
      </c>
      <c r="FN262" s="1" t="s">
        <v>123</v>
      </c>
      <c r="GV262" t="s">
        <v>1229</v>
      </c>
      <c r="GW262" t="s">
        <v>1229</v>
      </c>
      <c r="GX262" t="s">
        <v>1229</v>
      </c>
      <c r="GY262" t="s">
        <v>186</v>
      </c>
      <c r="GZ262">
        <v>1959</v>
      </c>
      <c r="HA262" t="s">
        <v>141</v>
      </c>
      <c r="HC262" t="s">
        <v>2055</v>
      </c>
      <c r="HE262" t="s">
        <v>2056</v>
      </c>
    </row>
    <row r="263" spans="1:213" x14ac:dyDescent="0.45">
      <c r="A263">
        <v>261</v>
      </c>
      <c r="B263">
        <f>_xlfn.IFNA(VLOOKUP(Wszystkie[[#This Row],[Zakończono wypełnianie]],Zakończone[],2,0),"BRAK")</f>
        <v>138</v>
      </c>
      <c r="C263" t="s">
        <v>2014</v>
      </c>
      <c r="D263" t="s">
        <v>118</v>
      </c>
      <c r="I263" t="s">
        <v>119</v>
      </c>
      <c r="J263" t="s">
        <v>2057</v>
      </c>
      <c r="K263" t="s">
        <v>2058</v>
      </c>
      <c r="L263">
        <v>616</v>
      </c>
      <c r="M263">
        <v>0</v>
      </c>
      <c r="N263" t="s">
        <v>122</v>
      </c>
      <c r="O263" s="1" t="s">
        <v>123</v>
      </c>
      <c r="AE263" s="1" t="s">
        <v>124</v>
      </c>
      <c r="AF263" t="s">
        <v>223</v>
      </c>
      <c r="AG263">
        <v>1992</v>
      </c>
      <c r="AH263" t="s">
        <v>148</v>
      </c>
      <c r="AI263" t="s">
        <v>2059</v>
      </c>
      <c r="AJ263" t="s">
        <v>150</v>
      </c>
      <c r="AK263" t="s">
        <v>169</v>
      </c>
      <c r="AL263" t="s">
        <v>150</v>
      </c>
      <c r="AM263" t="s">
        <v>151</v>
      </c>
      <c r="AN263" t="s">
        <v>162</v>
      </c>
      <c r="AO263">
        <v>0</v>
      </c>
      <c r="AP263" t="s">
        <v>131</v>
      </c>
      <c r="AQ263" t="s">
        <v>302</v>
      </c>
      <c r="AR263" t="s">
        <v>2060</v>
      </c>
      <c r="AS263" t="s">
        <v>1229</v>
      </c>
      <c r="AT263" t="s">
        <v>1229</v>
      </c>
      <c r="AU263" t="s">
        <v>157</v>
      </c>
      <c r="AV263" t="s">
        <v>2032</v>
      </c>
      <c r="AW263" s="1" t="s">
        <v>159</v>
      </c>
      <c r="AX263">
        <v>1</v>
      </c>
      <c r="AY263" t="s">
        <v>445</v>
      </c>
      <c r="AZ263">
        <v>2019</v>
      </c>
      <c r="BA263" t="s">
        <v>148</v>
      </c>
      <c r="BB263" t="s">
        <v>461</v>
      </c>
      <c r="BC263" t="s">
        <v>169</v>
      </c>
      <c r="BD263" t="s">
        <v>169</v>
      </c>
      <c r="BE263" t="s">
        <v>169</v>
      </c>
      <c r="BF263" t="s">
        <v>169</v>
      </c>
      <c r="BG263" t="s">
        <v>132</v>
      </c>
      <c r="BH263" t="s">
        <v>2020</v>
      </c>
      <c r="BI263" t="s">
        <v>2061</v>
      </c>
      <c r="BJ263" t="s">
        <v>157</v>
      </c>
      <c r="BL263" t="s">
        <v>2062</v>
      </c>
      <c r="BM263" t="s">
        <v>173</v>
      </c>
      <c r="CQ263" s="1" t="s">
        <v>123</v>
      </c>
      <c r="DA263" s="1" t="s">
        <v>123</v>
      </c>
      <c r="DK263" s="1" t="s">
        <v>123</v>
      </c>
      <c r="EN263" s="1" t="s">
        <v>123</v>
      </c>
      <c r="FN263" s="1" t="s">
        <v>2022</v>
      </c>
      <c r="FO263" t="s">
        <v>2023</v>
      </c>
      <c r="FP263" t="s">
        <v>2063</v>
      </c>
      <c r="FQ263">
        <v>1</v>
      </c>
      <c r="FR263" t="s">
        <v>191</v>
      </c>
      <c r="FS263" t="s">
        <v>150</v>
      </c>
      <c r="FT263" t="s">
        <v>150</v>
      </c>
      <c r="FU263" t="s">
        <v>169</v>
      </c>
      <c r="FV263" t="s">
        <v>169</v>
      </c>
      <c r="FW263" t="s">
        <v>132</v>
      </c>
      <c r="FX263" t="s">
        <v>132</v>
      </c>
      <c r="FY263" t="s">
        <v>169</v>
      </c>
      <c r="GB263" t="s">
        <v>173</v>
      </c>
      <c r="GV263" t="s">
        <v>1229</v>
      </c>
      <c r="GW263" t="s">
        <v>1229</v>
      </c>
      <c r="GX263" t="s">
        <v>1229</v>
      </c>
      <c r="GY263" t="s">
        <v>186</v>
      </c>
      <c r="GZ263">
        <v>1968</v>
      </c>
      <c r="HA263" t="s">
        <v>220</v>
      </c>
      <c r="HC263" t="s">
        <v>2055</v>
      </c>
      <c r="HE263" t="s">
        <v>2064</v>
      </c>
    </row>
    <row r="264" spans="1:213" ht="14.65" thickBot="1" x14ac:dyDescent="0.5">
      <c r="N264" s="1">
        <f>COUNTIF(Wszystkie[Czy jesteś osobą pełnoletnią?],"*")</f>
        <v>259</v>
      </c>
      <c r="O264" s="1">
        <f>COUNTIF(Wszystkie[Czy jesteś studentem uczelni wyższej?],"*")</f>
        <v>252</v>
      </c>
      <c r="AE264" s="1">
        <f>COUNTIF(Wszystkie[Czy jesteś absolwentem uczelni wyższej?],"*")</f>
        <v>227</v>
      </c>
      <c r="AW264" s="1">
        <f>COUNTIF(Wszystkie[Czy jesteś rodzicem / opiekunem absolwenta uczelni wyższej?],"*")</f>
        <v>157</v>
      </c>
      <c r="CQ264" s="1">
        <f>COUNTIF(Wszystkie[Czy jesteś aktualnie pracownikiem administracyjnym uczelni wyższej?],"*")</f>
        <v>151</v>
      </c>
      <c r="DA264" s="1">
        <f>COUNTIF(Wszystkie[Czy jesteś aktualnie pracownikiem naukowym lub dydaktycznym uczelni wyższej?],"*")</f>
        <v>149</v>
      </c>
      <c r="DK264" s="1">
        <f>COUNTIF(Wszystkie[Czy jesteś przedstawicielem władz uczelni z grupy rektorów, prorektorów, dziekanów, prodziekanów, członków senatu lub członków rady uczelni?],"*")</f>
        <v>149</v>
      </c>
      <c r="EN264" s="1">
        <f>COUNTIF(Wszystkie[Czy jesteś przedstawicielem firmy, w której są zatrudniani absolwenci uczelni wyższych (tytuł licencjata, magistra lub wyższy)?],"*")</f>
        <v>148</v>
      </c>
      <c r="FN264" s="1">
        <f>COUNTIF(Wszystkie[Czy jesteś przedstawicielem władz samorządowych lub centralnych Rzeczypospolitej Polskiej?],"*")</f>
        <v>144</v>
      </c>
    </row>
    <row r="265" spans="1:213" ht="15" thickTop="1" thickBot="1" x14ac:dyDescent="0.5">
      <c r="N265" s="5">
        <f>COUNTIF(Wszystkie[Czy jesteś osobą pełnoletnią?],"*"&amp;"Tak"&amp;"*")</f>
        <v>255</v>
      </c>
      <c r="O265" s="5">
        <f>COUNTIF(Wszystkie[Czy jesteś studentem uczelni wyższej?],"*"&amp;"Tak"&amp;"*")</f>
        <v>46</v>
      </c>
      <c r="P265" s="4"/>
      <c r="Q265" s="4"/>
      <c r="R265" s="4"/>
      <c r="S265" s="4"/>
      <c r="T265" s="4"/>
      <c r="U265" s="4"/>
      <c r="V265" s="4"/>
      <c r="W265" s="4"/>
      <c r="X265" s="4"/>
      <c r="Y265" s="4"/>
      <c r="Z265" s="4"/>
      <c r="AA265" s="4"/>
      <c r="AB265" s="4"/>
      <c r="AC265" s="4"/>
      <c r="AD265" s="4"/>
      <c r="AE265" s="5">
        <f>COUNTIF(Wszystkie[Czy jesteś absolwentem uczelni wyższej?],"*"&amp;"Tak"&amp;"*")</f>
        <v>202</v>
      </c>
      <c r="AF265" s="4"/>
      <c r="AG265" s="4"/>
      <c r="AH265" s="4"/>
      <c r="AI265" s="4"/>
      <c r="AJ265" s="4"/>
      <c r="AK265" s="4"/>
      <c r="AL265" s="4"/>
      <c r="AM265" s="4"/>
      <c r="AN265" s="4"/>
      <c r="AO265" s="4"/>
      <c r="AP265" s="4"/>
      <c r="AQ265" s="4"/>
      <c r="AR265" s="4"/>
      <c r="AS265" s="4"/>
      <c r="AT265" s="4"/>
      <c r="AU265" s="4"/>
      <c r="AV265" s="4"/>
      <c r="AW265" s="5">
        <f>COUNTIF(Wszystkie[Czy jesteś rodzicem / opiekunem absolwenta uczelni wyższej?],"*"&amp;"Tak"&amp;"*")</f>
        <v>24</v>
      </c>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5">
        <f>COUNTIF(Wszystkie[Czy jesteś aktualnie pracownikiem administracyjnym uczelni wyższej?],"*"&amp;"Tak"&amp;"*")</f>
        <v>6</v>
      </c>
      <c r="CR265" s="4"/>
      <c r="CS265" s="4"/>
      <c r="CT265" s="4"/>
      <c r="CU265" s="4"/>
      <c r="CV265" s="4"/>
      <c r="CW265" s="4"/>
      <c r="CX265" s="4"/>
      <c r="CY265" s="4"/>
      <c r="CZ265" s="4"/>
      <c r="DA265" s="5">
        <f>COUNTIF(Wszystkie[Czy jesteś aktualnie pracownikiem naukowym lub dydaktycznym uczelni wyższej?],"*"&amp;"Tak"&amp;"*")</f>
        <v>17</v>
      </c>
      <c r="DB265" s="4"/>
      <c r="DC265" s="4"/>
      <c r="DD265" s="4"/>
      <c r="DE265" s="4"/>
      <c r="DF265" s="4"/>
      <c r="DG265" s="4"/>
      <c r="DH265" s="4"/>
      <c r="DI265" s="4"/>
      <c r="DJ265" s="4"/>
      <c r="DK265" s="5">
        <f>COUNTIF(Wszystkie[Czy jesteś przedstawicielem władz uczelni z grupy rektorów, prorektorów, dziekanów, prodziekanów, członków senatu lub członków rady uczelni?],"*"&amp;"Tak"&amp;"*")</f>
        <v>6</v>
      </c>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5">
        <f>COUNTIF(Wszystkie[Czy jesteś przedstawicielem firmy, w której są zatrudniani absolwenci uczelni wyższych (tytuł licencjata, magistra lub wyższy)?],"*"&amp;"Tak"&amp;"*")</f>
        <v>21</v>
      </c>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5">
        <f>COUNTIF(Wszystkie[Czy jesteś przedstawicielem władz samorządowych lub centralnych Rzeczypospolitej Polskiej?],"*"&amp;"Tak"&amp;"*")</f>
        <v>2</v>
      </c>
    </row>
    <row r="266" spans="1:213" ht="15" thickTop="1" thickBot="1" x14ac:dyDescent="0.5">
      <c r="N266" s="5">
        <f>COUNTIF(Wszystkie[Czy jesteś osobą pełnoletnią?],"*"&amp;"Nie"&amp;"*")</f>
        <v>4</v>
      </c>
      <c r="O266" s="5">
        <f>COUNTIF(Wszystkie[Czy jesteś studentem uczelni wyższej?],"*"&amp;"Nie (przejście"&amp;"*")</f>
        <v>206</v>
      </c>
      <c r="P266" s="4"/>
      <c r="Q266" s="4"/>
      <c r="R266" s="4"/>
      <c r="S266" s="4"/>
      <c r="T266" s="4"/>
      <c r="U266" s="4"/>
      <c r="V266" s="4"/>
      <c r="W266" s="4"/>
      <c r="X266" s="4"/>
      <c r="Y266" s="4"/>
      <c r="Z266" s="4"/>
      <c r="AA266" s="4"/>
      <c r="AB266" s="4"/>
      <c r="AC266" s="4"/>
      <c r="AD266" s="4"/>
      <c r="AE266" s="5">
        <f>COUNTIF(Wszystkie[Czy jesteś absolwentem uczelni wyższej?],"*"&amp;"Nie (przejście"&amp;"*")</f>
        <v>25</v>
      </c>
      <c r="AF266" s="4"/>
      <c r="AG266" s="4"/>
      <c r="AH266" s="4"/>
      <c r="AI266" s="4"/>
      <c r="AJ266" s="4"/>
      <c r="AK266" s="4"/>
      <c r="AL266" s="4"/>
      <c r="AM266" s="4"/>
      <c r="AN266" s="4"/>
      <c r="AO266" s="4"/>
      <c r="AP266" s="4"/>
      <c r="AQ266" s="4"/>
      <c r="AR266" s="4"/>
      <c r="AS266" s="4"/>
      <c r="AT266" s="4"/>
      <c r="AU266" s="4"/>
      <c r="AV266" s="4"/>
      <c r="AW266" s="5">
        <f>COUNTIF(Wszystkie[Czy jesteś rodzicem / opiekunem absolwenta uczelni wyższej?],"*"&amp;"Nie (przejście"&amp;"*")</f>
        <v>133</v>
      </c>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5">
        <f>COUNTIF(Wszystkie[Czy jesteś aktualnie pracownikiem administracyjnym uczelni wyższej?],"*"&amp;"Nie (przejście"&amp;"*")</f>
        <v>145</v>
      </c>
      <c r="CR266" s="4"/>
      <c r="CS266" s="4"/>
      <c r="CT266" s="4"/>
      <c r="CU266" s="4"/>
      <c r="CV266" s="4"/>
      <c r="CW266" s="4"/>
      <c r="CX266" s="4"/>
      <c r="CY266" s="4"/>
      <c r="CZ266" s="4"/>
      <c r="DA266" s="5">
        <f>COUNTIF(Wszystkie[Czy jesteś aktualnie pracownikiem naukowym lub dydaktycznym uczelni wyższej?],"*"&amp;"Nie (przejście"&amp;"*")</f>
        <v>132</v>
      </c>
      <c r="DB266" s="4"/>
      <c r="DC266" s="4"/>
      <c r="DD266" s="4"/>
      <c r="DE266" s="4"/>
      <c r="DF266" s="4"/>
      <c r="DG266" s="4"/>
      <c r="DH266" s="4"/>
      <c r="DI266" s="4"/>
      <c r="DJ266" s="4"/>
      <c r="DK266" s="5">
        <f>COUNTIF(Wszystkie[Czy jesteś przedstawicielem władz uczelni z grupy rektorów, prorektorów, dziekanów, prodziekanów, członków senatu lub członków rady uczelni?],"*"&amp;"Nie (przejście"&amp;"*")</f>
        <v>143</v>
      </c>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5">
        <f>COUNTIF(Wszystkie[Czy jesteś przedstawicielem firmy, w której są zatrudniani absolwenci uczelni wyższych (tytuł licencjata, magistra lub wyższy)?],"*"&amp;"Nie (przejście"&amp;"*")</f>
        <v>127</v>
      </c>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5">
        <f>COUNTIF(Wszystkie[Czy jesteś przedstawicielem władz samorządowych lub centralnych Rzeczypospolitej Polskiej?],"*"&amp;"Nie (przejście"&amp;"*")</f>
        <v>142</v>
      </c>
    </row>
    <row r="267" spans="1:213" ht="14.65" thickTop="1" x14ac:dyDescent="0.45">
      <c r="N267" s="5">
        <f>COUNTBLANK(Wszystkie[Czy jesteś osobą pełnoletnią?])</f>
        <v>2</v>
      </c>
      <c r="O267" s="5">
        <f>COUNTBLANK(Wszystkie[Czy jesteś studentem uczelni wyższej?])</f>
        <v>9</v>
      </c>
      <c r="P267" s="4"/>
      <c r="Q267" s="4"/>
      <c r="R267" s="4"/>
      <c r="S267" s="4"/>
      <c r="T267" s="4"/>
      <c r="U267" s="4"/>
      <c r="V267" s="4"/>
      <c r="W267" s="4"/>
      <c r="X267" s="4"/>
      <c r="Y267" s="4"/>
      <c r="Z267" s="4"/>
      <c r="AA267" s="4"/>
      <c r="AB267" s="4"/>
      <c r="AC267" s="4"/>
      <c r="AD267" s="4"/>
      <c r="AE267" s="5">
        <f>COUNTBLANK(Wszystkie[Czy jesteś absolwentem uczelni wyższej?])</f>
        <v>34</v>
      </c>
      <c r="AF267" s="4"/>
      <c r="AG267" s="4"/>
      <c r="AH267" s="4"/>
      <c r="AI267" s="4"/>
      <c r="AJ267" s="4"/>
      <c r="AK267" s="4"/>
      <c r="AL267" s="4"/>
      <c r="AM267" s="4"/>
      <c r="AN267" s="4"/>
      <c r="AO267" s="4"/>
      <c r="AP267" s="4"/>
      <c r="AQ267" s="4"/>
      <c r="AR267" s="4"/>
      <c r="AS267" s="4"/>
      <c r="AT267" s="4"/>
      <c r="AU267" s="4"/>
      <c r="AV267" s="4"/>
      <c r="AW267" s="5">
        <f>COUNTBLANK(Wszystkie[Czy jesteś rodzicem / opiekunem absolwenta uczelni wyższej?])</f>
        <v>104</v>
      </c>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5">
        <f>COUNTBLANK(Wszystkie[Czy jesteś aktualnie pracownikiem administracyjnym uczelni wyższej?])</f>
        <v>110</v>
      </c>
      <c r="CR267" s="4"/>
      <c r="CS267" s="4"/>
      <c r="CT267" s="4"/>
      <c r="CU267" s="4"/>
      <c r="CV267" s="4"/>
      <c r="CW267" s="4"/>
      <c r="CX267" s="4"/>
      <c r="CY267" s="4"/>
      <c r="CZ267" s="4"/>
      <c r="DA267" s="5">
        <f>COUNTBLANK(Wszystkie[Czy jesteś aktualnie pracownikiem naukowym lub dydaktycznym uczelni wyższej?])</f>
        <v>112</v>
      </c>
      <c r="DB267" s="4"/>
      <c r="DC267" s="4"/>
      <c r="DD267" s="4"/>
      <c r="DE267" s="4"/>
      <c r="DF267" s="4"/>
      <c r="DG267" s="4"/>
      <c r="DH267" s="4"/>
      <c r="DI267" s="4"/>
      <c r="DJ267" s="4"/>
      <c r="DK267" s="5">
        <f>COUNTBLANK(Wszystkie[Czy jesteś przedstawicielem władz uczelni z grupy rektorów, prorektorów, dziekanów, prodziekanów, członków senatu lub członków rady uczelni?])</f>
        <v>112</v>
      </c>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5">
        <f>COUNTBLANK(Wszystkie[Czy jesteś przedstawicielem firmy, w której są zatrudniani absolwenci uczelni wyższych (tytuł licencjata, magistra lub wyższy)?])</f>
        <v>113</v>
      </c>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5">
        <f>COUNTBLANK(Wszystkie[Czy jesteś przedstawicielem władz samorządowych lub centralnych Rzeczypospolitej Polskiej?])</f>
        <v>117</v>
      </c>
    </row>
    <row r="268" spans="1:213" x14ac:dyDescent="0.45">
      <c r="N268">
        <f>SUM(N265:N267)</f>
        <v>261</v>
      </c>
      <c r="O268">
        <f t="shared" ref="O268:BZ268" si="0">SUM(O265:O267)</f>
        <v>261</v>
      </c>
      <c r="P268">
        <f t="shared" si="0"/>
        <v>0</v>
      </c>
      <c r="Q268">
        <f t="shared" si="0"/>
        <v>0</v>
      </c>
      <c r="R268">
        <f t="shared" si="0"/>
        <v>0</v>
      </c>
      <c r="S268">
        <f t="shared" si="0"/>
        <v>0</v>
      </c>
      <c r="T268">
        <f t="shared" si="0"/>
        <v>0</v>
      </c>
      <c r="U268">
        <f t="shared" si="0"/>
        <v>0</v>
      </c>
      <c r="V268">
        <f t="shared" si="0"/>
        <v>0</v>
      </c>
      <c r="W268">
        <f t="shared" si="0"/>
        <v>0</v>
      </c>
      <c r="X268">
        <f t="shared" si="0"/>
        <v>0</v>
      </c>
      <c r="Y268">
        <f t="shared" si="0"/>
        <v>0</v>
      </c>
      <c r="Z268">
        <f t="shared" si="0"/>
        <v>0</v>
      </c>
      <c r="AA268">
        <f t="shared" si="0"/>
        <v>0</v>
      </c>
      <c r="AB268">
        <f t="shared" si="0"/>
        <v>0</v>
      </c>
      <c r="AC268">
        <f t="shared" si="0"/>
        <v>0</v>
      </c>
      <c r="AD268">
        <f t="shared" si="0"/>
        <v>0</v>
      </c>
      <c r="AE268">
        <f t="shared" si="0"/>
        <v>261</v>
      </c>
      <c r="AF268">
        <f t="shared" si="0"/>
        <v>0</v>
      </c>
      <c r="AG268">
        <f t="shared" si="0"/>
        <v>0</v>
      </c>
      <c r="AH268">
        <f t="shared" si="0"/>
        <v>0</v>
      </c>
      <c r="AI268">
        <f t="shared" si="0"/>
        <v>0</v>
      </c>
      <c r="AJ268">
        <f t="shared" si="0"/>
        <v>0</v>
      </c>
      <c r="AK268">
        <f t="shared" si="0"/>
        <v>0</v>
      </c>
      <c r="AL268">
        <f t="shared" si="0"/>
        <v>0</v>
      </c>
      <c r="AM268">
        <f t="shared" si="0"/>
        <v>0</v>
      </c>
      <c r="AN268">
        <f t="shared" si="0"/>
        <v>0</v>
      </c>
      <c r="AO268">
        <f t="shared" si="0"/>
        <v>0</v>
      </c>
      <c r="AP268">
        <f t="shared" si="0"/>
        <v>0</v>
      </c>
      <c r="AQ268">
        <f t="shared" si="0"/>
        <v>0</v>
      </c>
      <c r="AR268">
        <f t="shared" si="0"/>
        <v>0</v>
      </c>
      <c r="AS268">
        <f t="shared" si="0"/>
        <v>0</v>
      </c>
      <c r="AT268">
        <f t="shared" si="0"/>
        <v>0</v>
      </c>
      <c r="AU268">
        <f t="shared" si="0"/>
        <v>0</v>
      </c>
      <c r="AV268">
        <f t="shared" si="0"/>
        <v>0</v>
      </c>
      <c r="AW268">
        <f t="shared" si="0"/>
        <v>261</v>
      </c>
      <c r="AX268">
        <f t="shared" si="0"/>
        <v>0</v>
      </c>
      <c r="AY268">
        <f t="shared" si="0"/>
        <v>0</v>
      </c>
      <c r="AZ268">
        <f t="shared" si="0"/>
        <v>0</v>
      </c>
      <c r="BA268">
        <f t="shared" si="0"/>
        <v>0</v>
      </c>
      <c r="BB268">
        <f t="shared" si="0"/>
        <v>0</v>
      </c>
      <c r="BC268">
        <f t="shared" si="0"/>
        <v>0</v>
      </c>
      <c r="BD268">
        <f t="shared" si="0"/>
        <v>0</v>
      </c>
      <c r="BE268">
        <f t="shared" si="0"/>
        <v>0</v>
      </c>
      <c r="BF268">
        <f t="shared" si="0"/>
        <v>0</v>
      </c>
      <c r="BG268">
        <f t="shared" si="0"/>
        <v>0</v>
      </c>
      <c r="BH268">
        <f t="shared" si="0"/>
        <v>0</v>
      </c>
      <c r="BI268">
        <f t="shared" si="0"/>
        <v>0</v>
      </c>
      <c r="BJ268">
        <f t="shared" si="0"/>
        <v>0</v>
      </c>
      <c r="BK268">
        <f t="shared" si="0"/>
        <v>0</v>
      </c>
      <c r="BL268">
        <f t="shared" si="0"/>
        <v>0</v>
      </c>
      <c r="BM268">
        <f t="shared" si="0"/>
        <v>0</v>
      </c>
      <c r="BN268">
        <f t="shared" si="0"/>
        <v>0</v>
      </c>
      <c r="BO268">
        <f t="shared" si="0"/>
        <v>0</v>
      </c>
      <c r="BP268">
        <f t="shared" si="0"/>
        <v>0</v>
      </c>
      <c r="BQ268">
        <f t="shared" si="0"/>
        <v>0</v>
      </c>
      <c r="BR268">
        <f t="shared" si="0"/>
        <v>0</v>
      </c>
      <c r="BS268">
        <f t="shared" si="0"/>
        <v>0</v>
      </c>
      <c r="BT268">
        <f t="shared" si="0"/>
        <v>0</v>
      </c>
      <c r="BU268">
        <f t="shared" si="0"/>
        <v>0</v>
      </c>
      <c r="BV268">
        <f t="shared" si="0"/>
        <v>0</v>
      </c>
      <c r="BW268">
        <f t="shared" si="0"/>
        <v>0</v>
      </c>
      <c r="BX268">
        <f t="shared" si="0"/>
        <v>0</v>
      </c>
      <c r="BY268">
        <f t="shared" si="0"/>
        <v>0</v>
      </c>
      <c r="BZ268">
        <f t="shared" si="0"/>
        <v>0</v>
      </c>
      <c r="CA268">
        <f t="shared" ref="CA268:DK268" si="1">SUM(CA265:CA267)</f>
        <v>0</v>
      </c>
      <c r="CB268">
        <f t="shared" si="1"/>
        <v>0</v>
      </c>
      <c r="CC268">
        <f t="shared" si="1"/>
        <v>0</v>
      </c>
      <c r="CD268">
        <f t="shared" si="1"/>
        <v>0</v>
      </c>
      <c r="CE268">
        <f t="shared" si="1"/>
        <v>0</v>
      </c>
      <c r="CF268">
        <f t="shared" si="1"/>
        <v>0</v>
      </c>
      <c r="CG268">
        <f t="shared" si="1"/>
        <v>0</v>
      </c>
      <c r="CH268">
        <f t="shared" si="1"/>
        <v>0</v>
      </c>
      <c r="CI268">
        <f t="shared" si="1"/>
        <v>0</v>
      </c>
      <c r="CJ268">
        <f t="shared" si="1"/>
        <v>0</v>
      </c>
      <c r="CK268">
        <f t="shared" si="1"/>
        <v>0</v>
      </c>
      <c r="CL268">
        <f t="shared" si="1"/>
        <v>0</v>
      </c>
      <c r="CM268">
        <f t="shared" si="1"/>
        <v>0</v>
      </c>
      <c r="CN268">
        <f t="shared" si="1"/>
        <v>0</v>
      </c>
      <c r="CO268">
        <f t="shared" si="1"/>
        <v>0</v>
      </c>
      <c r="CP268">
        <f t="shared" si="1"/>
        <v>0</v>
      </c>
      <c r="CQ268">
        <f t="shared" si="1"/>
        <v>261</v>
      </c>
      <c r="CR268">
        <f t="shared" si="1"/>
        <v>0</v>
      </c>
      <c r="CS268">
        <f t="shared" si="1"/>
        <v>0</v>
      </c>
      <c r="CT268">
        <f t="shared" si="1"/>
        <v>0</v>
      </c>
      <c r="CU268">
        <f t="shared" si="1"/>
        <v>0</v>
      </c>
      <c r="CV268">
        <f t="shared" si="1"/>
        <v>0</v>
      </c>
      <c r="CW268">
        <f t="shared" si="1"/>
        <v>0</v>
      </c>
      <c r="CX268">
        <f t="shared" si="1"/>
        <v>0</v>
      </c>
      <c r="CY268">
        <f t="shared" si="1"/>
        <v>0</v>
      </c>
      <c r="CZ268">
        <f t="shared" si="1"/>
        <v>0</v>
      </c>
      <c r="DA268">
        <f t="shared" si="1"/>
        <v>261</v>
      </c>
      <c r="DB268">
        <f t="shared" si="1"/>
        <v>0</v>
      </c>
      <c r="DC268">
        <f t="shared" si="1"/>
        <v>0</v>
      </c>
      <c r="DD268">
        <f t="shared" si="1"/>
        <v>0</v>
      </c>
      <c r="DE268">
        <f t="shared" si="1"/>
        <v>0</v>
      </c>
      <c r="DF268">
        <f t="shared" si="1"/>
        <v>0</v>
      </c>
      <c r="DG268">
        <f t="shared" si="1"/>
        <v>0</v>
      </c>
      <c r="DH268">
        <f t="shared" si="1"/>
        <v>0</v>
      </c>
      <c r="DI268">
        <f t="shared" si="1"/>
        <v>0</v>
      </c>
      <c r="DJ268">
        <f t="shared" si="1"/>
        <v>0</v>
      </c>
      <c r="DK268">
        <f t="shared" si="1"/>
        <v>261</v>
      </c>
      <c r="DL268">
        <f t="shared" ref="DL268:EQ268" si="2">SUM(DL265:DL267)</f>
        <v>0</v>
      </c>
      <c r="DM268">
        <f t="shared" si="2"/>
        <v>0</v>
      </c>
      <c r="DN268">
        <f t="shared" si="2"/>
        <v>0</v>
      </c>
      <c r="DO268">
        <f t="shared" si="2"/>
        <v>0</v>
      </c>
      <c r="DP268">
        <f t="shared" si="2"/>
        <v>0</v>
      </c>
      <c r="DQ268">
        <f t="shared" si="2"/>
        <v>0</v>
      </c>
      <c r="DR268">
        <f t="shared" si="2"/>
        <v>0</v>
      </c>
      <c r="DS268">
        <f t="shared" si="2"/>
        <v>0</v>
      </c>
      <c r="DT268">
        <f t="shared" si="2"/>
        <v>0</v>
      </c>
      <c r="DU268">
        <f t="shared" si="2"/>
        <v>0</v>
      </c>
      <c r="DV268">
        <f t="shared" si="2"/>
        <v>0</v>
      </c>
      <c r="DW268">
        <f t="shared" si="2"/>
        <v>0</v>
      </c>
      <c r="DX268">
        <f t="shared" si="2"/>
        <v>0</v>
      </c>
      <c r="DY268">
        <f t="shared" si="2"/>
        <v>0</v>
      </c>
      <c r="DZ268">
        <f t="shared" si="2"/>
        <v>0</v>
      </c>
      <c r="EA268">
        <f t="shared" si="2"/>
        <v>0</v>
      </c>
      <c r="EB268">
        <f t="shared" si="2"/>
        <v>0</v>
      </c>
      <c r="EC268">
        <f t="shared" si="2"/>
        <v>0</v>
      </c>
      <c r="ED268">
        <f t="shared" si="2"/>
        <v>0</v>
      </c>
      <c r="EE268">
        <f t="shared" si="2"/>
        <v>0</v>
      </c>
      <c r="EF268">
        <f t="shared" si="2"/>
        <v>0</v>
      </c>
      <c r="EG268">
        <f t="shared" si="2"/>
        <v>0</v>
      </c>
      <c r="EH268">
        <f t="shared" si="2"/>
        <v>0</v>
      </c>
      <c r="EI268">
        <f t="shared" si="2"/>
        <v>0</v>
      </c>
      <c r="EJ268">
        <f t="shared" si="2"/>
        <v>0</v>
      </c>
      <c r="EK268">
        <f t="shared" si="2"/>
        <v>0</v>
      </c>
      <c r="EL268">
        <f t="shared" si="2"/>
        <v>0</v>
      </c>
      <c r="EM268">
        <f t="shared" si="2"/>
        <v>0</v>
      </c>
      <c r="EN268">
        <f t="shared" si="2"/>
        <v>261</v>
      </c>
      <c r="EO268">
        <f t="shared" si="2"/>
        <v>0</v>
      </c>
      <c r="EP268">
        <f t="shared" si="2"/>
        <v>0</v>
      </c>
      <c r="EQ268">
        <f t="shared" si="2"/>
        <v>0</v>
      </c>
      <c r="ER268">
        <f t="shared" ref="ER268:FN268" si="3">SUM(ER265:ER267)</f>
        <v>0</v>
      </c>
      <c r="ES268">
        <f t="shared" si="3"/>
        <v>0</v>
      </c>
      <c r="ET268">
        <f t="shared" si="3"/>
        <v>0</v>
      </c>
      <c r="EU268">
        <f t="shared" si="3"/>
        <v>0</v>
      </c>
      <c r="EV268">
        <f t="shared" si="3"/>
        <v>0</v>
      </c>
      <c r="EW268">
        <f t="shared" si="3"/>
        <v>0</v>
      </c>
      <c r="EX268">
        <f t="shared" si="3"/>
        <v>0</v>
      </c>
      <c r="EY268">
        <f t="shared" si="3"/>
        <v>0</v>
      </c>
      <c r="EZ268">
        <f t="shared" si="3"/>
        <v>0</v>
      </c>
      <c r="FA268">
        <f t="shared" si="3"/>
        <v>0</v>
      </c>
      <c r="FB268">
        <f t="shared" si="3"/>
        <v>0</v>
      </c>
      <c r="FC268">
        <f t="shared" si="3"/>
        <v>0</v>
      </c>
      <c r="FD268">
        <f t="shared" si="3"/>
        <v>0</v>
      </c>
      <c r="FE268">
        <f t="shared" si="3"/>
        <v>0</v>
      </c>
      <c r="FF268">
        <f t="shared" si="3"/>
        <v>0</v>
      </c>
      <c r="FG268">
        <f t="shared" si="3"/>
        <v>0</v>
      </c>
      <c r="FH268">
        <f t="shared" si="3"/>
        <v>0</v>
      </c>
      <c r="FI268">
        <f t="shared" si="3"/>
        <v>0</v>
      </c>
      <c r="FJ268">
        <f t="shared" si="3"/>
        <v>0</v>
      </c>
      <c r="FK268">
        <f t="shared" si="3"/>
        <v>0</v>
      </c>
      <c r="FL268">
        <f t="shared" si="3"/>
        <v>0</v>
      </c>
      <c r="FM268">
        <f t="shared" si="3"/>
        <v>0</v>
      </c>
      <c r="FN268">
        <f t="shared" si="3"/>
        <v>261</v>
      </c>
    </row>
    <row r="274" spans="14:15" x14ac:dyDescent="0.45">
      <c r="N274" t="s">
        <v>2336</v>
      </c>
    </row>
    <row r="275" spans="14:15" x14ac:dyDescent="0.45">
      <c r="N275" t="s">
        <v>2337</v>
      </c>
    </row>
    <row r="276" spans="14:15" x14ac:dyDescent="0.45">
      <c r="N276" t="s">
        <v>2340</v>
      </c>
      <c r="O276" s="30">
        <f>138/259</f>
        <v>0.53281853281853286</v>
      </c>
    </row>
    <row r="277" spans="14:15" x14ac:dyDescent="0.45">
      <c r="N277" t="s">
        <v>2339</v>
      </c>
    </row>
    <row r="278" spans="14:15" x14ac:dyDescent="0.45">
      <c r="N278" t="s">
        <v>2338</v>
      </c>
    </row>
    <row r="279" spans="14:15" x14ac:dyDescent="0.45">
      <c r="N279" t="s">
        <v>2340</v>
      </c>
      <c r="O279" s="30">
        <f>133/249</f>
        <v>0.53413654618473894</v>
      </c>
    </row>
  </sheetData>
  <sheetProtection formatCells="0" formatColumns="0" formatRows="0" insertColumns="0" insertRows="0" insertHyperlinks="0" deleteColumns="0" deleteRows="0" sort="0" autoFilter="0" pivotTables="0"/>
  <phoneticPr fontId="1" type="noConversion"/>
  <conditionalFormatting sqref="K2:K263">
    <cfRule type="duplicateValues" dxfId="108"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5BB41-8CD2-4818-A787-7CA57EF99F14}">
  <dimension ref="A1:HD140"/>
  <sheetViews>
    <sheetView topLeftCell="A4" workbookViewId="0"/>
  </sheetViews>
  <sheetFormatPr defaultRowHeight="14.25" x14ac:dyDescent="0.45"/>
  <cols>
    <col min="1" max="1" width="18.06640625" style="2" customWidth="1"/>
    <col min="2" max="2" width="5.1328125" style="2" customWidth="1"/>
    <col min="4" max="4" width="9.33203125" style="2" customWidth="1"/>
    <col min="5" max="5" width="9.53125" style="2" customWidth="1"/>
    <col min="6" max="6" width="34.265625" style="2" customWidth="1"/>
    <col min="8" max="8" width="16.46484375" style="2" customWidth="1"/>
    <col min="10" max="10" width="20.46484375" style="2" customWidth="1"/>
    <col min="12" max="12" width="26.73046875" style="2" customWidth="1"/>
    <col min="13" max="13" width="9.06640625" style="2"/>
    <col min="15" max="15" width="22.46484375" style="2" customWidth="1"/>
    <col min="17" max="17" width="15.265625" style="2" customWidth="1"/>
    <col min="18" max="18" width="10.46484375" style="2" customWidth="1"/>
    <col min="19" max="19" width="26.59765625" style="2" customWidth="1"/>
    <col min="20" max="20" width="33.6640625" style="2" customWidth="1"/>
    <col min="21" max="31" width="34.265625" style="2" customWidth="1"/>
    <col min="32" max="32" width="10.86328125" style="2" customWidth="1"/>
    <col min="33" max="33" width="29.06640625" style="2" customWidth="1"/>
    <col min="34" max="34" width="15.86328125" style="2" customWidth="1"/>
    <col min="35" max="49" width="34.265625" style="2" customWidth="1"/>
    <col min="50" max="50" width="9.06640625" style="2"/>
    <col min="51" max="51" width="10.86328125" style="2" customWidth="1"/>
    <col min="52" max="52" width="30.796875" style="2" customWidth="1"/>
    <col min="53" max="53" width="16.86328125" style="2" customWidth="1"/>
    <col min="54" max="67" width="34.265625" style="2" customWidth="1"/>
    <col min="68" max="68" width="16.86328125" style="2" customWidth="1"/>
    <col min="69" max="82" width="34.265625" style="2" customWidth="1"/>
    <col min="83" max="83" width="17.86328125" style="2" customWidth="1"/>
    <col min="84" max="97" width="34.265625" style="2" customWidth="1"/>
    <col min="98" max="98" width="17.86328125" style="2" customWidth="1"/>
    <col min="99" max="101" width="34.265625" style="2" customWidth="1"/>
    <col min="102" max="102" width="26.19921875" style="2" customWidth="1"/>
    <col min="103" max="104" width="34.265625" style="2" customWidth="1"/>
    <col min="105" max="105" width="30.6640625" style="2" customWidth="1"/>
    <col min="106" max="111" width="34.265625" style="2" customWidth="1"/>
    <col min="112" max="112" width="28.19921875" style="2" customWidth="1"/>
    <col min="113" max="114" width="34.265625" style="2" customWidth="1"/>
    <col min="115" max="115" width="32.6640625" style="2" customWidth="1"/>
    <col min="116" max="120" width="34.265625" style="2" customWidth="1"/>
    <col min="121" max="121" width="27.3984375" style="2" customWidth="1"/>
    <col min="122" max="124" width="11.86328125" style="2" customWidth="1"/>
    <col min="125" max="139" width="34.265625" style="2" customWidth="1"/>
    <col min="140" max="140" width="17.86328125" style="2" customWidth="1"/>
    <col min="141" max="147" width="34.265625" style="2" customWidth="1"/>
    <col min="148" max="148" width="17.86328125" style="2" customWidth="1"/>
    <col min="149" max="150" width="34.265625" style="2" customWidth="1"/>
    <col min="151" max="151" width="25.6640625" style="2" customWidth="1"/>
    <col min="152" max="158" width="34.265625" style="2" customWidth="1"/>
    <col min="159" max="159" width="32.265625" style="2" customWidth="1"/>
    <col min="160" max="177" width="34.265625" style="2" customWidth="1"/>
    <col min="178" max="178" width="27.6640625" style="2" customWidth="1"/>
    <col min="179" max="179" width="34.06640625" style="2" customWidth="1"/>
    <col min="180" max="186" width="34.265625" style="2" customWidth="1"/>
    <col min="187" max="187" width="17.86328125" style="2" customWidth="1"/>
    <col min="188" max="188" width="34.265625" style="2" customWidth="1"/>
    <col min="189" max="189" width="32.53125" style="2" customWidth="1"/>
    <col min="190" max="198" width="34.265625" style="2" customWidth="1"/>
    <col min="199" max="199" width="33.19921875" style="2" customWidth="1"/>
    <col min="200" max="209" width="34.265625" style="2" customWidth="1"/>
    <col min="210" max="211" width="11.86328125" style="2" customWidth="1"/>
    <col min="212" max="212" width="9.06640625" style="2"/>
    <col min="213" max="213" width="14.265625" style="2" customWidth="1"/>
    <col min="214" max="214" width="34.265625" style="2" customWidth="1"/>
    <col min="215" max="215" width="18.86328125" style="2" customWidth="1"/>
    <col min="216" max="217" width="34.265625" style="2" customWidth="1"/>
    <col min="218" max="16384" width="9.06640625" style="2"/>
  </cols>
  <sheetData>
    <row r="1" spans="1:212" x14ac:dyDescent="0.45">
      <c r="A1" s="2" t="s">
        <v>9</v>
      </c>
      <c r="B1" s="2" t="s">
        <v>0</v>
      </c>
      <c r="C1" s="2" t="s">
        <v>1</v>
      </c>
      <c r="D1" s="2" t="s">
        <v>2</v>
      </c>
      <c r="E1" s="2" t="s">
        <v>3</v>
      </c>
      <c r="F1" s="2" t="s">
        <v>4</v>
      </c>
      <c r="G1" s="2" t="s">
        <v>5</v>
      </c>
      <c r="H1" s="2" t="s">
        <v>6</v>
      </c>
      <c r="I1" s="2" t="s">
        <v>7</v>
      </c>
      <c r="J1" s="2" t="s">
        <v>8</v>
      </c>
      <c r="K1" s="2" t="s">
        <v>10</v>
      </c>
      <c r="L1" s="2" t="s">
        <v>11</v>
      </c>
      <c r="M1" s="2" t="s">
        <v>12</v>
      </c>
      <c r="N1" s="2" t="s">
        <v>13</v>
      </c>
      <c r="O1" s="2" t="s">
        <v>14</v>
      </c>
      <c r="P1" s="2" t="s">
        <v>15</v>
      </c>
      <c r="Q1" s="2" t="s">
        <v>16</v>
      </c>
      <c r="R1" s="2" t="s">
        <v>17</v>
      </c>
      <c r="U1" s="2" t="s">
        <v>18</v>
      </c>
      <c r="V1" s="2" t="s">
        <v>19</v>
      </c>
      <c r="X1" s="2" t="s">
        <v>20</v>
      </c>
      <c r="Y1" s="2" t="s">
        <v>21</v>
      </c>
      <c r="AA1" s="2" t="s">
        <v>22</v>
      </c>
      <c r="AC1" s="2" t="s">
        <v>23</v>
      </c>
      <c r="AD1" s="2" t="s">
        <v>24</v>
      </c>
      <c r="AE1" s="2" t="s">
        <v>25</v>
      </c>
      <c r="AF1" s="2" t="s">
        <v>26</v>
      </c>
      <c r="AG1" s="2" t="s">
        <v>27</v>
      </c>
      <c r="AH1" s="2" t="s">
        <v>28</v>
      </c>
      <c r="AI1" s="2" t="s">
        <v>17</v>
      </c>
      <c r="AN1" s="2" t="s">
        <v>29</v>
      </c>
      <c r="AO1" s="2" t="s">
        <v>30</v>
      </c>
      <c r="AQ1" s="2" t="s">
        <v>31</v>
      </c>
      <c r="AR1" s="2" t="s">
        <v>32</v>
      </c>
      <c r="AT1" s="2" t="s">
        <v>33</v>
      </c>
      <c r="AV1" s="2" t="s">
        <v>34</v>
      </c>
      <c r="AW1" s="2" t="s">
        <v>35</v>
      </c>
      <c r="AX1" s="2" t="s">
        <v>36</v>
      </c>
      <c r="AY1" s="2" t="s">
        <v>37</v>
      </c>
      <c r="AZ1" s="2" t="s">
        <v>38</v>
      </c>
      <c r="BA1" s="2" t="s">
        <v>39</v>
      </c>
      <c r="BB1" s="2" t="s">
        <v>17</v>
      </c>
      <c r="BG1" s="2" t="s">
        <v>40</v>
      </c>
      <c r="BH1" s="2" t="s">
        <v>41</v>
      </c>
      <c r="BI1" s="2" t="s">
        <v>42</v>
      </c>
      <c r="BK1" s="2" t="s">
        <v>43</v>
      </c>
      <c r="BL1" s="2" t="s">
        <v>44</v>
      </c>
      <c r="BM1" s="2" t="s">
        <v>36</v>
      </c>
      <c r="BN1" s="2" t="s">
        <v>37</v>
      </c>
      <c r="BO1" s="2" t="s">
        <v>38</v>
      </c>
      <c r="BP1" s="2" t="s">
        <v>39</v>
      </c>
      <c r="BQ1" s="2" t="s">
        <v>17</v>
      </c>
      <c r="BV1" s="2" t="s">
        <v>40</v>
      </c>
      <c r="BW1" s="2" t="s">
        <v>41</v>
      </c>
      <c r="BX1" s="2" t="s">
        <v>42</v>
      </c>
      <c r="BZ1" s="2" t="s">
        <v>43</v>
      </c>
      <c r="CA1" s="2" t="s">
        <v>45</v>
      </c>
      <c r="CB1" s="2" t="s">
        <v>36</v>
      </c>
      <c r="CC1" s="2" t="s">
        <v>37</v>
      </c>
      <c r="CD1" s="2" t="s">
        <v>38</v>
      </c>
      <c r="CE1" s="2" t="s">
        <v>39</v>
      </c>
      <c r="CF1" s="2" t="s">
        <v>17</v>
      </c>
      <c r="CK1" s="2" t="s">
        <v>40</v>
      </c>
      <c r="CL1" s="2" t="s">
        <v>41</v>
      </c>
      <c r="CM1" s="2" t="s">
        <v>42</v>
      </c>
      <c r="CO1" s="2" t="s">
        <v>43</v>
      </c>
      <c r="CP1" s="2" t="s">
        <v>46</v>
      </c>
      <c r="CQ1" s="2" t="s">
        <v>47</v>
      </c>
      <c r="CR1" s="2" t="s">
        <v>48</v>
      </c>
      <c r="CS1" s="2" t="s">
        <v>17</v>
      </c>
      <c r="CY1" s="2" t="s">
        <v>41</v>
      </c>
      <c r="CZ1" s="2" t="s">
        <v>49</v>
      </c>
      <c r="DA1" s="2" t="s">
        <v>47</v>
      </c>
      <c r="DB1" s="2" t="s">
        <v>48</v>
      </c>
      <c r="DC1" s="2" t="s">
        <v>17</v>
      </c>
      <c r="DI1" s="2" t="s">
        <v>31</v>
      </c>
      <c r="DJ1" s="2" t="s">
        <v>50</v>
      </c>
      <c r="DK1" s="2" t="s">
        <v>51</v>
      </c>
      <c r="DO1" s="2" t="s">
        <v>52</v>
      </c>
      <c r="DP1" s="2" t="s">
        <v>17</v>
      </c>
      <c r="DW1" s="2" t="s">
        <v>53</v>
      </c>
      <c r="EE1" s="2" t="s">
        <v>54</v>
      </c>
      <c r="EM1" s="2" t="s">
        <v>55</v>
      </c>
      <c r="EN1" s="2" t="s">
        <v>56</v>
      </c>
      <c r="EO1" s="2" t="s">
        <v>57</v>
      </c>
      <c r="EP1" s="2" t="s">
        <v>58</v>
      </c>
      <c r="EQ1" s="2" t="s">
        <v>17</v>
      </c>
      <c r="ET1" s="2" t="s">
        <v>59</v>
      </c>
      <c r="EU1" s="2" t="s">
        <v>60</v>
      </c>
      <c r="EV1" s="2" t="s">
        <v>61</v>
      </c>
      <c r="EW1" s="2" t="s">
        <v>62</v>
      </c>
      <c r="EX1" s="2" t="s">
        <v>58</v>
      </c>
      <c r="EY1" s="2" t="s">
        <v>17</v>
      </c>
      <c r="FB1" s="2" t="s">
        <v>59</v>
      </c>
      <c r="FC1" s="2" t="s">
        <v>60</v>
      </c>
      <c r="FD1" s="2" t="s">
        <v>61</v>
      </c>
      <c r="FE1" s="2" t="s">
        <v>63</v>
      </c>
      <c r="FF1" s="2" t="s">
        <v>58</v>
      </c>
      <c r="FG1" s="2" t="s">
        <v>17</v>
      </c>
      <c r="FJ1" s="2" t="s">
        <v>59</v>
      </c>
      <c r="FK1" s="2" t="s">
        <v>60</v>
      </c>
      <c r="FL1" s="2" t="s">
        <v>64</v>
      </c>
      <c r="FM1" s="2" t="s">
        <v>65</v>
      </c>
      <c r="FN1" s="2" t="s">
        <v>66</v>
      </c>
      <c r="FO1" s="2" t="s">
        <v>67</v>
      </c>
      <c r="FP1" s="2" t="s">
        <v>57</v>
      </c>
      <c r="FQ1" s="2" t="s">
        <v>68</v>
      </c>
      <c r="FR1" s="2" t="s">
        <v>17</v>
      </c>
      <c r="FZ1" s="2" t="s">
        <v>69</v>
      </c>
      <c r="GA1" s="2" t="s">
        <v>70</v>
      </c>
      <c r="GB1" s="2" t="s">
        <v>68</v>
      </c>
      <c r="GC1" s="2" t="s">
        <v>17</v>
      </c>
      <c r="GJ1" s="2" t="s">
        <v>71</v>
      </c>
      <c r="GK1" s="2" t="s">
        <v>72</v>
      </c>
      <c r="GL1" s="2" t="s">
        <v>68</v>
      </c>
      <c r="GM1" s="2" t="s">
        <v>17</v>
      </c>
      <c r="GT1" s="2" t="s">
        <v>71</v>
      </c>
      <c r="GU1" s="2" t="s">
        <v>73</v>
      </c>
      <c r="GX1" s="2" t="s">
        <v>74</v>
      </c>
      <c r="GY1" s="2" t="s">
        <v>75</v>
      </c>
      <c r="GZ1" s="2" t="s">
        <v>76</v>
      </c>
      <c r="HB1" s="2" t="s">
        <v>77</v>
      </c>
      <c r="HC1" s="2" t="s">
        <v>78</v>
      </c>
      <c r="HD1" s="2" t="s">
        <v>79</v>
      </c>
    </row>
    <row r="2" spans="1:212" x14ac:dyDescent="0.45">
      <c r="A2" s="2" t="s">
        <v>9</v>
      </c>
      <c r="B2" s="2" t="s">
        <v>0</v>
      </c>
      <c r="C2" s="2" t="s">
        <v>1</v>
      </c>
      <c r="D2" s="2" t="s">
        <v>2</v>
      </c>
      <c r="E2" s="2" t="s">
        <v>3</v>
      </c>
      <c r="F2" s="2" t="s">
        <v>4</v>
      </c>
      <c r="G2" s="2" t="s">
        <v>5</v>
      </c>
      <c r="H2" s="2" t="s">
        <v>6</v>
      </c>
      <c r="I2" s="2" t="s">
        <v>7</v>
      </c>
      <c r="J2" s="2" t="s">
        <v>8</v>
      </c>
      <c r="K2" s="2" t="s">
        <v>10</v>
      </c>
      <c r="L2" s="2" t="s">
        <v>11</v>
      </c>
      <c r="M2" s="2" t="s">
        <v>12</v>
      </c>
      <c r="N2" s="2" t="s">
        <v>13</v>
      </c>
      <c r="O2" s="2" t="s">
        <v>14</v>
      </c>
      <c r="P2" s="2" t="s">
        <v>15</v>
      </c>
      <c r="Q2" s="2" t="s">
        <v>16</v>
      </c>
      <c r="R2" s="2" t="s">
        <v>80</v>
      </c>
      <c r="S2" s="2" t="s">
        <v>81</v>
      </c>
      <c r="T2" s="2" t="s">
        <v>82</v>
      </c>
      <c r="U2" s="2" t="s">
        <v>18</v>
      </c>
      <c r="V2" s="2" t="s">
        <v>83</v>
      </c>
      <c r="W2" s="2" t="s">
        <v>84</v>
      </c>
      <c r="X2" s="2" t="s">
        <v>20</v>
      </c>
      <c r="Y2" s="2" t="s">
        <v>21</v>
      </c>
      <c r="Z2" s="2" t="s">
        <v>2065</v>
      </c>
      <c r="AA2" s="2" t="s">
        <v>22</v>
      </c>
      <c r="AB2" s="2" t="s">
        <v>85</v>
      </c>
      <c r="AC2" s="2" t="s">
        <v>23</v>
      </c>
      <c r="AD2" s="2" t="s">
        <v>24</v>
      </c>
      <c r="AE2" s="2" t="s">
        <v>25</v>
      </c>
      <c r="AF2" s="2" t="s">
        <v>26</v>
      </c>
      <c r="AG2" s="2" t="s">
        <v>27</v>
      </c>
      <c r="AH2" s="2" t="s">
        <v>28</v>
      </c>
      <c r="AI2" s="2" t="s">
        <v>86</v>
      </c>
      <c r="AJ2" s="2" t="s">
        <v>2166</v>
      </c>
      <c r="AK2" s="2" t="s">
        <v>87</v>
      </c>
      <c r="AL2" s="2" t="s">
        <v>88</v>
      </c>
      <c r="AM2" s="2" t="s">
        <v>89</v>
      </c>
      <c r="AN2" s="2" t="s">
        <v>29</v>
      </c>
      <c r="AO2" s="2" t="s">
        <v>2167</v>
      </c>
      <c r="AP2" s="2" t="s">
        <v>2168</v>
      </c>
      <c r="AQ2" s="2" t="s">
        <v>31</v>
      </c>
      <c r="AR2" s="2" t="s">
        <v>32</v>
      </c>
      <c r="AS2" s="2" t="s">
        <v>2069</v>
      </c>
      <c r="AT2" s="2" t="s">
        <v>33</v>
      </c>
      <c r="AU2" s="2" t="s">
        <v>2169</v>
      </c>
      <c r="AV2" s="2" t="s">
        <v>34</v>
      </c>
      <c r="AW2" s="2" t="s">
        <v>35</v>
      </c>
      <c r="AX2" s="2" t="s">
        <v>36</v>
      </c>
      <c r="AY2" s="2" t="s">
        <v>37</v>
      </c>
      <c r="AZ2" s="2" t="s">
        <v>38</v>
      </c>
      <c r="BA2" s="2" t="s">
        <v>39</v>
      </c>
      <c r="BB2" s="2" t="s">
        <v>2170</v>
      </c>
      <c r="BC2" s="2" t="s">
        <v>2171</v>
      </c>
      <c r="BD2" s="2" t="s">
        <v>90</v>
      </c>
      <c r="BE2" s="2" t="s">
        <v>91</v>
      </c>
      <c r="BF2" s="2" t="s">
        <v>92</v>
      </c>
      <c r="BG2" s="2" t="s">
        <v>40</v>
      </c>
      <c r="BH2" s="2" t="s">
        <v>41</v>
      </c>
      <c r="BI2" s="2" t="s">
        <v>42</v>
      </c>
      <c r="BJ2" s="2" t="s">
        <v>2172</v>
      </c>
      <c r="BK2" s="2" t="s">
        <v>43</v>
      </c>
      <c r="BL2" s="2" t="s">
        <v>44</v>
      </c>
      <c r="BM2" s="2" t="s">
        <v>2173</v>
      </c>
      <c r="BN2" s="2" t="s">
        <v>2174</v>
      </c>
      <c r="BO2" s="2" t="s">
        <v>2175</v>
      </c>
      <c r="BP2" s="2" t="s">
        <v>2176</v>
      </c>
      <c r="BQ2" s="2" t="s">
        <v>2177</v>
      </c>
      <c r="BR2" s="2" t="s">
        <v>2178</v>
      </c>
      <c r="BS2" s="2" t="s">
        <v>2179</v>
      </c>
      <c r="BT2" s="2" t="s">
        <v>2180</v>
      </c>
      <c r="BU2" s="2" t="s">
        <v>2181</v>
      </c>
      <c r="BV2" s="2" t="s">
        <v>2182</v>
      </c>
      <c r="BW2" s="2" t="s">
        <v>2183</v>
      </c>
      <c r="BX2" s="2" t="s">
        <v>2184</v>
      </c>
      <c r="BY2" s="2" t="s">
        <v>2185</v>
      </c>
      <c r="BZ2" s="2" t="s">
        <v>2186</v>
      </c>
      <c r="CA2" s="2" t="s">
        <v>45</v>
      </c>
      <c r="CB2" s="2" t="s">
        <v>2187</v>
      </c>
      <c r="CC2" s="2" t="s">
        <v>2188</v>
      </c>
      <c r="CD2" s="2" t="s">
        <v>2189</v>
      </c>
      <c r="CE2" s="2" t="s">
        <v>2190</v>
      </c>
      <c r="CF2" s="2" t="s">
        <v>2191</v>
      </c>
      <c r="CG2" s="2" t="s">
        <v>2192</v>
      </c>
      <c r="CH2" s="2" t="s">
        <v>2193</v>
      </c>
      <c r="CI2" s="2" t="s">
        <v>2194</v>
      </c>
      <c r="CJ2" s="2" t="s">
        <v>2195</v>
      </c>
      <c r="CK2" s="2" t="s">
        <v>2196</v>
      </c>
      <c r="CL2" s="2" t="s">
        <v>2197</v>
      </c>
      <c r="CM2" s="2" t="s">
        <v>2198</v>
      </c>
      <c r="CN2" s="2" t="s">
        <v>2199</v>
      </c>
      <c r="CO2" s="2" t="s">
        <v>2200</v>
      </c>
      <c r="CP2" s="2" t="s">
        <v>46</v>
      </c>
      <c r="CQ2" s="2" t="s">
        <v>47</v>
      </c>
      <c r="CR2" s="2" t="s">
        <v>48</v>
      </c>
      <c r="CS2" s="2" t="s">
        <v>93</v>
      </c>
      <c r="CT2" s="2" t="s">
        <v>94</v>
      </c>
      <c r="CU2" s="2" t="s">
        <v>95</v>
      </c>
      <c r="CV2" s="2" t="s">
        <v>96</v>
      </c>
      <c r="CW2" s="2" t="s">
        <v>97</v>
      </c>
      <c r="CX2" s="2" t="s">
        <v>98</v>
      </c>
      <c r="CY2" s="2" t="s">
        <v>2201</v>
      </c>
      <c r="CZ2" s="2" t="s">
        <v>49</v>
      </c>
      <c r="DA2" s="2" t="s">
        <v>2202</v>
      </c>
      <c r="DB2" s="2" t="s">
        <v>2203</v>
      </c>
      <c r="DC2" s="2" t="s">
        <v>2204</v>
      </c>
      <c r="DD2" s="2" t="s">
        <v>2205</v>
      </c>
      <c r="DE2" s="2" t="s">
        <v>2206</v>
      </c>
      <c r="DF2" s="2" t="s">
        <v>2207</v>
      </c>
      <c r="DG2" s="2" t="s">
        <v>2208</v>
      </c>
      <c r="DH2" s="2" t="s">
        <v>2209</v>
      </c>
      <c r="DI2" s="2" t="s">
        <v>2210</v>
      </c>
      <c r="DJ2" s="2" t="s">
        <v>50</v>
      </c>
      <c r="DK2" s="2" t="s">
        <v>51</v>
      </c>
      <c r="DL2" s="2" t="s">
        <v>2211</v>
      </c>
      <c r="DM2" s="2" t="s">
        <v>2212</v>
      </c>
      <c r="DN2" s="2" t="s">
        <v>2213</v>
      </c>
      <c r="DO2" s="2" t="s">
        <v>52</v>
      </c>
      <c r="DP2" s="2" t="s">
        <v>99</v>
      </c>
      <c r="DQ2" s="2" t="s">
        <v>100</v>
      </c>
      <c r="DR2" s="2" t="s">
        <v>101</v>
      </c>
      <c r="DS2" s="2" t="s">
        <v>102</v>
      </c>
      <c r="DT2" s="2" t="s">
        <v>103</v>
      </c>
      <c r="DU2" s="2" t="s">
        <v>104</v>
      </c>
      <c r="DV2" s="2" t="s">
        <v>105</v>
      </c>
      <c r="DW2" s="2" t="s">
        <v>106</v>
      </c>
      <c r="DX2" s="2" t="s">
        <v>107</v>
      </c>
      <c r="DY2" s="2" t="s">
        <v>108</v>
      </c>
      <c r="DZ2" s="2" t="s">
        <v>109</v>
      </c>
      <c r="EA2" s="2" t="s">
        <v>110</v>
      </c>
      <c r="EB2" s="2" t="s">
        <v>111</v>
      </c>
      <c r="EC2" s="2" t="s">
        <v>112</v>
      </c>
      <c r="ED2" s="2" t="s">
        <v>2214</v>
      </c>
      <c r="EE2" s="2" t="s">
        <v>2215</v>
      </c>
      <c r="EF2" s="2" t="s">
        <v>2216</v>
      </c>
      <c r="EG2" s="2" t="s">
        <v>2217</v>
      </c>
      <c r="EH2" s="2" t="s">
        <v>2218</v>
      </c>
      <c r="EI2" s="2" t="s">
        <v>2219</v>
      </c>
      <c r="EJ2" s="2" t="s">
        <v>2220</v>
      </c>
      <c r="EK2" s="2" t="s">
        <v>2221</v>
      </c>
      <c r="EL2" s="2" t="s">
        <v>2222</v>
      </c>
      <c r="EM2" s="2" t="s">
        <v>55</v>
      </c>
      <c r="EN2" s="2" t="s">
        <v>56</v>
      </c>
      <c r="EO2" s="2" t="s">
        <v>57</v>
      </c>
      <c r="EP2" s="2" t="s">
        <v>58</v>
      </c>
      <c r="EQ2" s="2" t="s">
        <v>113</v>
      </c>
      <c r="ER2" s="2" t="s">
        <v>114</v>
      </c>
      <c r="ES2" s="2" t="s">
        <v>115</v>
      </c>
      <c r="ET2" s="2" t="s">
        <v>59</v>
      </c>
      <c r="EU2" s="2" t="s">
        <v>60</v>
      </c>
      <c r="EV2" s="2" t="s">
        <v>61</v>
      </c>
      <c r="EW2" s="2" t="s">
        <v>62</v>
      </c>
      <c r="EX2" s="2" t="s">
        <v>2223</v>
      </c>
      <c r="EY2" s="2" t="s">
        <v>2224</v>
      </c>
      <c r="EZ2" s="2" t="s">
        <v>2225</v>
      </c>
      <c r="FA2" s="2" t="s">
        <v>2226</v>
      </c>
      <c r="FB2" s="2" t="s">
        <v>2227</v>
      </c>
      <c r="FC2" s="2" t="s">
        <v>2228</v>
      </c>
      <c r="FD2" s="2" t="s">
        <v>2229</v>
      </c>
      <c r="FE2" s="2" t="s">
        <v>63</v>
      </c>
      <c r="FF2" s="2" t="s">
        <v>2230</v>
      </c>
      <c r="FG2" s="2" t="s">
        <v>2231</v>
      </c>
      <c r="FH2" s="2" t="s">
        <v>2232</v>
      </c>
      <c r="FI2" s="2" t="s">
        <v>2233</v>
      </c>
      <c r="FJ2" s="2" t="s">
        <v>2234</v>
      </c>
      <c r="FK2" s="2" t="s">
        <v>2235</v>
      </c>
      <c r="FL2" s="2" t="s">
        <v>64</v>
      </c>
      <c r="FM2" s="2" t="s">
        <v>65</v>
      </c>
      <c r="FN2" s="2" t="s">
        <v>66</v>
      </c>
      <c r="FO2" s="2" t="s">
        <v>67</v>
      </c>
      <c r="FP2" s="2" t="s">
        <v>2236</v>
      </c>
      <c r="FQ2" s="2" t="s">
        <v>68</v>
      </c>
      <c r="FR2" s="2" t="s">
        <v>116</v>
      </c>
      <c r="FS2" s="2" t="s">
        <v>2237</v>
      </c>
      <c r="FT2" s="2" t="s">
        <v>2238</v>
      </c>
      <c r="FU2" s="2" t="s">
        <v>2239</v>
      </c>
      <c r="FV2" s="2" t="s">
        <v>2240</v>
      </c>
      <c r="FW2" s="2" t="s">
        <v>2241</v>
      </c>
      <c r="FX2" s="2" t="s">
        <v>2242</v>
      </c>
      <c r="FY2" s="2" t="s">
        <v>2243</v>
      </c>
      <c r="FZ2" s="2" t="s">
        <v>69</v>
      </c>
      <c r="GA2" s="2" t="s">
        <v>70</v>
      </c>
      <c r="GB2" s="2" t="s">
        <v>2244</v>
      </c>
      <c r="GC2" s="2" t="s">
        <v>2245</v>
      </c>
      <c r="GD2" s="2" t="s">
        <v>2246</v>
      </c>
      <c r="GE2" s="2" t="s">
        <v>2247</v>
      </c>
      <c r="GF2" s="2" t="s">
        <v>2248</v>
      </c>
      <c r="GG2" s="2" t="s">
        <v>2249</v>
      </c>
      <c r="GH2" s="2" t="s">
        <v>2250</v>
      </c>
      <c r="GI2" s="2" t="s">
        <v>2251</v>
      </c>
      <c r="GJ2" s="2" t="s">
        <v>71</v>
      </c>
      <c r="GK2" s="2" t="s">
        <v>72</v>
      </c>
      <c r="GL2" s="2" t="s">
        <v>2252</v>
      </c>
      <c r="GM2" s="2" t="s">
        <v>2253</v>
      </c>
      <c r="GN2" s="2" t="s">
        <v>2254</v>
      </c>
      <c r="GO2" s="2" t="s">
        <v>2255</v>
      </c>
      <c r="GP2" s="2" t="s">
        <v>2256</v>
      </c>
      <c r="GQ2" s="2" t="s">
        <v>2257</v>
      </c>
      <c r="GR2" s="2" t="s">
        <v>2258</v>
      </c>
      <c r="GS2" s="2" t="s">
        <v>2259</v>
      </c>
      <c r="GT2" s="2" t="s">
        <v>2260</v>
      </c>
      <c r="GU2" s="2" t="s">
        <v>73</v>
      </c>
      <c r="GV2" s="2" t="s">
        <v>2261</v>
      </c>
      <c r="GW2" s="2" t="s">
        <v>2262</v>
      </c>
      <c r="GX2" s="2" t="s">
        <v>74</v>
      </c>
      <c r="GY2" s="2" t="s">
        <v>75</v>
      </c>
      <c r="GZ2" s="2" t="s">
        <v>76</v>
      </c>
      <c r="HA2" s="2" t="s">
        <v>2263</v>
      </c>
      <c r="HB2" s="2" t="s">
        <v>77</v>
      </c>
      <c r="HC2" s="2" t="s">
        <v>78</v>
      </c>
      <c r="HD2" s="2" t="s">
        <v>79</v>
      </c>
    </row>
    <row r="3" spans="1:212" x14ac:dyDescent="0.45">
      <c r="A3" s="2" t="s">
        <v>121</v>
      </c>
      <c r="B3" s="2">
        <v>1</v>
      </c>
      <c r="C3" s="2" t="s">
        <v>117</v>
      </c>
      <c r="D3" s="2" t="s">
        <v>118</v>
      </c>
      <c r="G3" s="2"/>
      <c r="I3" s="2" t="s">
        <v>119</v>
      </c>
      <c r="J3" s="2" t="s">
        <v>120</v>
      </c>
      <c r="K3" s="2">
        <v>65871</v>
      </c>
      <c r="L3" s="2">
        <v>0</v>
      </c>
      <c r="M3" s="2" t="s">
        <v>122</v>
      </c>
      <c r="N3" s="2" t="s">
        <v>123</v>
      </c>
      <c r="P3" s="2"/>
      <c r="AD3" s="2" t="s">
        <v>124</v>
      </c>
      <c r="AE3" s="2" t="s">
        <v>125</v>
      </c>
      <c r="AG3" s="2" t="s">
        <v>126</v>
      </c>
      <c r="AH3" s="2" t="s">
        <v>127</v>
      </c>
      <c r="AI3" s="2" t="s">
        <v>128</v>
      </c>
      <c r="AJ3" s="2" t="s">
        <v>128</v>
      </c>
      <c r="AK3" s="2" t="s">
        <v>129</v>
      </c>
      <c r="AL3" s="2" t="s">
        <v>129</v>
      </c>
      <c r="AM3" s="2" t="s">
        <v>129</v>
      </c>
      <c r="AN3" s="2" t="s">
        <v>130</v>
      </c>
      <c r="AO3" s="2" t="s">
        <v>131</v>
      </c>
      <c r="AP3" s="2" t="s">
        <v>132</v>
      </c>
      <c r="AQ3" s="2" t="s">
        <v>133</v>
      </c>
      <c r="AR3" s="2" t="s">
        <v>134</v>
      </c>
      <c r="AS3" s="2" t="s">
        <v>135</v>
      </c>
      <c r="AU3" s="2" t="s">
        <v>136</v>
      </c>
      <c r="AV3" s="2" t="s">
        <v>123</v>
      </c>
      <c r="CP3" s="2" t="s">
        <v>123</v>
      </c>
      <c r="CZ3" s="2" t="s">
        <v>123</v>
      </c>
      <c r="DJ3" s="2" t="s">
        <v>123</v>
      </c>
      <c r="EM3" s="2" t="s">
        <v>123</v>
      </c>
      <c r="FM3" s="2" t="s">
        <v>123</v>
      </c>
      <c r="FN3" s="2" t="s">
        <v>132</v>
      </c>
      <c r="GU3" s="2" t="s">
        <v>137</v>
      </c>
      <c r="GV3" s="2" t="s">
        <v>138</v>
      </c>
      <c r="GW3" s="2" t="s">
        <v>139</v>
      </c>
      <c r="GX3" s="2" t="s">
        <v>140</v>
      </c>
      <c r="GY3" s="2">
        <v>1987</v>
      </c>
      <c r="GZ3" s="2" t="s">
        <v>141</v>
      </c>
      <c r="HB3" s="2" t="s">
        <v>142</v>
      </c>
      <c r="HC3" s="2" t="s">
        <v>142</v>
      </c>
      <c r="HD3" s="2" t="s">
        <v>143</v>
      </c>
    </row>
    <row r="4" spans="1:212" x14ac:dyDescent="0.45">
      <c r="A4" s="2" t="s">
        <v>146</v>
      </c>
      <c r="B4" s="2">
        <v>2</v>
      </c>
      <c r="C4" s="2" t="s">
        <v>144</v>
      </c>
      <c r="D4" s="2" t="s">
        <v>118</v>
      </c>
      <c r="G4" s="2"/>
      <c r="I4" s="2" t="s">
        <v>119</v>
      </c>
      <c r="J4" s="2" t="s">
        <v>145</v>
      </c>
      <c r="K4" s="2">
        <v>1573</v>
      </c>
      <c r="L4" s="2">
        <v>0</v>
      </c>
      <c r="M4" s="2" t="s">
        <v>122</v>
      </c>
      <c r="N4" s="2" t="s">
        <v>123</v>
      </c>
      <c r="P4" s="2"/>
      <c r="AD4" s="2" t="s">
        <v>124</v>
      </c>
      <c r="AE4" s="2" t="s">
        <v>147</v>
      </c>
      <c r="AF4" s="2">
        <v>1986</v>
      </c>
      <c r="AG4" s="2" t="s">
        <v>148</v>
      </c>
      <c r="AH4" s="2" t="s">
        <v>149</v>
      </c>
      <c r="AI4" s="2" t="s">
        <v>150</v>
      </c>
      <c r="AJ4" s="2" t="s">
        <v>150</v>
      </c>
      <c r="AK4" s="2" t="s">
        <v>150</v>
      </c>
      <c r="AL4" s="2" t="s">
        <v>151</v>
      </c>
      <c r="AM4" s="2" t="s">
        <v>150</v>
      </c>
      <c r="AN4" s="2">
        <v>3</v>
      </c>
      <c r="AO4" s="2" t="s">
        <v>152</v>
      </c>
      <c r="AP4" s="2" t="s">
        <v>153</v>
      </c>
      <c r="AQ4" s="2" t="s">
        <v>154</v>
      </c>
      <c r="AR4" s="2" t="s">
        <v>155</v>
      </c>
      <c r="AS4" s="2" t="s">
        <v>156</v>
      </c>
      <c r="AT4" s="2" t="s">
        <v>157</v>
      </c>
      <c r="AU4" s="2" t="s">
        <v>158</v>
      </c>
      <c r="AV4" s="2" t="s">
        <v>159</v>
      </c>
      <c r="AW4" s="2">
        <v>2</v>
      </c>
      <c r="AX4" s="2" t="s">
        <v>160</v>
      </c>
      <c r="AY4" s="2">
        <v>2013</v>
      </c>
      <c r="AZ4" s="2" t="s">
        <v>148</v>
      </c>
      <c r="BA4" s="2" t="s">
        <v>161</v>
      </c>
      <c r="BB4" s="2" t="s">
        <v>162</v>
      </c>
      <c r="BC4" s="2" t="s">
        <v>150</v>
      </c>
      <c r="BD4" s="2" t="s">
        <v>150</v>
      </c>
      <c r="BE4" s="2" t="s">
        <v>150</v>
      </c>
      <c r="BF4" s="2" t="s">
        <v>150</v>
      </c>
      <c r="BG4" s="2" t="s">
        <v>163</v>
      </c>
      <c r="BH4" s="2" t="s">
        <v>164</v>
      </c>
      <c r="BI4" s="2" t="s">
        <v>157</v>
      </c>
      <c r="BK4" s="2" t="s">
        <v>165</v>
      </c>
      <c r="BL4" s="2" t="s">
        <v>166</v>
      </c>
      <c r="BM4" s="2" t="s">
        <v>167</v>
      </c>
      <c r="BN4" s="2">
        <v>2015</v>
      </c>
      <c r="BO4" s="2" t="s">
        <v>148</v>
      </c>
      <c r="BP4" s="2" t="s">
        <v>168</v>
      </c>
      <c r="BQ4" s="2" t="s">
        <v>150</v>
      </c>
      <c r="BR4" s="2" t="s">
        <v>169</v>
      </c>
      <c r="BS4" s="2" t="s">
        <v>150</v>
      </c>
      <c r="BT4" s="2" t="s">
        <v>150</v>
      </c>
      <c r="BU4" s="2" t="s">
        <v>150</v>
      </c>
      <c r="BV4" s="2" t="s">
        <v>170</v>
      </c>
      <c r="BW4" s="2" t="s">
        <v>171</v>
      </c>
      <c r="BX4" s="2" t="s">
        <v>172</v>
      </c>
      <c r="CA4" s="2" t="s">
        <v>173</v>
      </c>
      <c r="CP4" s="2" t="s">
        <v>123</v>
      </c>
      <c r="CZ4" s="2" t="s">
        <v>123</v>
      </c>
      <c r="DJ4" s="2" t="s">
        <v>174</v>
      </c>
      <c r="DN4" s="2" t="s">
        <v>175</v>
      </c>
      <c r="DO4" s="2" t="s">
        <v>176</v>
      </c>
      <c r="DP4" s="2" t="s">
        <v>162</v>
      </c>
      <c r="DQ4" s="2" t="s">
        <v>150</v>
      </c>
      <c r="DR4" s="2" t="s">
        <v>151</v>
      </c>
      <c r="DS4" s="2" t="s">
        <v>151</v>
      </c>
      <c r="DT4" s="2" t="s">
        <v>162</v>
      </c>
      <c r="DU4" s="2" t="s">
        <v>162</v>
      </c>
      <c r="DV4" s="2" t="s">
        <v>150</v>
      </c>
      <c r="DW4" s="2">
        <v>25</v>
      </c>
      <c r="DX4" s="2">
        <v>25</v>
      </c>
      <c r="DY4" s="2">
        <v>2</v>
      </c>
      <c r="DZ4" s="2">
        <v>5</v>
      </c>
      <c r="EA4" s="2">
        <v>8</v>
      </c>
      <c r="EB4" s="2">
        <v>25</v>
      </c>
      <c r="EC4" s="2">
        <v>10</v>
      </c>
      <c r="EE4" s="2">
        <v>20</v>
      </c>
      <c r="EF4" s="2">
        <v>20</v>
      </c>
      <c r="EG4" s="2">
        <v>1</v>
      </c>
      <c r="EH4" s="2">
        <v>4</v>
      </c>
      <c r="EI4" s="2">
        <v>25</v>
      </c>
      <c r="EJ4" s="2">
        <v>25</v>
      </c>
      <c r="EK4" s="2">
        <v>5</v>
      </c>
      <c r="EM4" s="2" t="s">
        <v>177</v>
      </c>
      <c r="EN4" s="2" t="s">
        <v>178</v>
      </c>
      <c r="EO4" s="2">
        <v>1</v>
      </c>
      <c r="EP4" s="2" t="s">
        <v>179</v>
      </c>
      <c r="EQ4" s="2" t="s">
        <v>150</v>
      </c>
      <c r="ER4" s="2" t="s">
        <v>150</v>
      </c>
      <c r="ES4" s="2" t="s">
        <v>151</v>
      </c>
      <c r="ET4" s="2" t="s">
        <v>180</v>
      </c>
      <c r="EU4" s="2" t="s">
        <v>181</v>
      </c>
      <c r="EV4" s="2" t="s">
        <v>182</v>
      </c>
      <c r="EW4" s="2" t="s">
        <v>173</v>
      </c>
      <c r="FM4" s="2" t="s">
        <v>123</v>
      </c>
      <c r="FN4" s="2" t="s">
        <v>132</v>
      </c>
      <c r="GU4" s="2" t="s">
        <v>183</v>
      </c>
      <c r="GV4" s="2" t="s">
        <v>184</v>
      </c>
      <c r="GW4" s="2" t="s">
        <v>185</v>
      </c>
      <c r="GX4" s="2" t="s">
        <v>186</v>
      </c>
      <c r="GY4" s="2">
        <v>1961</v>
      </c>
      <c r="GZ4" s="2" t="s">
        <v>141</v>
      </c>
      <c r="HB4" s="2" t="s">
        <v>187</v>
      </c>
    </row>
    <row r="5" spans="1:212" x14ac:dyDescent="0.45">
      <c r="A5" s="2" t="s">
        <v>190</v>
      </c>
      <c r="B5" s="2">
        <v>3</v>
      </c>
      <c r="C5" s="2" t="s">
        <v>188</v>
      </c>
      <c r="D5" s="2" t="s">
        <v>118</v>
      </c>
      <c r="G5" s="2"/>
      <c r="I5" s="2" t="s">
        <v>119</v>
      </c>
      <c r="J5" s="2" t="s">
        <v>189</v>
      </c>
      <c r="K5" s="2">
        <v>853</v>
      </c>
      <c r="L5" s="2">
        <v>0</v>
      </c>
      <c r="M5" s="2" t="s">
        <v>122</v>
      </c>
      <c r="N5" s="2" t="s">
        <v>123</v>
      </c>
      <c r="P5" s="2"/>
      <c r="AD5" s="2" t="s">
        <v>124</v>
      </c>
      <c r="AE5" s="2" t="s">
        <v>191</v>
      </c>
      <c r="AF5" s="2">
        <v>2017</v>
      </c>
      <c r="AG5" s="2" t="s">
        <v>126</v>
      </c>
      <c r="AH5" s="2" t="s">
        <v>192</v>
      </c>
      <c r="AI5" s="2" t="s">
        <v>150</v>
      </c>
      <c r="AJ5" s="2" t="s">
        <v>150</v>
      </c>
      <c r="AK5" s="2" t="s">
        <v>162</v>
      </c>
      <c r="AL5" s="2" t="s">
        <v>169</v>
      </c>
      <c r="AM5" s="2" t="s">
        <v>169</v>
      </c>
      <c r="AN5" s="2" t="s">
        <v>193</v>
      </c>
      <c r="AO5" s="2" t="s">
        <v>194</v>
      </c>
      <c r="AP5" s="2" t="s">
        <v>194</v>
      </c>
      <c r="AQ5" s="2" t="s">
        <v>195</v>
      </c>
      <c r="AR5" s="2" t="s">
        <v>196</v>
      </c>
      <c r="AS5" s="2" t="s">
        <v>197</v>
      </c>
      <c r="AT5" s="2" t="s">
        <v>157</v>
      </c>
      <c r="AV5" s="2" t="s">
        <v>123</v>
      </c>
      <c r="CP5" s="2" t="s">
        <v>123</v>
      </c>
      <c r="CZ5" s="2" t="s">
        <v>123</v>
      </c>
      <c r="DJ5" s="2" t="s">
        <v>123</v>
      </c>
      <c r="EM5" s="2" t="s">
        <v>123</v>
      </c>
      <c r="FM5" s="2" t="s">
        <v>123</v>
      </c>
      <c r="FN5" s="2" t="s">
        <v>132</v>
      </c>
      <c r="GU5" s="2" t="s">
        <v>198</v>
      </c>
      <c r="GV5" s="2" t="s">
        <v>199</v>
      </c>
      <c r="GW5" s="2" t="s">
        <v>200</v>
      </c>
      <c r="GX5" s="2" t="s">
        <v>186</v>
      </c>
      <c r="GY5" s="2">
        <v>1991</v>
      </c>
      <c r="GZ5" s="2" t="s">
        <v>141</v>
      </c>
      <c r="HB5" s="2" t="s">
        <v>201</v>
      </c>
    </row>
    <row r="6" spans="1:212" x14ac:dyDescent="0.45">
      <c r="A6" s="2" t="s">
        <v>204</v>
      </c>
      <c r="B6" s="2">
        <v>4</v>
      </c>
      <c r="C6" s="2" t="s">
        <v>202</v>
      </c>
      <c r="D6" s="2" t="s">
        <v>118</v>
      </c>
      <c r="G6" s="2"/>
      <c r="I6" s="2" t="s">
        <v>119</v>
      </c>
      <c r="J6" s="2" t="s">
        <v>203</v>
      </c>
      <c r="K6" s="2">
        <v>3161</v>
      </c>
      <c r="L6" s="2">
        <v>0</v>
      </c>
      <c r="M6" s="2" t="s">
        <v>122</v>
      </c>
      <c r="N6" s="2" t="s">
        <v>123</v>
      </c>
      <c r="P6" s="2"/>
      <c r="AD6" s="2" t="s">
        <v>124</v>
      </c>
      <c r="AE6" s="2" t="s">
        <v>205</v>
      </c>
      <c r="AF6" s="2" t="s">
        <v>206</v>
      </c>
      <c r="AG6" s="2" t="s">
        <v>148</v>
      </c>
      <c r="AH6" s="2" t="s">
        <v>207</v>
      </c>
      <c r="AI6" s="2" t="s">
        <v>150</v>
      </c>
      <c r="AJ6" s="2" t="s">
        <v>150</v>
      </c>
      <c r="AK6" s="2" t="s">
        <v>162</v>
      </c>
      <c r="AL6" s="2" t="s">
        <v>162</v>
      </c>
      <c r="AM6" s="2" t="s">
        <v>162</v>
      </c>
      <c r="AN6" s="2" t="s">
        <v>208</v>
      </c>
      <c r="AO6" s="2" t="s">
        <v>209</v>
      </c>
      <c r="AP6" s="2" t="s">
        <v>209</v>
      </c>
      <c r="AQ6" s="2" t="s">
        <v>210</v>
      </c>
      <c r="AR6" s="2" t="s">
        <v>211</v>
      </c>
      <c r="AS6" s="2" t="s">
        <v>212</v>
      </c>
      <c r="AT6" s="2" t="s">
        <v>157</v>
      </c>
      <c r="AU6" s="2" t="s">
        <v>213</v>
      </c>
      <c r="AV6" s="2" t="s">
        <v>123</v>
      </c>
      <c r="CP6" s="2" t="s">
        <v>123</v>
      </c>
      <c r="CZ6" s="2" t="s">
        <v>214</v>
      </c>
      <c r="DA6" s="2" t="s">
        <v>205</v>
      </c>
      <c r="DB6" s="2" t="s">
        <v>215</v>
      </c>
      <c r="DC6" s="2" t="s">
        <v>150</v>
      </c>
      <c r="DD6" s="2" t="s">
        <v>169</v>
      </c>
      <c r="DE6" s="2" t="s">
        <v>169</v>
      </c>
      <c r="DF6" s="2" t="s">
        <v>150</v>
      </c>
      <c r="DG6" s="2" t="s">
        <v>151</v>
      </c>
      <c r="DH6" s="2" t="s">
        <v>151</v>
      </c>
      <c r="DI6" s="2" t="s">
        <v>216</v>
      </c>
      <c r="DJ6" s="2" t="s">
        <v>123</v>
      </c>
      <c r="EM6" s="2" t="s">
        <v>123</v>
      </c>
      <c r="EN6" s="2" t="s">
        <v>178</v>
      </c>
      <c r="EO6" s="2" t="s">
        <v>132</v>
      </c>
      <c r="FM6" s="2" t="s">
        <v>123</v>
      </c>
      <c r="FN6" s="2" t="s">
        <v>132</v>
      </c>
      <c r="GU6" s="2" t="s">
        <v>217</v>
      </c>
      <c r="GV6" s="2" t="s">
        <v>218</v>
      </c>
      <c r="GW6" s="2" t="s">
        <v>219</v>
      </c>
      <c r="GX6" s="2" t="s">
        <v>140</v>
      </c>
      <c r="GY6" s="2">
        <v>1961</v>
      </c>
      <c r="GZ6" s="2" t="s">
        <v>220</v>
      </c>
    </row>
    <row r="7" spans="1:212" x14ac:dyDescent="0.45">
      <c r="A7" s="2" t="s">
        <v>222</v>
      </c>
      <c r="B7" s="2">
        <v>5</v>
      </c>
      <c r="C7" s="2" t="s">
        <v>202</v>
      </c>
      <c r="D7" s="2" t="s">
        <v>118</v>
      </c>
      <c r="G7" s="2"/>
      <c r="I7" s="2" t="s">
        <v>119</v>
      </c>
      <c r="J7" s="2" t="s">
        <v>221</v>
      </c>
      <c r="K7" s="2">
        <v>1659</v>
      </c>
      <c r="L7" s="2">
        <v>0</v>
      </c>
      <c r="M7" s="2" t="s">
        <v>122</v>
      </c>
      <c r="N7" s="2" t="s">
        <v>123</v>
      </c>
      <c r="P7" s="2"/>
      <c r="AD7" s="2" t="s">
        <v>124</v>
      </c>
      <c r="AE7" s="2" t="s">
        <v>223</v>
      </c>
      <c r="AF7" s="2">
        <v>1999</v>
      </c>
      <c r="AG7" s="2" t="s">
        <v>148</v>
      </c>
      <c r="AH7" s="2" t="s">
        <v>224</v>
      </c>
      <c r="AI7" s="2" t="s">
        <v>162</v>
      </c>
      <c r="AJ7" s="2" t="s">
        <v>162</v>
      </c>
      <c r="AK7" s="2" t="s">
        <v>150</v>
      </c>
      <c r="AL7" s="2" t="s">
        <v>150</v>
      </c>
      <c r="AM7" s="2" t="s">
        <v>169</v>
      </c>
      <c r="AN7" s="2" t="s">
        <v>225</v>
      </c>
      <c r="AO7" s="2" t="s">
        <v>153</v>
      </c>
      <c r="AP7" s="2" t="s">
        <v>226</v>
      </c>
      <c r="AQ7" s="2" t="s">
        <v>227</v>
      </c>
      <c r="AR7" s="2" t="s">
        <v>228</v>
      </c>
      <c r="AS7" s="2" t="s">
        <v>229</v>
      </c>
      <c r="AT7" s="2" t="s">
        <v>230</v>
      </c>
      <c r="AV7" s="2" t="s">
        <v>159</v>
      </c>
      <c r="AW7" s="2">
        <v>3</v>
      </c>
      <c r="AX7" s="2" t="s">
        <v>191</v>
      </c>
      <c r="AY7" s="2">
        <v>2011</v>
      </c>
      <c r="AZ7" s="2" t="s">
        <v>126</v>
      </c>
      <c r="BA7" s="2" t="s">
        <v>231</v>
      </c>
      <c r="BB7" s="2" t="s">
        <v>169</v>
      </c>
      <c r="BC7" s="2" t="s">
        <v>169</v>
      </c>
      <c r="BD7" s="2" t="s">
        <v>150</v>
      </c>
      <c r="BE7" s="2" t="s">
        <v>162</v>
      </c>
      <c r="BF7" s="2" t="s">
        <v>150</v>
      </c>
      <c r="BG7" s="2">
        <v>1</v>
      </c>
      <c r="BH7" s="2" t="s">
        <v>232</v>
      </c>
      <c r="BI7" s="2" t="s">
        <v>157</v>
      </c>
      <c r="BK7" s="2" t="s">
        <v>233</v>
      </c>
      <c r="BL7" s="2" t="s">
        <v>166</v>
      </c>
      <c r="BM7" s="2" t="s">
        <v>234</v>
      </c>
      <c r="BN7" s="2">
        <v>2011</v>
      </c>
      <c r="BO7" s="2" t="s">
        <v>148</v>
      </c>
      <c r="BP7" s="2" t="s">
        <v>235</v>
      </c>
      <c r="BQ7" s="2" t="s">
        <v>151</v>
      </c>
      <c r="BR7" s="2" t="s">
        <v>128</v>
      </c>
      <c r="BS7" s="2" t="s">
        <v>236</v>
      </c>
      <c r="BT7" s="2" t="s">
        <v>128</v>
      </c>
      <c r="BU7" s="2" t="s">
        <v>162</v>
      </c>
      <c r="BV7" s="2" t="s">
        <v>237</v>
      </c>
      <c r="BX7" s="2" t="s">
        <v>172</v>
      </c>
      <c r="BZ7" s="2" t="s">
        <v>233</v>
      </c>
      <c r="CA7" s="2" t="s">
        <v>238</v>
      </c>
      <c r="CB7" s="2" t="s">
        <v>223</v>
      </c>
      <c r="CC7" s="2">
        <v>2016</v>
      </c>
      <c r="CD7" s="2" t="s">
        <v>148</v>
      </c>
      <c r="CE7" s="2" t="s">
        <v>239</v>
      </c>
      <c r="CF7" s="2" t="s">
        <v>169</v>
      </c>
      <c r="CG7" s="2" t="s">
        <v>169</v>
      </c>
      <c r="CH7" s="2" t="s">
        <v>169</v>
      </c>
      <c r="CI7" s="2" t="s">
        <v>150</v>
      </c>
      <c r="CJ7" s="2" t="s">
        <v>150</v>
      </c>
      <c r="CK7" s="2">
        <v>1</v>
      </c>
      <c r="CL7" s="2" t="s">
        <v>240</v>
      </c>
      <c r="CM7" s="2" t="s">
        <v>157</v>
      </c>
      <c r="CO7" s="2" t="s">
        <v>233</v>
      </c>
      <c r="CP7" s="2" t="s">
        <v>123</v>
      </c>
      <c r="CZ7" s="2" t="s">
        <v>214</v>
      </c>
      <c r="DA7" s="2" t="s">
        <v>234</v>
      </c>
      <c r="DB7" s="2" t="s">
        <v>241</v>
      </c>
      <c r="DC7" s="2" t="s">
        <v>162</v>
      </c>
      <c r="DD7" s="2" t="s">
        <v>169</v>
      </c>
      <c r="DE7" s="2" t="s">
        <v>169</v>
      </c>
      <c r="DF7" s="2" t="s">
        <v>151</v>
      </c>
      <c r="DG7" s="2" t="s">
        <v>151</v>
      </c>
      <c r="DH7" s="2" t="s">
        <v>151</v>
      </c>
      <c r="DI7" s="2" t="s">
        <v>242</v>
      </c>
      <c r="DJ7" s="2" t="s">
        <v>123</v>
      </c>
      <c r="EM7" s="2" t="s">
        <v>123</v>
      </c>
      <c r="FM7" s="2" t="s">
        <v>123</v>
      </c>
      <c r="FN7" s="2" t="s">
        <v>132</v>
      </c>
      <c r="GU7" s="2" t="s">
        <v>243</v>
      </c>
      <c r="GV7" s="2" t="s">
        <v>244</v>
      </c>
      <c r="GW7" s="2" t="s">
        <v>245</v>
      </c>
      <c r="GX7" s="2" t="s">
        <v>186</v>
      </c>
      <c r="GY7" s="2">
        <v>1961</v>
      </c>
      <c r="GZ7" s="2" t="s">
        <v>246</v>
      </c>
      <c r="HB7" s="2" t="s">
        <v>247</v>
      </c>
    </row>
    <row r="8" spans="1:212" x14ac:dyDescent="0.45">
      <c r="A8" s="2" t="s">
        <v>250</v>
      </c>
      <c r="B8" s="2">
        <v>6</v>
      </c>
      <c r="C8" s="2" t="s">
        <v>248</v>
      </c>
      <c r="D8" s="2" t="s">
        <v>118</v>
      </c>
      <c r="G8" s="2"/>
      <c r="I8" s="2" t="s">
        <v>119</v>
      </c>
      <c r="J8" s="2" t="s">
        <v>249</v>
      </c>
      <c r="K8" s="2">
        <v>902</v>
      </c>
      <c r="L8" s="2">
        <v>0</v>
      </c>
      <c r="M8" s="2" t="s">
        <v>122</v>
      </c>
      <c r="N8" s="2" t="s">
        <v>123</v>
      </c>
      <c r="P8" s="2"/>
      <c r="AD8" s="2" t="s">
        <v>124</v>
      </c>
      <c r="AE8" s="2" t="s">
        <v>191</v>
      </c>
      <c r="AF8" s="2">
        <v>2013</v>
      </c>
      <c r="AG8" s="2" t="s">
        <v>126</v>
      </c>
      <c r="AH8" s="2" t="s">
        <v>251</v>
      </c>
      <c r="AI8" s="2" t="s">
        <v>162</v>
      </c>
      <c r="AJ8" s="2" t="s">
        <v>162</v>
      </c>
      <c r="AK8" s="2" t="s">
        <v>151</v>
      </c>
      <c r="AL8" s="2" t="s">
        <v>132</v>
      </c>
      <c r="AM8" s="2" t="s">
        <v>132</v>
      </c>
      <c r="AN8" s="2" t="s">
        <v>252</v>
      </c>
      <c r="AO8" s="2" t="s">
        <v>132</v>
      </c>
      <c r="AP8" s="2" t="s">
        <v>132</v>
      </c>
      <c r="AQ8" s="2" t="s">
        <v>253</v>
      </c>
      <c r="AR8" s="2" t="s">
        <v>254</v>
      </c>
      <c r="AS8" s="2" t="s">
        <v>255</v>
      </c>
      <c r="AT8" s="2" t="s">
        <v>157</v>
      </c>
      <c r="AV8" s="2" t="s">
        <v>123</v>
      </c>
      <c r="CP8" s="2" t="s">
        <v>123</v>
      </c>
      <c r="CZ8" s="2" t="s">
        <v>123</v>
      </c>
      <c r="DJ8" s="2" t="s">
        <v>123</v>
      </c>
      <c r="EM8" s="2" t="s">
        <v>123</v>
      </c>
      <c r="FM8" s="2" t="s">
        <v>123</v>
      </c>
      <c r="FN8" s="2" t="s">
        <v>132</v>
      </c>
      <c r="GU8" s="2" t="s">
        <v>256</v>
      </c>
      <c r="GV8" s="2" t="s">
        <v>257</v>
      </c>
      <c r="GW8" s="2" t="s">
        <v>258</v>
      </c>
      <c r="GX8" s="2" t="s">
        <v>140</v>
      </c>
      <c r="GY8" s="2">
        <v>1988</v>
      </c>
      <c r="GZ8" s="2" t="s">
        <v>141</v>
      </c>
    </row>
    <row r="9" spans="1:212" x14ac:dyDescent="0.45">
      <c r="A9" s="2" t="s">
        <v>262</v>
      </c>
      <c r="B9" s="2">
        <v>7</v>
      </c>
      <c r="C9" s="2" t="s">
        <v>259</v>
      </c>
      <c r="D9" s="2" t="s">
        <v>118</v>
      </c>
      <c r="E9" s="2" t="s">
        <v>260</v>
      </c>
      <c r="G9" s="2"/>
      <c r="I9" s="2" t="s">
        <v>119</v>
      </c>
      <c r="J9" s="2" t="s">
        <v>261</v>
      </c>
      <c r="K9" s="2">
        <v>422</v>
      </c>
      <c r="L9" s="2">
        <v>0</v>
      </c>
      <c r="M9" s="2" t="s">
        <v>122</v>
      </c>
      <c r="N9" s="2" t="s">
        <v>123</v>
      </c>
      <c r="P9" s="2"/>
      <c r="AD9" s="2" t="s">
        <v>124</v>
      </c>
      <c r="AE9" s="2" t="s">
        <v>191</v>
      </c>
      <c r="AF9" s="2">
        <v>2013</v>
      </c>
      <c r="AG9" s="2" t="s">
        <v>126</v>
      </c>
      <c r="AH9" s="2" t="s">
        <v>263</v>
      </c>
      <c r="AI9" s="2" t="s">
        <v>169</v>
      </c>
      <c r="AJ9" s="2" t="s">
        <v>150</v>
      </c>
      <c r="AK9" s="2" t="s">
        <v>169</v>
      </c>
      <c r="AL9" s="2" t="s">
        <v>169</v>
      </c>
      <c r="AM9" s="2" t="s">
        <v>169</v>
      </c>
      <c r="AN9" s="2">
        <v>4</v>
      </c>
      <c r="AO9" s="2" t="s">
        <v>153</v>
      </c>
      <c r="AP9" s="2" t="s">
        <v>153</v>
      </c>
      <c r="AQ9" s="2" t="s">
        <v>264</v>
      </c>
      <c r="AR9" s="2" t="s">
        <v>265</v>
      </c>
      <c r="AS9" s="2" t="s">
        <v>266</v>
      </c>
      <c r="AT9" s="2" t="s">
        <v>157</v>
      </c>
      <c r="AV9" s="2" t="s">
        <v>123</v>
      </c>
      <c r="AW9" s="2" t="s">
        <v>132</v>
      </c>
      <c r="CP9" s="2" t="s">
        <v>123</v>
      </c>
      <c r="CZ9" s="2" t="s">
        <v>123</v>
      </c>
      <c r="DJ9" s="2" t="s">
        <v>123</v>
      </c>
      <c r="EM9" s="2" t="s">
        <v>123</v>
      </c>
      <c r="EN9" s="2" t="s">
        <v>180</v>
      </c>
      <c r="EO9" s="2" t="s">
        <v>132</v>
      </c>
      <c r="FM9" s="2" t="s">
        <v>123</v>
      </c>
      <c r="FN9" s="2" t="s">
        <v>132</v>
      </c>
      <c r="FP9" s="2" t="s">
        <v>132</v>
      </c>
      <c r="GU9" s="2" t="s">
        <v>267</v>
      </c>
      <c r="GV9" s="2" t="s">
        <v>267</v>
      </c>
      <c r="GW9" s="2" t="s">
        <v>267</v>
      </c>
      <c r="GX9" s="2" t="s">
        <v>186</v>
      </c>
      <c r="GY9" s="2">
        <v>1988</v>
      </c>
      <c r="GZ9" s="2" t="s">
        <v>220</v>
      </c>
      <c r="HB9" s="2" t="s">
        <v>268</v>
      </c>
      <c r="HC9" s="2" t="s">
        <v>268</v>
      </c>
    </row>
    <row r="10" spans="1:212" x14ac:dyDescent="0.45">
      <c r="A10" s="2" t="s">
        <v>271</v>
      </c>
      <c r="B10" s="2">
        <v>8</v>
      </c>
      <c r="C10" s="2" t="s">
        <v>269</v>
      </c>
      <c r="D10" s="2" t="s">
        <v>118</v>
      </c>
      <c r="G10" s="2"/>
      <c r="I10" s="2" t="s">
        <v>119</v>
      </c>
      <c r="J10" s="2" t="s">
        <v>270</v>
      </c>
      <c r="K10" s="2">
        <v>768</v>
      </c>
      <c r="L10" s="2">
        <v>0</v>
      </c>
      <c r="M10" s="2" t="s">
        <v>122</v>
      </c>
      <c r="N10" s="2" t="s">
        <v>123</v>
      </c>
      <c r="P10" s="2"/>
      <c r="AD10" s="2" t="s">
        <v>124</v>
      </c>
      <c r="AE10" s="2" t="s">
        <v>160</v>
      </c>
      <c r="AF10" s="2">
        <v>1973</v>
      </c>
      <c r="AG10" s="2" t="s">
        <v>148</v>
      </c>
      <c r="AH10" s="2" t="s">
        <v>272</v>
      </c>
      <c r="AI10" s="2" t="s">
        <v>169</v>
      </c>
      <c r="AJ10" s="2" t="s">
        <v>169</v>
      </c>
      <c r="AK10" s="2" t="s">
        <v>150</v>
      </c>
      <c r="AL10" s="2" t="s">
        <v>129</v>
      </c>
      <c r="AM10" s="2" t="s">
        <v>129</v>
      </c>
      <c r="AN10" s="2">
        <v>0</v>
      </c>
      <c r="AO10" s="2" t="s">
        <v>152</v>
      </c>
      <c r="AP10" s="2" t="s">
        <v>152</v>
      </c>
      <c r="AQ10" s="2" t="s">
        <v>273</v>
      </c>
      <c r="AR10" s="2" t="s">
        <v>274</v>
      </c>
      <c r="AS10" s="2" t="s">
        <v>275</v>
      </c>
      <c r="AT10" s="2" t="s">
        <v>172</v>
      </c>
      <c r="AV10" s="2" t="s">
        <v>159</v>
      </c>
      <c r="AW10" s="2">
        <v>3</v>
      </c>
      <c r="AX10" s="2" t="s">
        <v>160</v>
      </c>
      <c r="AY10" s="2" t="s">
        <v>276</v>
      </c>
      <c r="AZ10" s="2" t="s">
        <v>148</v>
      </c>
      <c r="BA10" s="2" t="s">
        <v>277</v>
      </c>
      <c r="BB10" s="2" t="s">
        <v>169</v>
      </c>
      <c r="BC10" s="2" t="s">
        <v>169</v>
      </c>
      <c r="BD10" s="2" t="s">
        <v>236</v>
      </c>
      <c r="BE10" s="2" t="s">
        <v>236</v>
      </c>
      <c r="BF10" s="2" t="s">
        <v>236</v>
      </c>
      <c r="BG10" s="2">
        <v>0</v>
      </c>
      <c r="BH10" s="2" t="s">
        <v>278</v>
      </c>
      <c r="BI10" s="2" t="s">
        <v>172</v>
      </c>
      <c r="BL10" s="2" t="s">
        <v>173</v>
      </c>
      <c r="CP10" s="2" t="s">
        <v>123</v>
      </c>
      <c r="CZ10" s="2" t="s">
        <v>214</v>
      </c>
      <c r="DA10" s="2" t="s">
        <v>279</v>
      </c>
      <c r="DB10" s="2" t="s">
        <v>280</v>
      </c>
      <c r="DC10" s="2" t="s">
        <v>150</v>
      </c>
      <c r="DD10" s="2" t="s">
        <v>150</v>
      </c>
      <c r="DE10" s="2" t="s">
        <v>150</v>
      </c>
      <c r="DF10" s="2" t="s">
        <v>150</v>
      </c>
      <c r="DG10" s="2" t="s">
        <v>150</v>
      </c>
      <c r="DH10" s="2" t="s">
        <v>150</v>
      </c>
      <c r="DI10" s="2" t="s">
        <v>281</v>
      </c>
      <c r="DJ10" s="2" t="s">
        <v>123</v>
      </c>
      <c r="EM10" s="2" t="s">
        <v>123</v>
      </c>
      <c r="EN10" s="2" t="s">
        <v>180</v>
      </c>
      <c r="EO10" s="2" t="s">
        <v>132</v>
      </c>
      <c r="FM10" s="2" t="s">
        <v>123</v>
      </c>
      <c r="FN10" s="2" t="s">
        <v>132</v>
      </c>
      <c r="FP10" s="2" t="s">
        <v>132</v>
      </c>
      <c r="GU10" s="2" t="s">
        <v>282</v>
      </c>
      <c r="GV10" s="2" t="s">
        <v>283</v>
      </c>
      <c r="GW10" s="2" t="s">
        <v>284</v>
      </c>
      <c r="GX10" s="2" t="s">
        <v>186</v>
      </c>
      <c r="GY10" s="2">
        <v>1950</v>
      </c>
      <c r="GZ10" s="2" t="s">
        <v>141</v>
      </c>
    </row>
    <row r="11" spans="1:212" x14ac:dyDescent="0.45">
      <c r="A11" s="2" t="s">
        <v>290</v>
      </c>
      <c r="B11" s="2">
        <v>9</v>
      </c>
      <c r="C11" s="2" t="s">
        <v>288</v>
      </c>
      <c r="D11" s="2" t="s">
        <v>118</v>
      </c>
      <c r="G11" s="2"/>
      <c r="I11" s="2" t="s">
        <v>119</v>
      </c>
      <c r="J11" s="2" t="s">
        <v>289</v>
      </c>
      <c r="K11" s="2">
        <v>4259</v>
      </c>
      <c r="L11" s="2">
        <v>0</v>
      </c>
      <c r="M11" s="2" t="s">
        <v>122</v>
      </c>
      <c r="N11" s="2" t="s">
        <v>123</v>
      </c>
      <c r="P11" s="2"/>
      <c r="AD11" s="2" t="s">
        <v>124</v>
      </c>
      <c r="AE11" s="2" t="s">
        <v>191</v>
      </c>
      <c r="AF11" s="2">
        <v>2013</v>
      </c>
      <c r="AG11" s="2" t="s">
        <v>126</v>
      </c>
      <c r="AH11" s="2" t="s">
        <v>291</v>
      </c>
      <c r="AI11" s="2" t="s">
        <v>150</v>
      </c>
      <c r="AJ11" s="2" t="s">
        <v>150</v>
      </c>
      <c r="AK11" s="2" t="s">
        <v>169</v>
      </c>
      <c r="AL11" s="2" t="s">
        <v>151</v>
      </c>
      <c r="AM11" s="2" t="s">
        <v>162</v>
      </c>
      <c r="AN11" s="2">
        <v>1</v>
      </c>
      <c r="AO11" s="2" t="s">
        <v>131</v>
      </c>
      <c r="AP11" s="2" t="s">
        <v>153</v>
      </c>
      <c r="AQ11" s="2" t="s">
        <v>292</v>
      </c>
      <c r="AR11" s="2" t="s">
        <v>293</v>
      </c>
      <c r="AS11" s="2" t="s">
        <v>294</v>
      </c>
      <c r="AT11" s="2" t="s">
        <v>157</v>
      </c>
      <c r="AV11" s="2" t="s">
        <v>123</v>
      </c>
      <c r="AW11" s="2" t="s">
        <v>132</v>
      </c>
      <c r="CP11" s="2" t="s">
        <v>123</v>
      </c>
      <c r="CZ11" s="2" t="s">
        <v>123</v>
      </c>
      <c r="DJ11" s="2" t="s">
        <v>123</v>
      </c>
      <c r="EM11" s="2" t="s">
        <v>123</v>
      </c>
      <c r="FM11" s="2" t="s">
        <v>123</v>
      </c>
      <c r="FN11" s="2" t="s">
        <v>132</v>
      </c>
      <c r="FP11" s="2" t="s">
        <v>132</v>
      </c>
      <c r="GU11" s="2" t="s">
        <v>295</v>
      </c>
      <c r="GV11" s="2" t="s">
        <v>296</v>
      </c>
      <c r="GW11" s="2" t="s">
        <v>297</v>
      </c>
      <c r="GX11" s="2" t="s">
        <v>186</v>
      </c>
      <c r="GY11" s="2">
        <v>1988</v>
      </c>
      <c r="GZ11" s="2" t="s">
        <v>141</v>
      </c>
    </row>
    <row r="12" spans="1:212" x14ac:dyDescent="0.45">
      <c r="A12" s="2" t="s">
        <v>300</v>
      </c>
      <c r="B12" s="2">
        <v>10</v>
      </c>
      <c r="C12" s="2" t="s">
        <v>298</v>
      </c>
      <c r="D12" s="2" t="s">
        <v>118</v>
      </c>
      <c r="G12" s="2"/>
      <c r="I12" s="2" t="s">
        <v>119</v>
      </c>
      <c r="J12" s="2" t="s">
        <v>299</v>
      </c>
      <c r="K12" s="2">
        <v>1404</v>
      </c>
      <c r="L12" s="2">
        <v>0</v>
      </c>
      <c r="M12" s="2" t="s">
        <v>122</v>
      </c>
      <c r="N12" s="2" t="s">
        <v>123</v>
      </c>
      <c r="P12" s="2"/>
      <c r="AD12" s="2" t="s">
        <v>124</v>
      </c>
      <c r="AE12" s="2" t="s">
        <v>191</v>
      </c>
      <c r="AF12" s="2">
        <v>1986</v>
      </c>
      <c r="AG12" s="2" t="s">
        <v>126</v>
      </c>
      <c r="AH12" s="2" t="s">
        <v>301</v>
      </c>
      <c r="AI12" s="2" t="s">
        <v>150</v>
      </c>
      <c r="AJ12" s="2" t="s">
        <v>150</v>
      </c>
      <c r="AK12" s="2" t="s">
        <v>162</v>
      </c>
      <c r="AL12" s="2" t="s">
        <v>151</v>
      </c>
      <c r="AM12" s="2" t="s">
        <v>151</v>
      </c>
      <c r="AN12" s="2">
        <v>2</v>
      </c>
      <c r="AO12" s="2" t="s">
        <v>302</v>
      </c>
      <c r="AP12" s="2" t="s">
        <v>153</v>
      </c>
      <c r="AQ12" s="2" t="s">
        <v>303</v>
      </c>
      <c r="AR12" s="2" t="s">
        <v>304</v>
      </c>
      <c r="AS12" s="2" t="s">
        <v>305</v>
      </c>
      <c r="AT12" s="2" t="s">
        <v>157</v>
      </c>
      <c r="AV12" s="2" t="s">
        <v>159</v>
      </c>
      <c r="AW12" s="2">
        <v>1</v>
      </c>
      <c r="AX12" s="2" t="s">
        <v>223</v>
      </c>
      <c r="AY12" s="2">
        <v>2011</v>
      </c>
      <c r="AZ12" s="2" t="s">
        <v>148</v>
      </c>
      <c r="BA12" s="2" t="s">
        <v>127</v>
      </c>
      <c r="BB12" s="2" t="s">
        <v>150</v>
      </c>
      <c r="BC12" s="2" t="s">
        <v>150</v>
      </c>
      <c r="BD12" s="2" t="s">
        <v>169</v>
      </c>
      <c r="BE12" s="2" t="s">
        <v>169</v>
      </c>
      <c r="BF12" s="2" t="s">
        <v>169</v>
      </c>
      <c r="BG12" s="2">
        <v>1</v>
      </c>
      <c r="BH12" s="2" t="s">
        <v>306</v>
      </c>
      <c r="BI12" s="2" t="s">
        <v>157</v>
      </c>
      <c r="BK12" s="2" t="s">
        <v>307</v>
      </c>
      <c r="BL12" s="2" t="s">
        <v>173</v>
      </c>
      <c r="CP12" s="2" t="s">
        <v>123</v>
      </c>
      <c r="CZ12" s="2" t="s">
        <v>214</v>
      </c>
      <c r="DA12" s="2" t="s">
        <v>191</v>
      </c>
      <c r="DB12" s="2" t="s">
        <v>308</v>
      </c>
      <c r="DC12" s="2" t="s">
        <v>150</v>
      </c>
      <c r="DD12" s="2" t="s">
        <v>150</v>
      </c>
      <c r="DE12" s="2" t="s">
        <v>162</v>
      </c>
      <c r="DF12" s="2" t="s">
        <v>150</v>
      </c>
      <c r="DG12" s="2" t="s">
        <v>150</v>
      </c>
      <c r="DH12" s="2" t="s">
        <v>150</v>
      </c>
      <c r="DI12" s="2" t="s">
        <v>309</v>
      </c>
      <c r="DJ12" s="2" t="s">
        <v>123</v>
      </c>
      <c r="EM12" s="2" t="s">
        <v>123</v>
      </c>
      <c r="EN12" s="2" t="s">
        <v>180</v>
      </c>
      <c r="EO12" s="2" t="s">
        <v>132</v>
      </c>
      <c r="FM12" s="2" t="s">
        <v>123</v>
      </c>
      <c r="FN12" s="2" t="s">
        <v>132</v>
      </c>
      <c r="FP12" s="2" t="s">
        <v>132</v>
      </c>
      <c r="GU12" s="2" t="s">
        <v>310</v>
      </c>
      <c r="GV12" s="2" t="s">
        <v>311</v>
      </c>
      <c r="GW12" s="2" t="s">
        <v>312</v>
      </c>
      <c r="GX12" s="2" t="s">
        <v>186</v>
      </c>
      <c r="GY12" s="2">
        <v>1963</v>
      </c>
      <c r="GZ12" s="2" t="s">
        <v>141</v>
      </c>
      <c r="HA12" s="2" t="s">
        <v>313</v>
      </c>
      <c r="HB12" s="2" t="s">
        <v>314</v>
      </c>
      <c r="HC12" s="2" t="s">
        <v>315</v>
      </c>
    </row>
    <row r="13" spans="1:212" x14ac:dyDescent="0.45">
      <c r="A13" s="2" t="s">
        <v>318</v>
      </c>
      <c r="B13" s="2">
        <v>11</v>
      </c>
      <c r="C13" s="2" t="s">
        <v>316</v>
      </c>
      <c r="D13" s="2" t="s">
        <v>118</v>
      </c>
      <c r="G13" s="2"/>
      <c r="I13" s="2" t="s">
        <v>119</v>
      </c>
      <c r="J13" s="2" t="s">
        <v>317</v>
      </c>
      <c r="K13" s="2">
        <v>349</v>
      </c>
      <c r="L13" s="2">
        <v>0</v>
      </c>
      <c r="M13" s="2" t="s">
        <v>122</v>
      </c>
      <c r="N13" s="2" t="s">
        <v>123</v>
      </c>
      <c r="P13" s="2"/>
      <c r="AD13" s="2" t="s">
        <v>124</v>
      </c>
      <c r="AE13" s="2" t="s">
        <v>191</v>
      </c>
      <c r="AF13" s="2">
        <v>2010</v>
      </c>
      <c r="AG13" s="2" t="s">
        <v>126</v>
      </c>
      <c r="AH13" s="2" t="s">
        <v>319</v>
      </c>
      <c r="AI13" s="2" t="s">
        <v>236</v>
      </c>
      <c r="AJ13" s="2" t="s">
        <v>128</v>
      </c>
      <c r="AK13" s="2" t="s">
        <v>162</v>
      </c>
      <c r="AL13" s="2" t="s">
        <v>162</v>
      </c>
      <c r="AM13" s="2" t="s">
        <v>162</v>
      </c>
      <c r="AN13" s="2">
        <v>6</v>
      </c>
      <c r="AO13" s="2" t="s">
        <v>131</v>
      </c>
      <c r="AP13" s="2" t="s">
        <v>302</v>
      </c>
      <c r="AQ13" s="2" t="s">
        <v>320</v>
      </c>
      <c r="AR13" s="2" t="s">
        <v>321</v>
      </c>
      <c r="AS13" s="2" t="s">
        <v>322</v>
      </c>
      <c r="AT13" s="2" t="s">
        <v>157</v>
      </c>
      <c r="AV13" s="2" t="s">
        <v>123</v>
      </c>
      <c r="AW13" s="2" t="s">
        <v>132</v>
      </c>
      <c r="CP13" s="2" t="s">
        <v>123</v>
      </c>
      <c r="CZ13" s="2" t="s">
        <v>123</v>
      </c>
      <c r="DJ13" s="2" t="s">
        <v>123</v>
      </c>
      <c r="EM13" s="2" t="s">
        <v>123</v>
      </c>
      <c r="EN13" s="2" t="s">
        <v>180</v>
      </c>
      <c r="EO13" s="2" t="s">
        <v>132</v>
      </c>
      <c r="FM13" s="2" t="s">
        <v>123</v>
      </c>
      <c r="FN13" s="2" t="s">
        <v>132</v>
      </c>
      <c r="FP13" s="2" t="s">
        <v>132</v>
      </c>
      <c r="GU13" s="2" t="s">
        <v>323</v>
      </c>
      <c r="GV13" s="2" t="s">
        <v>324</v>
      </c>
      <c r="GW13" s="2" t="s">
        <v>325</v>
      </c>
      <c r="GX13" s="2" t="s">
        <v>186</v>
      </c>
      <c r="GY13" s="2">
        <v>1985</v>
      </c>
      <c r="GZ13" s="2" t="s">
        <v>141</v>
      </c>
    </row>
    <row r="14" spans="1:212" x14ac:dyDescent="0.45">
      <c r="A14" s="2" t="s">
        <v>328</v>
      </c>
      <c r="B14" s="2">
        <v>12</v>
      </c>
      <c r="C14" s="2" t="s">
        <v>326</v>
      </c>
      <c r="D14" s="2" t="s">
        <v>118</v>
      </c>
      <c r="G14" s="2"/>
      <c r="I14" s="2" t="s">
        <v>119</v>
      </c>
      <c r="J14" s="2" t="s">
        <v>327</v>
      </c>
      <c r="K14" s="2">
        <v>1387173</v>
      </c>
      <c r="L14" s="2">
        <v>0</v>
      </c>
      <c r="M14" s="2" t="s">
        <v>122</v>
      </c>
      <c r="N14" s="2" t="s">
        <v>123</v>
      </c>
      <c r="P14" s="2"/>
      <c r="AD14" s="2" t="s">
        <v>124</v>
      </c>
      <c r="AE14" s="2" t="s">
        <v>329</v>
      </c>
      <c r="AF14" s="2">
        <v>2011</v>
      </c>
      <c r="AG14" s="2" t="s">
        <v>126</v>
      </c>
      <c r="AH14" s="2" t="s">
        <v>330</v>
      </c>
      <c r="AI14" s="2" t="s">
        <v>169</v>
      </c>
      <c r="AJ14" s="2" t="s">
        <v>169</v>
      </c>
      <c r="AK14" s="2" t="s">
        <v>150</v>
      </c>
      <c r="AL14" s="2" t="s">
        <v>162</v>
      </c>
      <c r="AM14" s="2" t="s">
        <v>169</v>
      </c>
      <c r="AN14" s="2" t="s">
        <v>331</v>
      </c>
      <c r="AO14" s="2" t="s">
        <v>302</v>
      </c>
      <c r="AP14" s="2" t="s">
        <v>226</v>
      </c>
      <c r="AQ14" s="2" t="s">
        <v>332</v>
      </c>
      <c r="AR14" s="2" t="s">
        <v>333</v>
      </c>
      <c r="AS14" s="2" t="s">
        <v>334</v>
      </c>
      <c r="AT14" s="2" t="s">
        <v>157</v>
      </c>
      <c r="AU14" s="2" t="s">
        <v>335</v>
      </c>
      <c r="AV14" s="2" t="s">
        <v>123</v>
      </c>
      <c r="CP14" s="2" t="s">
        <v>123</v>
      </c>
      <c r="CZ14" s="2" t="s">
        <v>123</v>
      </c>
      <c r="DJ14" s="2" t="s">
        <v>123</v>
      </c>
      <c r="EM14" s="2" t="s">
        <v>123</v>
      </c>
      <c r="FM14" s="2" t="s">
        <v>123</v>
      </c>
      <c r="FN14" s="2" t="s">
        <v>132</v>
      </c>
      <c r="GU14" s="2" t="s">
        <v>336</v>
      </c>
      <c r="GV14" s="2" t="s">
        <v>337</v>
      </c>
      <c r="GW14" s="2" t="s">
        <v>338</v>
      </c>
      <c r="GX14" s="2" t="s">
        <v>186</v>
      </c>
      <c r="GY14" s="2">
        <v>1987</v>
      </c>
      <c r="GZ14" s="2" t="s">
        <v>246</v>
      </c>
      <c r="HB14" s="2" t="s">
        <v>339</v>
      </c>
      <c r="HC14" s="2" t="s">
        <v>340</v>
      </c>
    </row>
    <row r="15" spans="1:212" x14ac:dyDescent="0.45">
      <c r="A15" s="2" t="s">
        <v>343</v>
      </c>
      <c r="B15" s="2">
        <v>13</v>
      </c>
      <c r="C15" s="2" t="s">
        <v>341</v>
      </c>
      <c r="D15" s="2" t="s">
        <v>118</v>
      </c>
      <c r="G15" s="2"/>
      <c r="I15" s="2" t="s">
        <v>119</v>
      </c>
      <c r="J15" s="2" t="s">
        <v>342</v>
      </c>
      <c r="K15" s="2">
        <v>11</v>
      </c>
      <c r="L15" s="2">
        <v>0</v>
      </c>
      <c r="M15" s="2" t="s">
        <v>344</v>
      </c>
      <c r="N15" s="2"/>
      <c r="P15" s="2"/>
    </row>
    <row r="16" spans="1:212" x14ac:dyDescent="0.45">
      <c r="A16" s="2" t="s">
        <v>346</v>
      </c>
      <c r="B16" s="2">
        <v>14</v>
      </c>
      <c r="C16" s="2" t="s">
        <v>341</v>
      </c>
      <c r="D16" s="2" t="s">
        <v>118</v>
      </c>
      <c r="G16" s="2"/>
      <c r="I16" s="2" t="s">
        <v>119</v>
      </c>
      <c r="J16" s="2" t="s">
        <v>345</v>
      </c>
      <c r="K16" s="2">
        <v>7</v>
      </c>
      <c r="L16" s="2">
        <v>0</v>
      </c>
      <c r="M16" s="2" t="s">
        <v>344</v>
      </c>
      <c r="N16" s="2"/>
      <c r="P16" s="2"/>
    </row>
    <row r="17" spans="1:211" x14ac:dyDescent="0.45">
      <c r="A17" s="2" t="s">
        <v>349</v>
      </c>
      <c r="B17" s="2">
        <v>15</v>
      </c>
      <c r="C17" s="2" t="s">
        <v>347</v>
      </c>
      <c r="D17" s="2" t="s">
        <v>118</v>
      </c>
      <c r="G17" s="2"/>
      <c r="I17" s="2" t="s">
        <v>119</v>
      </c>
      <c r="J17" s="2" t="s">
        <v>348</v>
      </c>
      <c r="K17" s="2">
        <v>781</v>
      </c>
      <c r="L17" s="2">
        <v>0</v>
      </c>
      <c r="M17" s="2" t="s">
        <v>122</v>
      </c>
      <c r="N17" s="2" t="s">
        <v>123</v>
      </c>
      <c r="P17" s="2"/>
      <c r="AD17" s="2" t="s">
        <v>124</v>
      </c>
      <c r="AE17" s="2" t="s">
        <v>191</v>
      </c>
      <c r="AF17" s="2">
        <v>2010</v>
      </c>
      <c r="AG17" s="2" t="s">
        <v>126</v>
      </c>
      <c r="AH17" s="2" t="s">
        <v>127</v>
      </c>
      <c r="AI17" s="2" t="s">
        <v>150</v>
      </c>
      <c r="AJ17" s="2" t="s">
        <v>128</v>
      </c>
      <c r="AK17" s="2" t="s">
        <v>151</v>
      </c>
      <c r="AL17" s="2" t="s">
        <v>162</v>
      </c>
      <c r="AM17" s="2" t="s">
        <v>162</v>
      </c>
      <c r="AN17" s="2" t="s">
        <v>350</v>
      </c>
      <c r="AO17" s="2" t="s">
        <v>302</v>
      </c>
      <c r="AP17" s="2" t="s">
        <v>302</v>
      </c>
      <c r="AQ17" s="2" t="s">
        <v>351</v>
      </c>
      <c r="AR17" s="2" t="s">
        <v>352</v>
      </c>
      <c r="AS17" s="2" t="s">
        <v>353</v>
      </c>
      <c r="AT17" s="2" t="s">
        <v>157</v>
      </c>
      <c r="AV17" s="2" t="s">
        <v>123</v>
      </c>
      <c r="AW17" s="2" t="s">
        <v>132</v>
      </c>
      <c r="CP17" s="2" t="s">
        <v>123</v>
      </c>
      <c r="CZ17" s="2" t="s">
        <v>123</v>
      </c>
      <c r="DJ17" s="2" t="s">
        <v>123</v>
      </c>
      <c r="EM17" s="2" t="s">
        <v>123</v>
      </c>
      <c r="EO17" s="2" t="s">
        <v>132</v>
      </c>
      <c r="FM17" s="2" t="s">
        <v>123</v>
      </c>
      <c r="FN17" s="2" t="s">
        <v>132</v>
      </c>
      <c r="GU17" s="2" t="s">
        <v>354</v>
      </c>
      <c r="GV17" s="2" t="s">
        <v>355</v>
      </c>
      <c r="GW17" s="2" t="s">
        <v>356</v>
      </c>
      <c r="GX17" s="2" t="s">
        <v>140</v>
      </c>
      <c r="GY17" s="2">
        <v>1986</v>
      </c>
      <c r="GZ17" s="2" t="s">
        <v>141</v>
      </c>
      <c r="HB17" s="2" t="s">
        <v>357</v>
      </c>
    </row>
    <row r="18" spans="1:211" x14ac:dyDescent="0.45">
      <c r="A18" s="2" t="s">
        <v>361</v>
      </c>
      <c r="B18" s="2">
        <v>16</v>
      </c>
      <c r="C18" s="2" t="s">
        <v>358</v>
      </c>
      <c r="D18" s="2" t="s">
        <v>118</v>
      </c>
      <c r="E18" s="2" t="s">
        <v>359</v>
      </c>
      <c r="G18" s="2"/>
      <c r="I18" s="2" t="s">
        <v>119</v>
      </c>
      <c r="J18" s="2" t="s">
        <v>360</v>
      </c>
      <c r="K18" s="2">
        <v>1534</v>
      </c>
      <c r="L18" s="2">
        <v>0</v>
      </c>
      <c r="M18" s="2" t="s">
        <v>122</v>
      </c>
      <c r="N18" s="2" t="s">
        <v>123</v>
      </c>
      <c r="P18" s="2"/>
      <c r="AD18" s="2" t="s">
        <v>124</v>
      </c>
      <c r="AE18" s="2" t="s">
        <v>223</v>
      </c>
      <c r="AF18" s="2">
        <v>2011</v>
      </c>
      <c r="AG18" s="2" t="s">
        <v>148</v>
      </c>
      <c r="AH18" s="2" t="s">
        <v>362</v>
      </c>
      <c r="AI18" s="2" t="s">
        <v>151</v>
      </c>
      <c r="AJ18" s="2" t="s">
        <v>236</v>
      </c>
      <c r="AK18" s="2" t="s">
        <v>129</v>
      </c>
      <c r="AL18" s="2" t="s">
        <v>129</v>
      </c>
      <c r="AM18" s="2" t="s">
        <v>129</v>
      </c>
      <c r="AN18" s="2">
        <v>4</v>
      </c>
      <c r="AO18" s="2" t="s">
        <v>131</v>
      </c>
      <c r="AP18" s="2" t="s">
        <v>131</v>
      </c>
      <c r="AQ18" s="2" t="s">
        <v>363</v>
      </c>
      <c r="AR18" s="2" t="s">
        <v>364</v>
      </c>
      <c r="AS18" s="2" t="s">
        <v>365</v>
      </c>
      <c r="AT18" s="2" t="s">
        <v>157</v>
      </c>
      <c r="AV18" s="2" t="s">
        <v>123</v>
      </c>
      <c r="CP18" s="2" t="s">
        <v>123</v>
      </c>
      <c r="CZ18" s="2" t="s">
        <v>123</v>
      </c>
      <c r="DJ18" s="2" t="s">
        <v>123</v>
      </c>
      <c r="EM18" s="2" t="s">
        <v>123</v>
      </c>
      <c r="FM18" s="2" t="s">
        <v>123</v>
      </c>
      <c r="FN18" s="2" t="s">
        <v>132</v>
      </c>
      <c r="GU18" s="2" t="s">
        <v>366</v>
      </c>
      <c r="GV18" s="2" t="s">
        <v>367</v>
      </c>
      <c r="GW18" s="2" t="s">
        <v>368</v>
      </c>
      <c r="GX18" s="2" t="s">
        <v>140</v>
      </c>
      <c r="GY18" s="2">
        <v>1987</v>
      </c>
      <c r="GZ18" s="2" t="s">
        <v>141</v>
      </c>
      <c r="HB18" s="2" t="s">
        <v>369</v>
      </c>
    </row>
    <row r="19" spans="1:211" x14ac:dyDescent="0.45">
      <c r="A19" s="2" t="s">
        <v>377</v>
      </c>
      <c r="B19" s="2">
        <v>17</v>
      </c>
      <c r="C19" s="2" t="s">
        <v>374</v>
      </c>
      <c r="D19" s="2" t="s">
        <v>118</v>
      </c>
      <c r="E19" s="2" t="s">
        <v>375</v>
      </c>
      <c r="G19" s="2"/>
      <c r="I19" s="2" t="s">
        <v>119</v>
      </c>
      <c r="J19" s="2" t="s">
        <v>376</v>
      </c>
      <c r="K19" s="2">
        <v>14</v>
      </c>
      <c r="L19" s="2">
        <v>0</v>
      </c>
      <c r="M19" s="2" t="s">
        <v>344</v>
      </c>
      <c r="N19" s="2"/>
      <c r="P19" s="2"/>
    </row>
    <row r="20" spans="1:211" x14ac:dyDescent="0.45">
      <c r="A20" s="2" t="s">
        <v>380</v>
      </c>
      <c r="B20" s="2">
        <v>18</v>
      </c>
      <c r="C20" s="2" t="s">
        <v>378</v>
      </c>
      <c r="D20" s="2" t="s">
        <v>118</v>
      </c>
      <c r="G20" s="2"/>
      <c r="I20" s="2" t="s">
        <v>119</v>
      </c>
      <c r="J20" s="2" t="s">
        <v>379</v>
      </c>
      <c r="K20" s="2">
        <v>5438</v>
      </c>
      <c r="L20" s="2">
        <v>0</v>
      </c>
      <c r="M20" s="2" t="s">
        <v>122</v>
      </c>
      <c r="N20" s="2" t="s">
        <v>123</v>
      </c>
      <c r="P20" s="2"/>
      <c r="AD20" s="2" t="s">
        <v>124</v>
      </c>
      <c r="AE20" s="2" t="s">
        <v>381</v>
      </c>
      <c r="AF20" s="2">
        <v>1985</v>
      </c>
      <c r="AG20" s="2" t="s">
        <v>148</v>
      </c>
      <c r="AH20" s="2" t="s">
        <v>382</v>
      </c>
      <c r="AI20" s="2" t="s">
        <v>169</v>
      </c>
      <c r="AJ20" s="2" t="s">
        <v>169</v>
      </c>
      <c r="AK20" s="2" t="s">
        <v>128</v>
      </c>
      <c r="AL20" s="2" t="s">
        <v>236</v>
      </c>
      <c r="AM20" s="2" t="s">
        <v>236</v>
      </c>
      <c r="AN20" s="2" t="s">
        <v>383</v>
      </c>
      <c r="AO20" s="2" t="s">
        <v>152</v>
      </c>
      <c r="AP20" s="2" t="s">
        <v>152</v>
      </c>
      <c r="AQ20" s="2" t="s">
        <v>384</v>
      </c>
      <c r="AR20" s="2" t="s">
        <v>385</v>
      </c>
      <c r="AS20" s="2" t="s">
        <v>386</v>
      </c>
      <c r="AT20" s="2" t="s">
        <v>172</v>
      </c>
      <c r="AV20" s="2" t="s">
        <v>123</v>
      </c>
      <c r="AW20" s="2" t="s">
        <v>132</v>
      </c>
      <c r="CP20" s="2" t="s">
        <v>387</v>
      </c>
      <c r="CQ20" s="2" t="s">
        <v>388</v>
      </c>
      <c r="CR20" s="2" t="s">
        <v>389</v>
      </c>
      <c r="CS20" s="2" t="s">
        <v>169</v>
      </c>
      <c r="CT20" s="2" t="s">
        <v>169</v>
      </c>
      <c r="CU20" s="2" t="s">
        <v>169</v>
      </c>
      <c r="CV20" s="2" t="s">
        <v>169</v>
      </c>
      <c r="CW20" s="2" t="s">
        <v>169</v>
      </c>
      <c r="CX20" s="2" t="s">
        <v>169</v>
      </c>
      <c r="CY20" s="2" t="s">
        <v>390</v>
      </c>
      <c r="CZ20" s="2" t="s">
        <v>214</v>
      </c>
      <c r="DA20" s="2" t="s">
        <v>391</v>
      </c>
      <c r="DB20" s="2" t="s">
        <v>392</v>
      </c>
      <c r="DC20" s="2" t="s">
        <v>169</v>
      </c>
      <c r="DD20" s="2" t="s">
        <v>169</v>
      </c>
      <c r="DE20" s="2" t="s">
        <v>169</v>
      </c>
      <c r="DF20" s="2" t="s">
        <v>169</v>
      </c>
      <c r="DG20" s="2" t="s">
        <v>169</v>
      </c>
      <c r="DH20" s="2" t="s">
        <v>169</v>
      </c>
      <c r="DI20" s="2" t="s">
        <v>393</v>
      </c>
      <c r="DJ20" s="2" t="s">
        <v>174</v>
      </c>
      <c r="DK20" s="2" t="s">
        <v>394</v>
      </c>
      <c r="DO20" s="2" t="s">
        <v>391</v>
      </c>
      <c r="DP20" s="2" t="s">
        <v>169</v>
      </c>
      <c r="DQ20" s="2" t="s">
        <v>169</v>
      </c>
      <c r="DR20" s="2" t="s">
        <v>169</v>
      </c>
      <c r="DS20" s="2" t="s">
        <v>169</v>
      </c>
      <c r="DT20" s="2" t="s">
        <v>169</v>
      </c>
      <c r="DU20" s="2" t="s">
        <v>169</v>
      </c>
      <c r="DV20" s="2" t="s">
        <v>169</v>
      </c>
      <c r="DW20" s="2">
        <v>20</v>
      </c>
      <c r="DX20" s="2">
        <v>20</v>
      </c>
      <c r="DY20" s="2">
        <v>0</v>
      </c>
      <c r="DZ20" s="2">
        <v>15</v>
      </c>
      <c r="EA20" s="2">
        <v>30</v>
      </c>
      <c r="EB20" s="2">
        <v>0</v>
      </c>
      <c r="EC20" s="2">
        <v>15</v>
      </c>
      <c r="EE20" s="2">
        <v>30</v>
      </c>
      <c r="EF20" s="2">
        <v>20</v>
      </c>
      <c r="EG20" s="2">
        <v>0</v>
      </c>
      <c r="EH20" s="2">
        <v>10</v>
      </c>
      <c r="EI20" s="2">
        <v>25</v>
      </c>
      <c r="EJ20" s="2">
        <v>0</v>
      </c>
      <c r="EK20" s="2">
        <v>15</v>
      </c>
      <c r="EM20" s="2" t="s">
        <v>123</v>
      </c>
      <c r="EN20" s="2" t="s">
        <v>178</v>
      </c>
      <c r="EO20" s="2" t="s">
        <v>132</v>
      </c>
      <c r="FM20" s="2" t="s">
        <v>123</v>
      </c>
      <c r="FN20" s="2" t="s">
        <v>132</v>
      </c>
      <c r="FP20" s="2" t="s">
        <v>132</v>
      </c>
      <c r="GU20" s="2" t="s">
        <v>395</v>
      </c>
      <c r="GV20" s="2" t="s">
        <v>396</v>
      </c>
      <c r="GW20" s="2" t="s">
        <v>397</v>
      </c>
      <c r="GX20" s="2" t="s">
        <v>186</v>
      </c>
      <c r="GY20" s="2">
        <v>1960</v>
      </c>
      <c r="GZ20" s="2" t="s">
        <v>398</v>
      </c>
    </row>
    <row r="21" spans="1:211" x14ac:dyDescent="0.45">
      <c r="A21" s="2" t="s">
        <v>402</v>
      </c>
      <c r="B21" s="2">
        <v>19</v>
      </c>
      <c r="C21" s="2" t="s">
        <v>399</v>
      </c>
      <c r="D21" s="2" t="s">
        <v>118</v>
      </c>
      <c r="E21" s="2" t="s">
        <v>400</v>
      </c>
      <c r="G21" s="2"/>
      <c r="I21" s="2" t="s">
        <v>119</v>
      </c>
      <c r="J21" s="2" t="s">
        <v>401</v>
      </c>
      <c r="K21" s="2">
        <v>1075</v>
      </c>
      <c r="L21" s="2">
        <v>0</v>
      </c>
      <c r="M21" s="2" t="s">
        <v>122</v>
      </c>
      <c r="N21" s="2" t="s">
        <v>123</v>
      </c>
      <c r="P21" s="2"/>
      <c r="AD21" s="2" t="s">
        <v>124</v>
      </c>
      <c r="AE21" s="2" t="s">
        <v>403</v>
      </c>
      <c r="AF21" s="2">
        <v>2010</v>
      </c>
      <c r="AG21" s="2" t="s">
        <v>148</v>
      </c>
      <c r="AH21" s="2" t="s">
        <v>404</v>
      </c>
      <c r="AI21" s="2" t="s">
        <v>151</v>
      </c>
      <c r="AJ21" s="2" t="s">
        <v>150</v>
      </c>
      <c r="AK21" s="2" t="s">
        <v>162</v>
      </c>
      <c r="AL21" s="2" t="s">
        <v>150</v>
      </c>
      <c r="AM21" s="2" t="s">
        <v>150</v>
      </c>
      <c r="AN21" s="2" t="s">
        <v>405</v>
      </c>
      <c r="AO21" s="2" t="s">
        <v>131</v>
      </c>
      <c r="AP21" s="2" t="s">
        <v>302</v>
      </c>
      <c r="AQ21" s="2" t="s">
        <v>406</v>
      </c>
      <c r="AR21" s="2" t="s">
        <v>407</v>
      </c>
      <c r="AS21" s="2" t="s">
        <v>408</v>
      </c>
      <c r="AT21" s="2" t="s">
        <v>230</v>
      </c>
      <c r="AV21" s="2" t="s">
        <v>123</v>
      </c>
      <c r="AW21" s="2" t="s">
        <v>132</v>
      </c>
      <c r="CP21" s="2" t="s">
        <v>123</v>
      </c>
      <c r="CZ21" s="2" t="s">
        <v>123</v>
      </c>
      <c r="DJ21" s="2" t="s">
        <v>123</v>
      </c>
      <c r="EM21" s="2" t="s">
        <v>123</v>
      </c>
      <c r="EN21" s="2" t="s">
        <v>180</v>
      </c>
      <c r="EO21" s="2" t="s">
        <v>132</v>
      </c>
      <c r="FM21" s="2" t="s">
        <v>123</v>
      </c>
      <c r="FN21" s="2" t="s">
        <v>132</v>
      </c>
      <c r="FP21" s="2" t="s">
        <v>132</v>
      </c>
      <c r="GU21" s="2" t="s">
        <v>409</v>
      </c>
      <c r="GV21" s="2" t="s">
        <v>410</v>
      </c>
      <c r="GW21" s="2" t="s">
        <v>411</v>
      </c>
      <c r="GX21" s="2" t="s">
        <v>140</v>
      </c>
      <c r="GY21" s="2">
        <v>1985</v>
      </c>
      <c r="GZ21" s="2" t="s">
        <v>398</v>
      </c>
      <c r="HB21" s="2" t="s">
        <v>412</v>
      </c>
    </row>
    <row r="22" spans="1:211" x14ac:dyDescent="0.45">
      <c r="A22" s="2" t="s">
        <v>427</v>
      </c>
      <c r="B22" s="2">
        <v>20</v>
      </c>
      <c r="C22" s="2" t="s">
        <v>425</v>
      </c>
      <c r="D22" s="2" t="s">
        <v>118</v>
      </c>
      <c r="G22" s="2"/>
      <c r="I22" s="2" t="s">
        <v>119</v>
      </c>
      <c r="J22" s="2" t="s">
        <v>426</v>
      </c>
      <c r="K22" s="2">
        <v>1039</v>
      </c>
      <c r="L22" s="2">
        <v>0</v>
      </c>
      <c r="M22" s="2" t="s">
        <v>122</v>
      </c>
      <c r="N22" s="2" t="s">
        <v>123</v>
      </c>
      <c r="P22" s="2"/>
      <c r="AD22" s="2" t="s">
        <v>124</v>
      </c>
      <c r="AE22" s="2" t="s">
        <v>428</v>
      </c>
      <c r="AF22" s="2">
        <v>2011</v>
      </c>
      <c r="AG22" s="2" t="s">
        <v>148</v>
      </c>
      <c r="AH22" s="2" t="s">
        <v>429</v>
      </c>
      <c r="AI22" s="2" t="s">
        <v>162</v>
      </c>
      <c r="AJ22" s="2" t="s">
        <v>162</v>
      </c>
      <c r="AK22" s="2" t="s">
        <v>128</v>
      </c>
      <c r="AL22" s="2" t="s">
        <v>128</v>
      </c>
      <c r="AM22" s="2" t="s">
        <v>128</v>
      </c>
      <c r="AN22" s="2">
        <v>2</v>
      </c>
      <c r="AO22" s="2" t="s">
        <v>131</v>
      </c>
      <c r="AP22" s="2" t="s">
        <v>302</v>
      </c>
      <c r="AQ22" s="2" t="s">
        <v>430</v>
      </c>
      <c r="AR22" s="2" t="s">
        <v>431</v>
      </c>
      <c r="AS22" s="2" t="s">
        <v>432</v>
      </c>
      <c r="AT22" s="2" t="s">
        <v>157</v>
      </c>
      <c r="AV22" s="2" t="s">
        <v>123</v>
      </c>
      <c r="AW22" s="2" t="s">
        <v>132</v>
      </c>
      <c r="CP22" s="2" t="s">
        <v>123</v>
      </c>
      <c r="CZ22" s="2" t="s">
        <v>123</v>
      </c>
      <c r="DJ22" s="2" t="s">
        <v>123</v>
      </c>
      <c r="EM22" s="2" t="s">
        <v>123</v>
      </c>
      <c r="EN22" s="2" t="s">
        <v>180</v>
      </c>
      <c r="EO22" s="2" t="s">
        <v>132</v>
      </c>
      <c r="FM22" s="2" t="s">
        <v>123</v>
      </c>
      <c r="FN22" s="2" t="s">
        <v>132</v>
      </c>
      <c r="FP22" s="2" t="s">
        <v>132</v>
      </c>
      <c r="GU22" s="2" t="s">
        <v>433</v>
      </c>
      <c r="GV22" s="2" t="s">
        <v>434</v>
      </c>
      <c r="GW22" s="2" t="s">
        <v>435</v>
      </c>
      <c r="GX22" s="2" t="s">
        <v>140</v>
      </c>
      <c r="GY22" s="2">
        <v>1987</v>
      </c>
      <c r="GZ22" s="2" t="s">
        <v>141</v>
      </c>
    </row>
    <row r="23" spans="1:211" x14ac:dyDescent="0.45">
      <c r="A23" s="2" t="s">
        <v>444</v>
      </c>
      <c r="B23" s="2">
        <v>21</v>
      </c>
      <c r="C23" s="2" t="s">
        <v>442</v>
      </c>
      <c r="D23" s="2" t="s">
        <v>118</v>
      </c>
      <c r="G23" s="2"/>
      <c r="I23" s="2" t="s">
        <v>119</v>
      </c>
      <c r="J23" s="2" t="s">
        <v>443</v>
      </c>
      <c r="K23" s="2">
        <v>6812</v>
      </c>
      <c r="L23" s="2">
        <v>0</v>
      </c>
      <c r="M23" s="2" t="s">
        <v>122</v>
      </c>
      <c r="N23" s="2" t="s">
        <v>123</v>
      </c>
      <c r="P23" s="2"/>
      <c r="AD23" s="2" t="s">
        <v>124</v>
      </c>
      <c r="AE23" s="2" t="s">
        <v>445</v>
      </c>
      <c r="AF23" s="2">
        <v>2019</v>
      </c>
      <c r="AG23" s="2" t="s">
        <v>148</v>
      </c>
      <c r="AH23" s="2" t="s">
        <v>446</v>
      </c>
      <c r="AI23" s="2" t="s">
        <v>150</v>
      </c>
      <c r="AJ23" s="2" t="s">
        <v>150</v>
      </c>
      <c r="AK23" s="2" t="s">
        <v>169</v>
      </c>
      <c r="AL23" s="2" t="s">
        <v>169</v>
      </c>
      <c r="AM23" s="2" t="s">
        <v>132</v>
      </c>
      <c r="AN23" s="2" t="s">
        <v>237</v>
      </c>
      <c r="AO23" s="2" t="s">
        <v>226</v>
      </c>
      <c r="AP23" s="2" t="s">
        <v>132</v>
      </c>
      <c r="AQ23" s="2" t="s">
        <v>447</v>
      </c>
      <c r="AR23" s="2" t="s">
        <v>448</v>
      </c>
      <c r="AS23" s="2" t="s">
        <v>449</v>
      </c>
      <c r="AT23" s="2" t="s">
        <v>157</v>
      </c>
      <c r="AV23" s="2" t="s">
        <v>123</v>
      </c>
      <c r="AW23" s="2" t="s">
        <v>132</v>
      </c>
      <c r="CP23" s="2" t="s">
        <v>387</v>
      </c>
      <c r="CQ23" s="2" t="s">
        <v>445</v>
      </c>
      <c r="CR23" s="2" t="s">
        <v>450</v>
      </c>
      <c r="CS23" s="2" t="s">
        <v>169</v>
      </c>
      <c r="CT23" s="2" t="s">
        <v>169</v>
      </c>
      <c r="CU23" s="2" t="s">
        <v>169</v>
      </c>
      <c r="CV23" s="2" t="s">
        <v>150</v>
      </c>
      <c r="CW23" s="2" t="s">
        <v>150</v>
      </c>
      <c r="CX23" s="2" t="s">
        <v>150</v>
      </c>
      <c r="CY23" s="2" t="s">
        <v>451</v>
      </c>
      <c r="CZ23" s="2" t="s">
        <v>123</v>
      </c>
      <c r="DJ23" s="2" t="s">
        <v>123</v>
      </c>
      <c r="EM23" s="2" t="s">
        <v>123</v>
      </c>
      <c r="EN23" s="2" t="s">
        <v>180</v>
      </c>
      <c r="EO23" s="2" t="s">
        <v>132</v>
      </c>
      <c r="FM23" s="2" t="s">
        <v>123</v>
      </c>
      <c r="FN23" s="2" t="s">
        <v>132</v>
      </c>
      <c r="FP23" s="2" t="s">
        <v>132</v>
      </c>
      <c r="GU23" s="2" t="s">
        <v>452</v>
      </c>
      <c r="GV23" s="2" t="s">
        <v>453</v>
      </c>
      <c r="GW23" s="2" t="s">
        <v>454</v>
      </c>
      <c r="GX23" s="2" t="s">
        <v>140</v>
      </c>
      <c r="GY23" s="2">
        <v>1994</v>
      </c>
      <c r="GZ23" s="2" t="s">
        <v>220</v>
      </c>
      <c r="HB23" s="2" t="s">
        <v>455</v>
      </c>
      <c r="HC23" s="2" t="s">
        <v>456</v>
      </c>
    </row>
    <row r="24" spans="1:211" x14ac:dyDescent="0.45">
      <c r="A24" s="2" t="s">
        <v>460</v>
      </c>
      <c r="B24" s="2">
        <v>22</v>
      </c>
      <c r="C24" s="2" t="s">
        <v>458</v>
      </c>
      <c r="D24" s="2" t="s">
        <v>118</v>
      </c>
      <c r="E24" s="2" t="s">
        <v>359</v>
      </c>
      <c r="G24" s="2"/>
      <c r="I24" s="2" t="s">
        <v>119</v>
      </c>
      <c r="J24" s="2" t="s">
        <v>459</v>
      </c>
      <c r="K24" s="2">
        <v>490</v>
      </c>
      <c r="L24" s="2">
        <v>0</v>
      </c>
      <c r="M24" s="2" t="s">
        <v>122</v>
      </c>
      <c r="N24" s="2" t="s">
        <v>416</v>
      </c>
      <c r="O24" s="2" t="s">
        <v>445</v>
      </c>
      <c r="P24" s="2" t="s">
        <v>148</v>
      </c>
      <c r="Q24" s="2" t="s">
        <v>461</v>
      </c>
      <c r="R24" s="2" t="s">
        <v>169</v>
      </c>
      <c r="S24" s="2" t="s">
        <v>169</v>
      </c>
      <c r="T24" s="2" t="s">
        <v>169</v>
      </c>
      <c r="U24" s="2" t="s">
        <v>462</v>
      </c>
      <c r="V24" s="2" t="s">
        <v>302</v>
      </c>
      <c r="W24" s="2" t="s">
        <v>302</v>
      </c>
      <c r="X24" s="2" t="s">
        <v>463</v>
      </c>
      <c r="Y24" s="2" t="s">
        <v>464</v>
      </c>
      <c r="Z24" s="2" t="s">
        <v>465</v>
      </c>
      <c r="AA24" s="2" t="s">
        <v>157</v>
      </c>
      <c r="AB24" s="2" t="s">
        <v>466</v>
      </c>
      <c r="AC24" s="2" t="s">
        <v>467</v>
      </c>
      <c r="AD24" s="2" t="s">
        <v>123</v>
      </c>
      <c r="AV24" s="2" t="s">
        <v>123</v>
      </c>
      <c r="AW24" s="2" t="s">
        <v>132</v>
      </c>
      <c r="CP24" s="2" t="s">
        <v>123</v>
      </c>
      <c r="CZ24" s="2" t="s">
        <v>123</v>
      </c>
      <c r="DJ24" s="2" t="s">
        <v>123</v>
      </c>
      <c r="EM24" s="2" t="s">
        <v>123</v>
      </c>
      <c r="EN24" s="2" t="s">
        <v>180</v>
      </c>
      <c r="EO24" s="2" t="s">
        <v>132</v>
      </c>
      <c r="FM24" s="2" t="s">
        <v>123</v>
      </c>
      <c r="FN24" s="2" t="s">
        <v>132</v>
      </c>
      <c r="FP24" s="2" t="s">
        <v>132</v>
      </c>
      <c r="GU24" s="2" t="s">
        <v>468</v>
      </c>
      <c r="GV24" s="2" t="s">
        <v>469</v>
      </c>
      <c r="GW24" s="2" t="s">
        <v>142</v>
      </c>
      <c r="GX24" s="2" t="s">
        <v>140</v>
      </c>
      <c r="GY24" s="2">
        <v>1996</v>
      </c>
      <c r="GZ24" s="2" t="s">
        <v>141</v>
      </c>
      <c r="HB24" s="2" t="s">
        <v>470</v>
      </c>
      <c r="HC24" s="2" t="s">
        <v>471</v>
      </c>
    </row>
    <row r="25" spans="1:211" x14ac:dyDescent="0.45">
      <c r="A25" s="2" t="s">
        <v>474</v>
      </c>
      <c r="B25" s="2">
        <v>23</v>
      </c>
      <c r="C25" s="2" t="s">
        <v>472</v>
      </c>
      <c r="D25" s="2" t="s">
        <v>118</v>
      </c>
      <c r="E25" s="2" t="s">
        <v>375</v>
      </c>
      <c r="G25" s="2"/>
      <c r="I25" s="2" t="s">
        <v>119</v>
      </c>
      <c r="J25" s="2" t="s">
        <v>473</v>
      </c>
      <c r="K25" s="2">
        <v>2507</v>
      </c>
      <c r="L25" s="2">
        <v>0</v>
      </c>
      <c r="M25" s="2" t="s">
        <v>122</v>
      </c>
      <c r="N25" s="2" t="s">
        <v>416</v>
      </c>
      <c r="O25" s="2" t="s">
        <v>445</v>
      </c>
      <c r="P25" s="2" t="s">
        <v>148</v>
      </c>
      <c r="Q25" s="2" t="s">
        <v>475</v>
      </c>
      <c r="R25" s="2" t="s">
        <v>169</v>
      </c>
      <c r="S25" s="2" t="s">
        <v>169</v>
      </c>
      <c r="T25" s="2" t="s">
        <v>151</v>
      </c>
      <c r="U25" s="2" t="s">
        <v>476</v>
      </c>
      <c r="V25" s="2" t="s">
        <v>302</v>
      </c>
      <c r="W25" s="2" t="s">
        <v>302</v>
      </c>
      <c r="Y25" s="2" t="s">
        <v>477</v>
      </c>
      <c r="Z25" s="2" t="s">
        <v>478</v>
      </c>
      <c r="AA25" s="2" t="s">
        <v>157</v>
      </c>
      <c r="AC25" s="2" t="s">
        <v>479</v>
      </c>
      <c r="AD25" s="2" t="s">
        <v>123</v>
      </c>
      <c r="AV25" s="2" t="s">
        <v>123</v>
      </c>
      <c r="AW25" s="2" t="s">
        <v>132</v>
      </c>
      <c r="CP25" s="2" t="s">
        <v>123</v>
      </c>
      <c r="CZ25" s="2" t="s">
        <v>123</v>
      </c>
      <c r="DJ25" s="2" t="s">
        <v>123</v>
      </c>
      <c r="EM25" s="2" t="s">
        <v>123</v>
      </c>
      <c r="FM25" s="2" t="s">
        <v>123</v>
      </c>
      <c r="FN25" s="2" t="s">
        <v>132</v>
      </c>
      <c r="GU25" s="2" t="s">
        <v>480</v>
      </c>
      <c r="GV25" s="2" t="s">
        <v>481</v>
      </c>
      <c r="GW25" s="2" t="s">
        <v>482</v>
      </c>
      <c r="GX25" s="2" t="s">
        <v>140</v>
      </c>
      <c r="GY25" s="2">
        <v>1996</v>
      </c>
      <c r="GZ25" s="2" t="s">
        <v>483</v>
      </c>
    </row>
    <row r="26" spans="1:211" x14ac:dyDescent="0.45">
      <c r="A26" s="2" t="s">
        <v>486</v>
      </c>
      <c r="B26" s="2">
        <v>24</v>
      </c>
      <c r="C26" s="2" t="s">
        <v>484</v>
      </c>
      <c r="D26" s="2" t="s">
        <v>118</v>
      </c>
      <c r="E26" s="2" t="s">
        <v>359</v>
      </c>
      <c r="G26" s="2"/>
      <c r="I26" s="2" t="s">
        <v>119</v>
      </c>
      <c r="J26" s="2" t="s">
        <v>485</v>
      </c>
      <c r="K26" s="2">
        <v>709</v>
      </c>
      <c r="L26" s="2">
        <v>0</v>
      </c>
      <c r="M26" s="2" t="s">
        <v>122</v>
      </c>
      <c r="N26" s="2" t="s">
        <v>123</v>
      </c>
      <c r="P26" s="2"/>
      <c r="AD26" s="2" t="s">
        <v>124</v>
      </c>
      <c r="AE26" s="2" t="s">
        <v>445</v>
      </c>
      <c r="AF26" s="2">
        <v>2018</v>
      </c>
      <c r="AG26" s="2" t="s">
        <v>148</v>
      </c>
      <c r="AH26" s="2" t="s">
        <v>487</v>
      </c>
      <c r="AI26" s="2" t="s">
        <v>162</v>
      </c>
      <c r="AJ26" s="2" t="s">
        <v>162</v>
      </c>
      <c r="AK26" s="2" t="s">
        <v>151</v>
      </c>
      <c r="AL26" s="2" t="s">
        <v>129</v>
      </c>
      <c r="AM26" s="2" t="s">
        <v>151</v>
      </c>
      <c r="AN26" s="2">
        <v>2</v>
      </c>
      <c r="AO26" s="2" t="s">
        <v>131</v>
      </c>
      <c r="AP26" s="2" t="s">
        <v>153</v>
      </c>
      <c r="AQ26" s="2" t="s">
        <v>488</v>
      </c>
      <c r="AR26" s="2" t="s">
        <v>489</v>
      </c>
      <c r="AS26" s="2" t="s">
        <v>490</v>
      </c>
      <c r="AT26" s="2" t="s">
        <v>157</v>
      </c>
      <c r="AV26" s="2" t="s">
        <v>123</v>
      </c>
      <c r="CP26" s="2" t="s">
        <v>123</v>
      </c>
      <c r="CZ26" s="2" t="s">
        <v>123</v>
      </c>
      <c r="DJ26" s="2" t="s">
        <v>123</v>
      </c>
      <c r="EM26" s="2" t="s">
        <v>123</v>
      </c>
      <c r="EN26" s="2" t="s">
        <v>180</v>
      </c>
      <c r="FM26" s="2" t="s">
        <v>123</v>
      </c>
      <c r="FN26" s="2" t="s">
        <v>132</v>
      </c>
      <c r="FP26" s="2" t="s">
        <v>132</v>
      </c>
      <c r="GU26" s="2" t="s">
        <v>491</v>
      </c>
      <c r="GV26" s="2" t="s">
        <v>492</v>
      </c>
      <c r="GW26" s="2" t="s">
        <v>493</v>
      </c>
      <c r="GX26" s="2" t="s">
        <v>186</v>
      </c>
      <c r="GY26" s="2">
        <v>1994</v>
      </c>
      <c r="GZ26" s="2" t="s">
        <v>483</v>
      </c>
      <c r="HB26" s="2" t="s">
        <v>494</v>
      </c>
      <c r="HC26" s="2" t="s">
        <v>495</v>
      </c>
    </row>
    <row r="27" spans="1:211" x14ac:dyDescent="0.45">
      <c r="A27" s="2" t="s">
        <v>501</v>
      </c>
      <c r="B27" s="2">
        <v>25</v>
      </c>
      <c r="C27" s="2" t="s">
        <v>500</v>
      </c>
      <c r="D27" s="2" t="s">
        <v>118</v>
      </c>
      <c r="E27" s="2" t="s">
        <v>375</v>
      </c>
      <c r="G27" s="2"/>
      <c r="I27" s="2" t="s">
        <v>119</v>
      </c>
      <c r="J27" s="2" t="s">
        <v>499</v>
      </c>
      <c r="K27" s="2">
        <v>394</v>
      </c>
      <c r="L27" s="2">
        <v>0</v>
      </c>
      <c r="M27" s="2" t="s">
        <v>122</v>
      </c>
      <c r="N27" s="2" t="s">
        <v>123</v>
      </c>
      <c r="P27" s="2"/>
      <c r="AD27" s="2" t="s">
        <v>124</v>
      </c>
      <c r="AE27" s="2" t="s">
        <v>445</v>
      </c>
      <c r="AF27" s="2">
        <v>2019</v>
      </c>
      <c r="AG27" s="2" t="s">
        <v>148</v>
      </c>
      <c r="AH27" s="2" t="s">
        <v>502</v>
      </c>
      <c r="AI27" s="2" t="s">
        <v>162</v>
      </c>
      <c r="AJ27" s="2" t="s">
        <v>162</v>
      </c>
      <c r="AK27" s="2" t="s">
        <v>162</v>
      </c>
      <c r="AL27" s="2" t="s">
        <v>150</v>
      </c>
      <c r="AM27" s="2" t="s">
        <v>132</v>
      </c>
      <c r="AN27" s="2">
        <v>0</v>
      </c>
      <c r="AO27" s="2" t="s">
        <v>153</v>
      </c>
      <c r="AP27" s="2" t="s">
        <v>132</v>
      </c>
      <c r="AQ27" s="2" t="s">
        <v>503</v>
      </c>
      <c r="AR27" s="2" t="s">
        <v>504</v>
      </c>
      <c r="AS27" s="2" t="s">
        <v>505</v>
      </c>
      <c r="AT27" s="2" t="s">
        <v>157</v>
      </c>
      <c r="AV27" s="2" t="s">
        <v>123</v>
      </c>
      <c r="AW27" s="2" t="s">
        <v>132</v>
      </c>
      <c r="CP27" s="2" t="s">
        <v>123</v>
      </c>
      <c r="CZ27" s="2" t="s">
        <v>123</v>
      </c>
      <c r="DJ27" s="2" t="s">
        <v>123</v>
      </c>
      <c r="EM27" s="2" t="s">
        <v>123</v>
      </c>
      <c r="EN27" s="2" t="s">
        <v>180</v>
      </c>
      <c r="EO27" s="2" t="s">
        <v>132</v>
      </c>
      <c r="FM27" s="2" t="s">
        <v>123</v>
      </c>
      <c r="FN27" s="2" t="s">
        <v>132</v>
      </c>
      <c r="FP27" s="2" t="s">
        <v>132</v>
      </c>
      <c r="GU27" s="2" t="s">
        <v>506</v>
      </c>
      <c r="GV27" s="2" t="s">
        <v>507</v>
      </c>
      <c r="GW27" s="2" t="s">
        <v>508</v>
      </c>
      <c r="GX27" s="2" t="s">
        <v>140</v>
      </c>
      <c r="GY27" s="2">
        <v>1994</v>
      </c>
      <c r="GZ27" s="2" t="s">
        <v>220</v>
      </c>
      <c r="HB27" s="2" t="s">
        <v>509</v>
      </c>
      <c r="HC27" s="2" t="s">
        <v>510</v>
      </c>
    </row>
    <row r="28" spans="1:211" x14ac:dyDescent="0.45">
      <c r="A28" s="2" t="s">
        <v>513</v>
      </c>
      <c r="B28" s="2">
        <v>26</v>
      </c>
      <c r="C28" s="2" t="s">
        <v>511</v>
      </c>
      <c r="D28" s="2" t="s">
        <v>118</v>
      </c>
      <c r="E28" s="2" t="s">
        <v>375</v>
      </c>
      <c r="G28" s="2"/>
      <c r="I28" s="2" t="s">
        <v>119</v>
      </c>
      <c r="J28" s="2" t="s">
        <v>512</v>
      </c>
      <c r="K28" s="2">
        <v>424</v>
      </c>
      <c r="L28" s="2">
        <v>0</v>
      </c>
      <c r="M28" s="2" t="s">
        <v>122</v>
      </c>
      <c r="N28" s="2" t="s">
        <v>123</v>
      </c>
      <c r="P28" s="2"/>
      <c r="AD28" s="2" t="s">
        <v>124</v>
      </c>
      <c r="AE28" s="2" t="s">
        <v>445</v>
      </c>
      <c r="AF28" s="2">
        <v>2018</v>
      </c>
      <c r="AG28" s="2" t="s">
        <v>148</v>
      </c>
      <c r="AH28" s="2" t="s">
        <v>514</v>
      </c>
      <c r="AI28" s="2" t="s">
        <v>150</v>
      </c>
      <c r="AJ28" s="2" t="s">
        <v>169</v>
      </c>
      <c r="AK28" s="2" t="s">
        <v>169</v>
      </c>
      <c r="AL28" s="2" t="s">
        <v>150</v>
      </c>
      <c r="AM28" s="2" t="s">
        <v>132</v>
      </c>
      <c r="AN28" s="2" t="s">
        <v>515</v>
      </c>
      <c r="AO28" s="2" t="s">
        <v>302</v>
      </c>
      <c r="AP28" s="2" t="s">
        <v>132</v>
      </c>
      <c r="AQ28" s="2" t="s">
        <v>516</v>
      </c>
      <c r="AR28" s="2" t="s">
        <v>517</v>
      </c>
      <c r="AS28" s="2" t="s">
        <v>142</v>
      </c>
      <c r="AT28" s="2" t="s">
        <v>157</v>
      </c>
      <c r="AV28" s="2" t="s">
        <v>123</v>
      </c>
      <c r="AW28" s="2" t="s">
        <v>132</v>
      </c>
      <c r="CP28" s="2" t="s">
        <v>123</v>
      </c>
      <c r="CZ28" s="2" t="s">
        <v>214</v>
      </c>
      <c r="DA28" s="2" t="s">
        <v>445</v>
      </c>
      <c r="DB28" s="2" t="s">
        <v>518</v>
      </c>
      <c r="DC28" s="2" t="s">
        <v>169</v>
      </c>
      <c r="DD28" s="2" t="s">
        <v>150</v>
      </c>
      <c r="DE28" s="2" t="s">
        <v>162</v>
      </c>
      <c r="DF28" s="2" t="s">
        <v>150</v>
      </c>
      <c r="DG28" s="2" t="s">
        <v>150</v>
      </c>
      <c r="DH28" s="2" t="s">
        <v>151</v>
      </c>
      <c r="DJ28" s="2" t="s">
        <v>123</v>
      </c>
      <c r="EM28" s="2" t="s">
        <v>123</v>
      </c>
      <c r="EN28" s="2" t="s">
        <v>180</v>
      </c>
      <c r="EO28" s="2" t="s">
        <v>132</v>
      </c>
      <c r="FM28" s="2" t="s">
        <v>123</v>
      </c>
      <c r="FN28" s="2" t="s">
        <v>132</v>
      </c>
      <c r="FP28" s="2" t="s">
        <v>132</v>
      </c>
      <c r="GU28" s="2" t="s">
        <v>519</v>
      </c>
      <c r="GV28" s="2" t="s">
        <v>520</v>
      </c>
      <c r="GW28" s="2" t="s">
        <v>142</v>
      </c>
      <c r="GX28" s="2" t="s">
        <v>186</v>
      </c>
      <c r="GY28" s="2">
        <v>1994</v>
      </c>
      <c r="GZ28" s="2" t="s">
        <v>141</v>
      </c>
      <c r="HC28" s="2" t="s">
        <v>521</v>
      </c>
    </row>
    <row r="29" spans="1:211" x14ac:dyDescent="0.45">
      <c r="A29" s="2" t="s">
        <v>529</v>
      </c>
      <c r="B29" s="2">
        <v>27</v>
      </c>
      <c r="C29" s="2" t="s">
        <v>527</v>
      </c>
      <c r="D29" s="2" t="s">
        <v>118</v>
      </c>
      <c r="G29" s="2"/>
      <c r="I29" s="2" t="s">
        <v>119</v>
      </c>
      <c r="J29" s="2" t="s">
        <v>528</v>
      </c>
      <c r="K29" s="2">
        <v>283</v>
      </c>
      <c r="L29" s="2">
        <v>0</v>
      </c>
      <c r="M29" s="2" t="s">
        <v>122</v>
      </c>
      <c r="N29" s="2" t="s">
        <v>416</v>
      </c>
      <c r="O29" s="2" t="s">
        <v>445</v>
      </c>
      <c r="P29" s="2" t="s">
        <v>148</v>
      </c>
      <c r="Q29" s="2" t="s">
        <v>461</v>
      </c>
      <c r="R29" s="2" t="s">
        <v>169</v>
      </c>
      <c r="S29" s="2" t="s">
        <v>162</v>
      </c>
      <c r="T29" s="2" t="s">
        <v>162</v>
      </c>
      <c r="U29" s="2" t="s">
        <v>530</v>
      </c>
      <c r="V29" s="2" t="s">
        <v>131</v>
      </c>
      <c r="W29" s="2" t="s">
        <v>153</v>
      </c>
      <c r="Y29" s="2" t="s">
        <v>531</v>
      </c>
      <c r="Z29" s="2" t="s">
        <v>532</v>
      </c>
      <c r="AA29" s="2" t="s">
        <v>172</v>
      </c>
      <c r="AC29" s="2" t="s">
        <v>533</v>
      </c>
      <c r="AD29" s="2" t="s">
        <v>123</v>
      </c>
      <c r="AV29" s="2" t="s">
        <v>123</v>
      </c>
      <c r="CP29" s="2" t="s">
        <v>123</v>
      </c>
      <c r="CZ29" s="2" t="s">
        <v>123</v>
      </c>
      <c r="DJ29" s="2" t="s">
        <v>123</v>
      </c>
      <c r="EM29" s="2" t="s">
        <v>123</v>
      </c>
      <c r="FM29" s="2" t="s">
        <v>123</v>
      </c>
      <c r="FN29" s="2" t="s">
        <v>132</v>
      </c>
      <c r="GU29" s="2" t="s">
        <v>534</v>
      </c>
      <c r="GV29" s="2" t="s">
        <v>535</v>
      </c>
      <c r="GW29" s="2" t="s">
        <v>532</v>
      </c>
      <c r="GX29" s="2" t="s">
        <v>140</v>
      </c>
      <c r="GY29" s="2">
        <v>1996</v>
      </c>
      <c r="GZ29" s="2" t="s">
        <v>483</v>
      </c>
      <c r="HB29" s="2" t="s">
        <v>536</v>
      </c>
      <c r="HC29" s="2" t="s">
        <v>537</v>
      </c>
    </row>
    <row r="30" spans="1:211" x14ac:dyDescent="0.45">
      <c r="A30" s="2" t="s">
        <v>552</v>
      </c>
      <c r="B30" s="2">
        <v>28</v>
      </c>
      <c r="C30" s="2" t="s">
        <v>550</v>
      </c>
      <c r="D30" s="2" t="s">
        <v>118</v>
      </c>
      <c r="E30" s="2" t="s">
        <v>375</v>
      </c>
      <c r="G30" s="2"/>
      <c r="I30" s="2" t="s">
        <v>119</v>
      </c>
      <c r="J30" s="2" t="s">
        <v>551</v>
      </c>
      <c r="K30" s="2">
        <v>836</v>
      </c>
      <c r="L30" s="2">
        <v>0</v>
      </c>
      <c r="M30" s="2" t="s">
        <v>122</v>
      </c>
      <c r="N30" s="2" t="s">
        <v>123</v>
      </c>
      <c r="P30" s="2"/>
      <c r="AD30" s="2" t="s">
        <v>124</v>
      </c>
      <c r="AE30" s="2" t="s">
        <v>553</v>
      </c>
      <c r="AF30" s="2">
        <v>2019</v>
      </c>
      <c r="AG30" s="2" t="s">
        <v>148</v>
      </c>
      <c r="AH30" s="2" t="s">
        <v>554</v>
      </c>
      <c r="AI30" s="2" t="s">
        <v>162</v>
      </c>
      <c r="AJ30" s="2" t="s">
        <v>162</v>
      </c>
      <c r="AK30" s="2" t="s">
        <v>236</v>
      </c>
      <c r="AL30" s="2" t="s">
        <v>151</v>
      </c>
      <c r="AM30" s="2" t="s">
        <v>162</v>
      </c>
      <c r="AN30" s="2" t="s">
        <v>237</v>
      </c>
      <c r="AO30" s="2" t="s">
        <v>132</v>
      </c>
      <c r="AP30" s="2" t="s">
        <v>132</v>
      </c>
      <c r="AQ30" s="2" t="s">
        <v>555</v>
      </c>
      <c r="AR30" s="2" t="s">
        <v>556</v>
      </c>
      <c r="AS30" s="2" t="s">
        <v>557</v>
      </c>
      <c r="AT30" s="2" t="s">
        <v>230</v>
      </c>
      <c r="AV30" s="2" t="s">
        <v>123</v>
      </c>
      <c r="CP30" s="2" t="s">
        <v>123</v>
      </c>
      <c r="CZ30" s="2" t="s">
        <v>123</v>
      </c>
      <c r="DJ30" s="2" t="s">
        <v>123</v>
      </c>
      <c r="EM30" s="2" t="s">
        <v>123</v>
      </c>
      <c r="FM30" s="2" t="s">
        <v>123</v>
      </c>
      <c r="FN30" s="2" t="s">
        <v>132</v>
      </c>
      <c r="GU30" s="2" t="s">
        <v>558</v>
      </c>
      <c r="GV30" s="2" t="s">
        <v>559</v>
      </c>
      <c r="GW30" s="2" t="s">
        <v>560</v>
      </c>
      <c r="GX30" s="2" t="s">
        <v>140</v>
      </c>
      <c r="GY30" s="2">
        <v>1994</v>
      </c>
      <c r="GZ30" s="2" t="s">
        <v>483</v>
      </c>
      <c r="HB30" s="2" t="s">
        <v>561</v>
      </c>
      <c r="HC30" s="2" t="s">
        <v>386</v>
      </c>
    </row>
    <row r="31" spans="1:211" x14ac:dyDescent="0.45">
      <c r="A31" s="2" t="s">
        <v>572</v>
      </c>
      <c r="B31" s="2">
        <v>29</v>
      </c>
      <c r="C31" s="2" t="s">
        <v>570</v>
      </c>
      <c r="D31" s="2" t="s">
        <v>118</v>
      </c>
      <c r="E31" s="2" t="s">
        <v>548</v>
      </c>
      <c r="G31" s="2"/>
      <c r="I31" s="2" t="s">
        <v>119</v>
      </c>
      <c r="J31" s="2" t="s">
        <v>571</v>
      </c>
      <c r="K31" s="2">
        <v>751</v>
      </c>
      <c r="L31" s="2">
        <v>0</v>
      </c>
      <c r="M31" s="2" t="s">
        <v>122</v>
      </c>
      <c r="N31" s="2" t="s">
        <v>416</v>
      </c>
      <c r="O31" s="2" t="s">
        <v>445</v>
      </c>
      <c r="P31" s="2" t="s">
        <v>148</v>
      </c>
      <c r="Q31" s="2" t="s">
        <v>573</v>
      </c>
      <c r="R31" s="2" t="s">
        <v>162</v>
      </c>
      <c r="S31" s="2" t="s">
        <v>128</v>
      </c>
      <c r="T31" s="2" t="s">
        <v>151</v>
      </c>
      <c r="U31" s="2" t="s">
        <v>237</v>
      </c>
      <c r="V31" s="2" t="s">
        <v>302</v>
      </c>
      <c r="W31" s="2" t="s">
        <v>153</v>
      </c>
      <c r="X31" s="2" t="s">
        <v>574</v>
      </c>
      <c r="Y31" s="2" t="s">
        <v>575</v>
      </c>
      <c r="Z31" s="2" t="s">
        <v>576</v>
      </c>
      <c r="AA31" s="2" t="s">
        <v>172</v>
      </c>
      <c r="AC31" s="2" t="s">
        <v>577</v>
      </c>
      <c r="AD31" s="2" t="s">
        <v>123</v>
      </c>
      <c r="AV31" s="2" t="s">
        <v>123</v>
      </c>
      <c r="AW31" s="2" t="s">
        <v>132</v>
      </c>
      <c r="CP31" s="2" t="s">
        <v>123</v>
      </c>
      <c r="CZ31" s="2" t="s">
        <v>123</v>
      </c>
      <c r="DJ31" s="2" t="s">
        <v>123</v>
      </c>
      <c r="EM31" s="2" t="s">
        <v>123</v>
      </c>
      <c r="FM31" s="2" t="s">
        <v>123</v>
      </c>
      <c r="FN31" s="2" t="s">
        <v>132</v>
      </c>
      <c r="FP31" s="2" t="s">
        <v>132</v>
      </c>
      <c r="GU31" s="2" t="s">
        <v>578</v>
      </c>
      <c r="GV31" s="2" t="s">
        <v>579</v>
      </c>
      <c r="GW31" s="2" t="s">
        <v>580</v>
      </c>
      <c r="GX31" s="2" t="s">
        <v>186</v>
      </c>
      <c r="GY31" s="2">
        <v>1997</v>
      </c>
      <c r="GZ31" s="2" t="s">
        <v>483</v>
      </c>
      <c r="HB31" s="2" t="s">
        <v>532</v>
      </c>
    </row>
    <row r="32" spans="1:211" x14ac:dyDescent="0.45">
      <c r="A32" s="2" t="s">
        <v>587</v>
      </c>
      <c r="B32" s="2">
        <v>30</v>
      </c>
      <c r="C32" s="2" t="s">
        <v>585</v>
      </c>
      <c r="D32" s="2" t="s">
        <v>118</v>
      </c>
      <c r="E32" s="2" t="s">
        <v>375</v>
      </c>
      <c r="G32" s="2"/>
      <c r="I32" s="2" t="s">
        <v>119</v>
      </c>
      <c r="J32" s="2" t="s">
        <v>586</v>
      </c>
      <c r="K32" s="2">
        <v>387</v>
      </c>
      <c r="L32" s="2">
        <v>0</v>
      </c>
      <c r="M32" s="2" t="s">
        <v>122</v>
      </c>
      <c r="N32" s="2" t="s">
        <v>416</v>
      </c>
      <c r="O32" s="2" t="s">
        <v>445</v>
      </c>
      <c r="P32" s="2" t="s">
        <v>148</v>
      </c>
      <c r="Q32" s="2" t="s">
        <v>588</v>
      </c>
      <c r="R32" s="2" t="s">
        <v>162</v>
      </c>
      <c r="S32" s="2" t="s">
        <v>150</v>
      </c>
      <c r="T32" s="2" t="s">
        <v>162</v>
      </c>
      <c r="U32" s="2" t="s">
        <v>589</v>
      </c>
      <c r="V32" s="2" t="s">
        <v>302</v>
      </c>
      <c r="W32" s="2" t="s">
        <v>153</v>
      </c>
      <c r="Y32" s="2" t="s">
        <v>590</v>
      </c>
      <c r="Z32" s="2" t="s">
        <v>591</v>
      </c>
      <c r="AA32" s="2" t="s">
        <v>172</v>
      </c>
      <c r="AC32" s="2" t="s">
        <v>533</v>
      </c>
      <c r="AD32" s="2" t="s">
        <v>123</v>
      </c>
      <c r="AV32" s="2" t="s">
        <v>123</v>
      </c>
      <c r="CP32" s="2" t="s">
        <v>123</v>
      </c>
      <c r="CZ32" s="2" t="s">
        <v>123</v>
      </c>
      <c r="DJ32" s="2" t="s">
        <v>123</v>
      </c>
      <c r="EM32" s="2" t="s">
        <v>123</v>
      </c>
      <c r="FM32" s="2" t="s">
        <v>123</v>
      </c>
      <c r="FN32" s="2" t="s">
        <v>132</v>
      </c>
      <c r="GU32" s="2" t="s">
        <v>592</v>
      </c>
      <c r="GV32" s="2" t="s">
        <v>593</v>
      </c>
      <c r="GW32" s="2" t="s">
        <v>594</v>
      </c>
      <c r="GX32" s="2" t="s">
        <v>140</v>
      </c>
      <c r="GY32" s="2">
        <v>1997</v>
      </c>
      <c r="GZ32" s="2" t="s">
        <v>141</v>
      </c>
      <c r="HB32" s="2" t="s">
        <v>595</v>
      </c>
    </row>
    <row r="33" spans="1:212" x14ac:dyDescent="0.45">
      <c r="A33" s="2" t="s">
        <v>600</v>
      </c>
      <c r="B33" s="2">
        <v>31</v>
      </c>
      <c r="C33" s="2" t="s">
        <v>598</v>
      </c>
      <c r="D33" s="2" t="s">
        <v>118</v>
      </c>
      <c r="E33" s="2" t="s">
        <v>359</v>
      </c>
      <c r="G33" s="2"/>
      <c r="I33" s="2" t="s">
        <v>119</v>
      </c>
      <c r="J33" s="2" t="s">
        <v>599</v>
      </c>
      <c r="K33" s="2">
        <v>61362</v>
      </c>
      <c r="L33" s="2">
        <v>0</v>
      </c>
      <c r="M33" s="2" t="s">
        <v>122</v>
      </c>
      <c r="N33" s="2" t="s">
        <v>123</v>
      </c>
      <c r="P33" s="2"/>
      <c r="AD33" s="2" t="s">
        <v>124</v>
      </c>
      <c r="AE33" s="2" t="s">
        <v>445</v>
      </c>
      <c r="AF33" s="2">
        <v>2018</v>
      </c>
      <c r="AG33" s="2" t="s">
        <v>148</v>
      </c>
      <c r="AH33" s="2" t="s">
        <v>601</v>
      </c>
      <c r="AI33" s="2" t="s">
        <v>150</v>
      </c>
      <c r="AJ33" s="2" t="s">
        <v>162</v>
      </c>
      <c r="AK33" s="2" t="s">
        <v>128</v>
      </c>
      <c r="AL33" s="2" t="s">
        <v>129</v>
      </c>
      <c r="AM33" s="2" t="s">
        <v>132</v>
      </c>
      <c r="AN33" s="2" t="s">
        <v>602</v>
      </c>
      <c r="AO33" s="2" t="s">
        <v>131</v>
      </c>
      <c r="AP33" s="2" t="s">
        <v>132</v>
      </c>
      <c r="AR33" s="2" t="s">
        <v>603</v>
      </c>
      <c r="AS33" s="2" t="s">
        <v>604</v>
      </c>
      <c r="AT33" s="2" t="s">
        <v>157</v>
      </c>
      <c r="AV33" s="2" t="s">
        <v>123</v>
      </c>
      <c r="AW33" s="2" t="s">
        <v>132</v>
      </c>
      <c r="CP33" s="2" t="s">
        <v>123</v>
      </c>
      <c r="CZ33" s="2" t="s">
        <v>123</v>
      </c>
      <c r="DJ33" s="2" t="s">
        <v>123</v>
      </c>
      <c r="EM33" s="2" t="s">
        <v>123</v>
      </c>
      <c r="EN33" s="2" t="s">
        <v>180</v>
      </c>
      <c r="EO33" s="2" t="s">
        <v>132</v>
      </c>
      <c r="FM33" s="2" t="s">
        <v>123</v>
      </c>
      <c r="FN33" s="2" t="s">
        <v>132</v>
      </c>
      <c r="FP33" s="2" t="s">
        <v>132</v>
      </c>
      <c r="GU33" s="2" t="s">
        <v>605</v>
      </c>
      <c r="GV33" s="2" t="s">
        <v>606</v>
      </c>
      <c r="GW33" s="2" t="s">
        <v>607</v>
      </c>
      <c r="GX33" s="2" t="s">
        <v>140</v>
      </c>
      <c r="GY33" s="2">
        <v>1994</v>
      </c>
      <c r="GZ33" s="2" t="s">
        <v>483</v>
      </c>
      <c r="HB33" s="2" t="s">
        <v>608</v>
      </c>
      <c r="HC33" s="2" t="s">
        <v>609</v>
      </c>
    </row>
    <row r="34" spans="1:212" x14ac:dyDescent="0.45">
      <c r="A34" s="2" t="s">
        <v>612</v>
      </c>
      <c r="B34" s="2">
        <v>32</v>
      </c>
      <c r="C34" s="2" t="s">
        <v>610</v>
      </c>
      <c r="D34" s="2" t="s">
        <v>118</v>
      </c>
      <c r="E34" s="2" t="s">
        <v>548</v>
      </c>
      <c r="G34" s="2"/>
      <c r="I34" s="2" t="s">
        <v>119</v>
      </c>
      <c r="J34" s="2" t="s">
        <v>611</v>
      </c>
      <c r="K34" s="2">
        <v>551</v>
      </c>
      <c r="L34" s="2">
        <v>0</v>
      </c>
      <c r="M34" s="2" t="s">
        <v>122</v>
      </c>
      <c r="N34" s="2" t="s">
        <v>416</v>
      </c>
      <c r="O34" s="2" t="s">
        <v>445</v>
      </c>
      <c r="P34" s="2" t="s">
        <v>148</v>
      </c>
      <c r="Q34" s="2" t="s">
        <v>613</v>
      </c>
      <c r="R34" s="2" t="s">
        <v>150</v>
      </c>
      <c r="S34" s="2" t="s">
        <v>150</v>
      </c>
      <c r="T34" s="2" t="s">
        <v>151</v>
      </c>
      <c r="U34" s="2" t="s">
        <v>530</v>
      </c>
      <c r="V34" s="2" t="s">
        <v>131</v>
      </c>
      <c r="W34" s="2" t="s">
        <v>302</v>
      </c>
      <c r="X34" s="2" t="s">
        <v>614</v>
      </c>
      <c r="Y34" s="2" t="s">
        <v>615</v>
      </c>
      <c r="Z34" s="2" t="s">
        <v>616</v>
      </c>
      <c r="AA34" s="2" t="s">
        <v>172</v>
      </c>
      <c r="AC34" s="2" t="s">
        <v>533</v>
      </c>
      <c r="AD34" s="2" t="s">
        <v>123</v>
      </c>
      <c r="AV34" s="2" t="s">
        <v>123</v>
      </c>
      <c r="CP34" s="2" t="s">
        <v>123</v>
      </c>
      <c r="CZ34" s="2" t="s">
        <v>123</v>
      </c>
      <c r="DJ34" s="2" t="s">
        <v>123</v>
      </c>
      <c r="EM34" s="2" t="s">
        <v>123</v>
      </c>
      <c r="FM34" s="2" t="s">
        <v>123</v>
      </c>
      <c r="FN34" s="2" t="s">
        <v>132</v>
      </c>
      <c r="GU34" s="2" t="s">
        <v>617</v>
      </c>
      <c r="GV34" s="2" t="s">
        <v>618</v>
      </c>
      <c r="GW34" s="2" t="s">
        <v>619</v>
      </c>
      <c r="GX34" s="2" t="s">
        <v>140</v>
      </c>
      <c r="GY34" s="2">
        <v>1998</v>
      </c>
      <c r="GZ34" s="2" t="s">
        <v>398</v>
      </c>
      <c r="HB34" s="2" t="s">
        <v>620</v>
      </c>
    </row>
    <row r="35" spans="1:212" x14ac:dyDescent="0.45">
      <c r="A35" s="2" t="s">
        <v>623</v>
      </c>
      <c r="B35" s="2">
        <v>33</v>
      </c>
      <c r="C35" s="2" t="s">
        <v>621</v>
      </c>
      <c r="D35" s="2" t="s">
        <v>118</v>
      </c>
      <c r="E35" s="2" t="s">
        <v>359</v>
      </c>
      <c r="G35" s="2"/>
      <c r="I35" s="2" t="s">
        <v>119</v>
      </c>
      <c r="J35" s="2" t="s">
        <v>622</v>
      </c>
      <c r="K35" s="2">
        <v>595</v>
      </c>
      <c r="L35" s="2">
        <v>0</v>
      </c>
      <c r="M35" s="2" t="s">
        <v>122</v>
      </c>
      <c r="N35" s="2" t="s">
        <v>416</v>
      </c>
      <c r="O35" s="2" t="s">
        <v>445</v>
      </c>
      <c r="P35" s="2" t="s">
        <v>148</v>
      </c>
      <c r="Q35" s="2" t="s">
        <v>624</v>
      </c>
      <c r="R35" s="2" t="s">
        <v>150</v>
      </c>
      <c r="S35" s="2" t="s">
        <v>150</v>
      </c>
      <c r="T35" s="2" t="s">
        <v>169</v>
      </c>
      <c r="U35" s="2">
        <v>12</v>
      </c>
      <c r="V35" s="2" t="s">
        <v>302</v>
      </c>
      <c r="W35" s="2" t="s">
        <v>226</v>
      </c>
      <c r="Y35" s="2" t="s">
        <v>625</v>
      </c>
      <c r="Z35" s="2" t="s">
        <v>626</v>
      </c>
      <c r="AA35" s="2" t="s">
        <v>172</v>
      </c>
      <c r="AC35" s="2" t="s">
        <v>424</v>
      </c>
      <c r="AD35" s="2" t="s">
        <v>123</v>
      </c>
      <c r="AV35" s="2" t="s">
        <v>123</v>
      </c>
      <c r="AW35" s="2" t="s">
        <v>132</v>
      </c>
      <c r="CP35" s="2" t="s">
        <v>123</v>
      </c>
      <c r="CZ35" s="2" t="s">
        <v>123</v>
      </c>
      <c r="DJ35" s="2" t="s">
        <v>123</v>
      </c>
      <c r="EM35" s="2" t="s">
        <v>123</v>
      </c>
      <c r="FM35" s="2" t="s">
        <v>123</v>
      </c>
      <c r="FN35" s="2" t="s">
        <v>132</v>
      </c>
      <c r="GU35" s="2" t="s">
        <v>627</v>
      </c>
      <c r="GV35" s="2" t="s">
        <v>628</v>
      </c>
      <c r="GW35" s="2" t="s">
        <v>629</v>
      </c>
      <c r="GX35" s="2" t="s">
        <v>186</v>
      </c>
      <c r="GY35" s="2" t="s">
        <v>630</v>
      </c>
      <c r="GZ35" s="2" t="s">
        <v>398</v>
      </c>
      <c r="HB35" s="2" t="s">
        <v>631</v>
      </c>
      <c r="HC35" s="2" t="s">
        <v>632</v>
      </c>
    </row>
    <row r="36" spans="1:212" x14ac:dyDescent="0.45">
      <c r="A36" s="2" t="s">
        <v>647</v>
      </c>
      <c r="B36" s="2">
        <v>34</v>
      </c>
      <c r="C36" s="2" t="s">
        <v>645</v>
      </c>
      <c r="D36" s="2" t="s">
        <v>118</v>
      </c>
      <c r="E36" s="2" t="s">
        <v>375</v>
      </c>
      <c r="G36" s="2"/>
      <c r="I36" s="2" t="s">
        <v>119</v>
      </c>
      <c r="J36" s="2" t="s">
        <v>646</v>
      </c>
      <c r="K36" s="2">
        <v>551</v>
      </c>
      <c r="L36" s="2">
        <v>0</v>
      </c>
      <c r="M36" s="2" t="s">
        <v>122</v>
      </c>
      <c r="N36" s="2" t="s">
        <v>416</v>
      </c>
      <c r="O36" s="2" t="s">
        <v>160</v>
      </c>
      <c r="P36" s="2" t="s">
        <v>148</v>
      </c>
      <c r="Q36" s="2" t="s">
        <v>648</v>
      </c>
      <c r="R36" s="2" t="s">
        <v>128</v>
      </c>
      <c r="S36" s="2" t="s">
        <v>162</v>
      </c>
      <c r="T36" s="2" t="s">
        <v>162</v>
      </c>
      <c r="U36" s="2" t="s">
        <v>237</v>
      </c>
      <c r="V36" s="2" t="s">
        <v>302</v>
      </c>
      <c r="W36" s="2" t="s">
        <v>153</v>
      </c>
      <c r="Y36" s="2" t="s">
        <v>649</v>
      </c>
      <c r="Z36" s="2" t="s">
        <v>650</v>
      </c>
      <c r="AA36" s="2" t="s">
        <v>157</v>
      </c>
      <c r="AC36" s="2">
        <v>8</v>
      </c>
      <c r="AD36" s="2" t="s">
        <v>123</v>
      </c>
      <c r="AV36" s="2" t="s">
        <v>123</v>
      </c>
      <c r="CP36" s="2" t="s">
        <v>123</v>
      </c>
      <c r="CZ36" s="2" t="s">
        <v>123</v>
      </c>
      <c r="DJ36" s="2" t="s">
        <v>123</v>
      </c>
      <c r="EM36" s="2" t="s">
        <v>123</v>
      </c>
      <c r="FM36" s="2" t="s">
        <v>123</v>
      </c>
      <c r="FN36" s="2" t="s">
        <v>132</v>
      </c>
      <c r="GU36" s="2" t="s">
        <v>651</v>
      </c>
      <c r="GV36" s="2" t="s">
        <v>652</v>
      </c>
      <c r="GW36" s="2" t="s">
        <v>653</v>
      </c>
      <c r="GX36" s="2" t="s">
        <v>140</v>
      </c>
      <c r="GY36" s="2">
        <v>1998</v>
      </c>
      <c r="GZ36" s="2" t="s">
        <v>141</v>
      </c>
    </row>
    <row r="37" spans="1:212" x14ac:dyDescent="0.45">
      <c r="A37" s="2" t="s">
        <v>658</v>
      </c>
      <c r="B37" s="2">
        <v>35</v>
      </c>
      <c r="C37" s="2" t="s">
        <v>656</v>
      </c>
      <c r="D37" s="2" t="s">
        <v>118</v>
      </c>
      <c r="E37" s="2" t="s">
        <v>359</v>
      </c>
      <c r="G37" s="2"/>
      <c r="I37" s="2" t="s">
        <v>119</v>
      </c>
      <c r="J37" s="2" t="s">
        <v>657</v>
      </c>
      <c r="K37" s="2">
        <v>770</v>
      </c>
      <c r="L37" s="2">
        <v>0</v>
      </c>
      <c r="M37" s="2" t="s">
        <v>122</v>
      </c>
      <c r="N37" s="2" t="s">
        <v>123</v>
      </c>
      <c r="P37" s="2"/>
      <c r="AD37" s="2" t="s">
        <v>124</v>
      </c>
      <c r="AE37" s="2" t="s">
        <v>445</v>
      </c>
      <c r="AF37" s="2" t="s">
        <v>659</v>
      </c>
      <c r="AG37" s="2" t="s">
        <v>148</v>
      </c>
      <c r="AH37" s="2" t="s">
        <v>660</v>
      </c>
      <c r="AI37" s="2" t="s">
        <v>169</v>
      </c>
      <c r="AJ37" s="2" t="s">
        <v>169</v>
      </c>
      <c r="AK37" s="2" t="s">
        <v>169</v>
      </c>
      <c r="AL37" s="2" t="s">
        <v>150</v>
      </c>
      <c r="AM37" s="2" t="s">
        <v>132</v>
      </c>
      <c r="AN37" s="2" t="s">
        <v>661</v>
      </c>
      <c r="AO37" s="2" t="s">
        <v>302</v>
      </c>
      <c r="AP37" s="2" t="s">
        <v>132</v>
      </c>
      <c r="AR37" s="2" t="s">
        <v>662</v>
      </c>
      <c r="AS37" s="2" t="s">
        <v>663</v>
      </c>
      <c r="AT37" s="2" t="s">
        <v>157</v>
      </c>
      <c r="AU37" s="2" t="s">
        <v>664</v>
      </c>
      <c r="AV37" s="2" t="s">
        <v>123</v>
      </c>
      <c r="CP37" s="2" t="s">
        <v>123</v>
      </c>
      <c r="CZ37" s="2" t="s">
        <v>214</v>
      </c>
      <c r="DA37" s="2" t="s">
        <v>445</v>
      </c>
      <c r="DB37" s="2" t="s">
        <v>518</v>
      </c>
      <c r="DC37" s="2" t="s">
        <v>169</v>
      </c>
      <c r="DD37" s="2" t="s">
        <v>169</v>
      </c>
      <c r="DE37" s="2" t="s">
        <v>169</v>
      </c>
      <c r="DF37" s="2" t="s">
        <v>169</v>
      </c>
      <c r="DG37" s="2" t="s">
        <v>169</v>
      </c>
      <c r="DH37" s="2" t="s">
        <v>150</v>
      </c>
      <c r="DJ37" s="2" t="s">
        <v>123</v>
      </c>
      <c r="EM37" s="2" t="s">
        <v>123</v>
      </c>
      <c r="FM37" s="2" t="s">
        <v>123</v>
      </c>
      <c r="FN37" s="2" t="s">
        <v>132</v>
      </c>
      <c r="GU37" s="2" t="s">
        <v>665</v>
      </c>
      <c r="GV37" s="2" t="s">
        <v>666</v>
      </c>
      <c r="GW37" s="2" t="s">
        <v>667</v>
      </c>
      <c r="GX37" s="2" t="s">
        <v>140</v>
      </c>
      <c r="GY37" s="2">
        <v>1989</v>
      </c>
      <c r="GZ37" s="2" t="s">
        <v>141</v>
      </c>
    </row>
    <row r="38" spans="1:212" x14ac:dyDescent="0.45">
      <c r="A38" s="2" t="s">
        <v>670</v>
      </c>
      <c r="B38" s="2">
        <v>36</v>
      </c>
      <c r="C38" s="2" t="s">
        <v>668</v>
      </c>
      <c r="D38" s="2" t="s">
        <v>118</v>
      </c>
      <c r="E38" s="2" t="s">
        <v>359</v>
      </c>
      <c r="G38" s="2"/>
      <c r="I38" s="2" t="s">
        <v>119</v>
      </c>
      <c r="J38" s="2" t="s">
        <v>669</v>
      </c>
      <c r="K38" s="2">
        <v>463</v>
      </c>
      <c r="L38" s="2">
        <v>0</v>
      </c>
      <c r="M38" s="2" t="s">
        <v>122</v>
      </c>
      <c r="N38" s="2" t="s">
        <v>123</v>
      </c>
      <c r="P38" s="2"/>
      <c r="AD38" s="2" t="s">
        <v>124</v>
      </c>
      <c r="AE38" s="2" t="s">
        <v>445</v>
      </c>
      <c r="AF38" s="2">
        <v>2019</v>
      </c>
      <c r="AG38" s="2" t="s">
        <v>148</v>
      </c>
      <c r="AH38" s="2" t="s">
        <v>601</v>
      </c>
      <c r="AI38" s="2" t="s">
        <v>162</v>
      </c>
      <c r="AJ38" s="2" t="s">
        <v>162</v>
      </c>
      <c r="AK38" s="2" t="s">
        <v>129</v>
      </c>
      <c r="AL38" s="2" t="s">
        <v>129</v>
      </c>
      <c r="AM38" s="2" t="s">
        <v>129</v>
      </c>
      <c r="AN38" s="2">
        <v>4</v>
      </c>
      <c r="AO38" s="2" t="s">
        <v>152</v>
      </c>
      <c r="AP38" s="2" t="s">
        <v>131</v>
      </c>
      <c r="AQ38" s="2" t="s">
        <v>671</v>
      </c>
      <c r="AR38" s="2" t="s">
        <v>672</v>
      </c>
      <c r="AS38" s="2" t="s">
        <v>673</v>
      </c>
      <c r="AT38" s="2" t="s">
        <v>157</v>
      </c>
      <c r="AV38" s="2" t="s">
        <v>123</v>
      </c>
      <c r="AW38" s="2" t="s">
        <v>132</v>
      </c>
      <c r="CP38" s="2" t="s">
        <v>123</v>
      </c>
      <c r="CZ38" s="2" t="s">
        <v>123</v>
      </c>
      <c r="DJ38" s="2" t="s">
        <v>123</v>
      </c>
      <c r="EM38" s="2" t="s">
        <v>123</v>
      </c>
      <c r="EN38" s="2" t="s">
        <v>180</v>
      </c>
      <c r="EO38" s="2" t="s">
        <v>132</v>
      </c>
      <c r="FM38" s="2" t="s">
        <v>123</v>
      </c>
      <c r="FN38" s="2" t="s">
        <v>132</v>
      </c>
      <c r="FP38" s="2" t="s">
        <v>132</v>
      </c>
      <c r="GU38" s="2" t="s">
        <v>674</v>
      </c>
      <c r="GV38" s="2" t="s">
        <v>675</v>
      </c>
      <c r="GW38" s="2" t="s">
        <v>676</v>
      </c>
      <c r="GX38" s="2" t="s">
        <v>140</v>
      </c>
      <c r="GY38" s="2">
        <v>1994</v>
      </c>
      <c r="GZ38" s="2" t="s">
        <v>483</v>
      </c>
    </row>
    <row r="39" spans="1:212" x14ac:dyDescent="0.45">
      <c r="A39" s="2" t="s">
        <v>681</v>
      </c>
      <c r="B39" s="2">
        <v>37</v>
      </c>
      <c r="C39" s="2" t="s">
        <v>679</v>
      </c>
      <c r="D39" s="2" t="s">
        <v>118</v>
      </c>
      <c r="E39" s="2" t="s">
        <v>359</v>
      </c>
      <c r="G39" s="2"/>
      <c r="I39" s="2" t="s">
        <v>119</v>
      </c>
      <c r="J39" s="2" t="s">
        <v>680</v>
      </c>
      <c r="K39" s="2">
        <v>770</v>
      </c>
      <c r="L39" s="2">
        <v>0</v>
      </c>
      <c r="M39" s="2" t="s">
        <v>122</v>
      </c>
      <c r="N39" s="2" t="s">
        <v>123</v>
      </c>
      <c r="P39" s="2"/>
      <c r="AD39" s="2" t="s">
        <v>124</v>
      </c>
      <c r="AE39" s="2" t="s">
        <v>682</v>
      </c>
      <c r="AF39" s="2">
        <v>2017</v>
      </c>
      <c r="AG39" s="2" t="s">
        <v>148</v>
      </c>
      <c r="AH39" s="2" t="s">
        <v>601</v>
      </c>
      <c r="AI39" s="2" t="s">
        <v>169</v>
      </c>
      <c r="AJ39" s="2" t="s">
        <v>169</v>
      </c>
      <c r="AK39" s="2" t="s">
        <v>150</v>
      </c>
      <c r="AL39" s="2" t="s">
        <v>236</v>
      </c>
      <c r="AM39" s="2" t="s">
        <v>169</v>
      </c>
      <c r="AN39" s="2" t="s">
        <v>683</v>
      </c>
      <c r="AO39" s="2" t="s">
        <v>131</v>
      </c>
      <c r="AP39" s="2" t="s">
        <v>153</v>
      </c>
      <c r="AQ39" s="2" t="s">
        <v>684</v>
      </c>
      <c r="AR39" s="2" t="s">
        <v>685</v>
      </c>
      <c r="AS39" s="2" t="s">
        <v>686</v>
      </c>
      <c r="AT39" s="2" t="s">
        <v>157</v>
      </c>
      <c r="AV39" s="2" t="s">
        <v>123</v>
      </c>
      <c r="AW39" s="2" t="s">
        <v>132</v>
      </c>
      <c r="CP39" s="2" t="s">
        <v>123</v>
      </c>
      <c r="CZ39" s="2" t="s">
        <v>123</v>
      </c>
      <c r="DJ39" s="2" t="s">
        <v>123</v>
      </c>
      <c r="EM39" s="2" t="s">
        <v>123</v>
      </c>
      <c r="EN39" s="2" t="s">
        <v>180</v>
      </c>
      <c r="EO39" s="2" t="s">
        <v>132</v>
      </c>
      <c r="FM39" s="2" t="s">
        <v>123</v>
      </c>
      <c r="FN39" s="2" t="s">
        <v>132</v>
      </c>
      <c r="FP39" s="2" t="s">
        <v>132</v>
      </c>
      <c r="GU39" s="2" t="s">
        <v>687</v>
      </c>
      <c r="GV39" s="2" t="s">
        <v>688</v>
      </c>
      <c r="GW39" s="2" t="s">
        <v>689</v>
      </c>
      <c r="GX39" s="2" t="s">
        <v>140</v>
      </c>
      <c r="GY39" s="2">
        <v>1994</v>
      </c>
      <c r="GZ39" s="2" t="s">
        <v>246</v>
      </c>
      <c r="HB39" s="2" t="s">
        <v>142</v>
      </c>
      <c r="HC39" s="2" t="s">
        <v>142</v>
      </c>
    </row>
    <row r="40" spans="1:212" x14ac:dyDescent="0.45">
      <c r="A40" s="2" t="s">
        <v>700</v>
      </c>
      <c r="B40" s="2">
        <v>38</v>
      </c>
      <c r="C40" s="2" t="s">
        <v>698</v>
      </c>
      <c r="D40" s="2" t="s">
        <v>118</v>
      </c>
      <c r="E40" s="2" t="s">
        <v>359</v>
      </c>
      <c r="G40" s="2"/>
      <c r="I40" s="2" t="s">
        <v>119</v>
      </c>
      <c r="J40" s="2" t="s">
        <v>699</v>
      </c>
      <c r="K40" s="2">
        <v>1910</v>
      </c>
      <c r="L40" s="2">
        <v>0</v>
      </c>
      <c r="M40" s="2" t="s">
        <v>122</v>
      </c>
      <c r="N40" s="2" t="s">
        <v>123</v>
      </c>
      <c r="P40" s="2"/>
      <c r="AD40" s="2" t="s">
        <v>124</v>
      </c>
      <c r="AE40" s="2" t="s">
        <v>701</v>
      </c>
      <c r="AF40" s="2">
        <v>2020</v>
      </c>
      <c r="AG40" s="2" t="s">
        <v>148</v>
      </c>
      <c r="AH40" s="2" t="s">
        <v>702</v>
      </c>
      <c r="AI40" s="2" t="s">
        <v>162</v>
      </c>
      <c r="AJ40" s="2" t="s">
        <v>162</v>
      </c>
      <c r="AK40" s="2" t="s">
        <v>236</v>
      </c>
      <c r="AL40" s="2" t="s">
        <v>236</v>
      </c>
      <c r="AM40" s="2" t="s">
        <v>132</v>
      </c>
      <c r="AN40" s="2" t="s">
        <v>703</v>
      </c>
      <c r="AO40" s="2" t="s">
        <v>131</v>
      </c>
      <c r="AP40" s="2" t="s">
        <v>132</v>
      </c>
      <c r="AQ40" s="2" t="s">
        <v>704</v>
      </c>
      <c r="AR40" s="2" t="s">
        <v>705</v>
      </c>
      <c r="AS40" s="2" t="s">
        <v>706</v>
      </c>
      <c r="AT40" s="2" t="s">
        <v>157</v>
      </c>
      <c r="AV40" s="2" t="s">
        <v>123</v>
      </c>
      <c r="AW40" s="2" t="s">
        <v>132</v>
      </c>
      <c r="CP40" s="2" t="s">
        <v>123</v>
      </c>
      <c r="CZ40" s="2" t="s">
        <v>123</v>
      </c>
      <c r="DJ40" s="2" t="s">
        <v>123</v>
      </c>
      <c r="EM40" s="2" t="s">
        <v>123</v>
      </c>
      <c r="EN40" s="2" t="s">
        <v>180</v>
      </c>
      <c r="EO40" s="2" t="s">
        <v>132</v>
      </c>
      <c r="FM40" s="2" t="s">
        <v>123</v>
      </c>
      <c r="FN40" s="2" t="s">
        <v>132</v>
      </c>
      <c r="FP40" s="2" t="s">
        <v>132</v>
      </c>
      <c r="GU40" s="2" t="s">
        <v>707</v>
      </c>
      <c r="GV40" s="2" t="s">
        <v>708</v>
      </c>
      <c r="GW40" s="2" t="s">
        <v>709</v>
      </c>
      <c r="GX40" s="2" t="s">
        <v>140</v>
      </c>
      <c r="GY40" s="2">
        <v>1994</v>
      </c>
      <c r="GZ40" s="2" t="s">
        <v>220</v>
      </c>
    </row>
    <row r="41" spans="1:212" x14ac:dyDescent="0.45">
      <c r="A41" s="2" t="s">
        <v>716</v>
      </c>
      <c r="B41" s="2">
        <v>39</v>
      </c>
      <c r="C41" s="2" t="s">
        <v>714</v>
      </c>
      <c r="D41" s="2" t="s">
        <v>118</v>
      </c>
      <c r="G41" s="2"/>
      <c r="I41" s="2" t="s">
        <v>119</v>
      </c>
      <c r="J41" s="2" t="s">
        <v>715</v>
      </c>
      <c r="K41" s="2">
        <v>1868</v>
      </c>
      <c r="L41" s="2">
        <v>0</v>
      </c>
      <c r="M41" s="2" t="s">
        <v>122</v>
      </c>
      <c r="N41" s="2" t="s">
        <v>123</v>
      </c>
      <c r="P41" s="2"/>
      <c r="AD41" s="2" t="s">
        <v>124</v>
      </c>
      <c r="AE41" s="2" t="s">
        <v>191</v>
      </c>
      <c r="AF41" s="2">
        <v>2008</v>
      </c>
      <c r="AG41" s="2" t="s">
        <v>126</v>
      </c>
      <c r="AH41" s="2" t="s">
        <v>717</v>
      </c>
      <c r="AI41" s="2" t="s">
        <v>162</v>
      </c>
      <c r="AJ41" s="2" t="s">
        <v>151</v>
      </c>
      <c r="AK41" s="2" t="s">
        <v>162</v>
      </c>
      <c r="AL41" s="2" t="s">
        <v>236</v>
      </c>
      <c r="AM41" s="2" t="s">
        <v>236</v>
      </c>
      <c r="AN41" s="2" t="s">
        <v>718</v>
      </c>
      <c r="AO41" s="2" t="s">
        <v>131</v>
      </c>
      <c r="AP41" s="2" t="s">
        <v>302</v>
      </c>
      <c r="AQ41" s="2" t="s">
        <v>719</v>
      </c>
      <c r="AR41" s="2" t="s">
        <v>720</v>
      </c>
      <c r="AS41" s="2" t="s">
        <v>721</v>
      </c>
      <c r="AT41" s="2" t="s">
        <v>172</v>
      </c>
      <c r="AV41" s="2" t="s">
        <v>123</v>
      </c>
      <c r="CP41" s="2" t="s">
        <v>123</v>
      </c>
      <c r="CZ41" s="2" t="s">
        <v>214</v>
      </c>
      <c r="DA41" s="2" t="s">
        <v>722</v>
      </c>
      <c r="DB41" s="2" t="s">
        <v>723</v>
      </c>
      <c r="DC41" s="2" t="s">
        <v>150</v>
      </c>
      <c r="DD41" s="2" t="s">
        <v>162</v>
      </c>
      <c r="DE41" s="2" t="s">
        <v>151</v>
      </c>
      <c r="DF41" s="2" t="s">
        <v>162</v>
      </c>
      <c r="DG41" s="2" t="s">
        <v>128</v>
      </c>
      <c r="DH41" s="2" t="s">
        <v>128</v>
      </c>
      <c r="DI41" s="2" t="s">
        <v>724</v>
      </c>
      <c r="DJ41" s="2" t="s">
        <v>123</v>
      </c>
      <c r="EM41" s="2" t="s">
        <v>177</v>
      </c>
      <c r="EN41" s="2" t="s">
        <v>180</v>
      </c>
      <c r="EO41" s="2">
        <v>1</v>
      </c>
      <c r="EP41" s="2" t="s">
        <v>722</v>
      </c>
      <c r="EQ41" s="2" t="s">
        <v>162</v>
      </c>
      <c r="ER41" s="2" t="s">
        <v>150</v>
      </c>
      <c r="ES41" s="2" t="s">
        <v>236</v>
      </c>
      <c r="ET41" s="2" t="s">
        <v>178</v>
      </c>
      <c r="EU41" s="2" t="s">
        <v>725</v>
      </c>
      <c r="EV41" s="2" t="s">
        <v>726</v>
      </c>
      <c r="EW41" s="2" t="s">
        <v>173</v>
      </c>
      <c r="FM41" s="2" t="s">
        <v>123</v>
      </c>
      <c r="FN41" s="2" t="s">
        <v>132</v>
      </c>
      <c r="FP41" s="2" t="s">
        <v>132</v>
      </c>
      <c r="GU41" s="2" t="s">
        <v>727</v>
      </c>
      <c r="GV41" s="2" t="s">
        <v>728</v>
      </c>
      <c r="GW41" s="2" t="s">
        <v>729</v>
      </c>
      <c r="GX41" s="2" t="s">
        <v>186</v>
      </c>
      <c r="GY41" s="2">
        <v>1983</v>
      </c>
      <c r="GZ41" s="2" t="s">
        <v>141</v>
      </c>
      <c r="HB41" s="2" t="s">
        <v>730</v>
      </c>
      <c r="HD41" s="2" t="s">
        <v>731</v>
      </c>
    </row>
    <row r="42" spans="1:212" x14ac:dyDescent="0.45">
      <c r="A42" s="2" t="s">
        <v>741</v>
      </c>
      <c r="B42" s="2">
        <v>40</v>
      </c>
      <c r="C42" s="2" t="s">
        <v>739</v>
      </c>
      <c r="D42" s="2" t="s">
        <v>118</v>
      </c>
      <c r="G42" s="2"/>
      <c r="I42" s="2" t="s">
        <v>119</v>
      </c>
      <c r="J42" s="2" t="s">
        <v>740</v>
      </c>
      <c r="K42" s="2">
        <v>341</v>
      </c>
      <c r="L42" s="2">
        <v>0</v>
      </c>
      <c r="M42" s="2" t="s">
        <v>122</v>
      </c>
      <c r="N42" s="2" t="s">
        <v>123</v>
      </c>
      <c r="P42" s="2"/>
      <c r="AD42" s="2" t="s">
        <v>124</v>
      </c>
      <c r="AE42" s="2" t="s">
        <v>742</v>
      </c>
      <c r="AF42" s="2">
        <v>2007</v>
      </c>
      <c r="AG42" s="2" t="s">
        <v>148</v>
      </c>
      <c r="AH42" s="2" t="s">
        <v>743</v>
      </c>
      <c r="AI42" s="2" t="s">
        <v>236</v>
      </c>
      <c r="AJ42" s="2" t="s">
        <v>129</v>
      </c>
      <c r="AK42" s="2" t="s">
        <v>128</v>
      </c>
      <c r="AL42" s="2" t="s">
        <v>162</v>
      </c>
      <c r="AM42" s="2" t="s">
        <v>150</v>
      </c>
      <c r="AN42" s="2" t="s">
        <v>237</v>
      </c>
      <c r="AO42" s="2" t="s">
        <v>302</v>
      </c>
      <c r="AP42" s="2" t="s">
        <v>153</v>
      </c>
      <c r="AQ42" s="2" t="s">
        <v>744</v>
      </c>
      <c r="AR42" s="2" t="s">
        <v>745</v>
      </c>
      <c r="AS42" s="2" t="s">
        <v>746</v>
      </c>
      <c r="AT42" s="2" t="s">
        <v>172</v>
      </c>
      <c r="AV42" s="2" t="s">
        <v>123</v>
      </c>
      <c r="AW42" s="2" t="s">
        <v>132</v>
      </c>
      <c r="CP42" s="2" t="s">
        <v>387</v>
      </c>
      <c r="CQ42" s="2" t="s">
        <v>747</v>
      </c>
      <c r="CR42" s="2" t="s">
        <v>748</v>
      </c>
      <c r="CS42" s="2" t="s">
        <v>150</v>
      </c>
      <c r="CT42" s="2" t="s">
        <v>150</v>
      </c>
      <c r="CU42" s="2" t="s">
        <v>169</v>
      </c>
      <c r="CV42" s="2" t="s">
        <v>169</v>
      </c>
      <c r="CW42" s="2" t="s">
        <v>150</v>
      </c>
      <c r="CX42" s="2" t="s">
        <v>150</v>
      </c>
      <c r="CY42" s="2" t="s">
        <v>749</v>
      </c>
      <c r="CZ42" s="2" t="s">
        <v>123</v>
      </c>
      <c r="DJ42" s="2" t="s">
        <v>123</v>
      </c>
      <c r="EM42" s="2" t="s">
        <v>123</v>
      </c>
      <c r="EN42" s="2" t="s">
        <v>178</v>
      </c>
      <c r="EO42" s="2" t="s">
        <v>132</v>
      </c>
      <c r="FM42" s="2" t="s">
        <v>123</v>
      </c>
      <c r="FN42" s="2" t="s">
        <v>132</v>
      </c>
      <c r="FP42" s="2" t="s">
        <v>132</v>
      </c>
      <c r="GU42" s="2" t="s">
        <v>750</v>
      </c>
      <c r="GV42" s="2" t="s">
        <v>751</v>
      </c>
      <c r="GW42" s="2" t="s">
        <v>752</v>
      </c>
      <c r="GX42" s="2" t="s">
        <v>186</v>
      </c>
      <c r="GY42" s="2">
        <v>1983</v>
      </c>
      <c r="GZ42" s="2" t="s">
        <v>398</v>
      </c>
      <c r="HB42" s="2" t="s">
        <v>753</v>
      </c>
      <c r="HC42" s="2" t="s">
        <v>532</v>
      </c>
    </row>
    <row r="43" spans="1:212" x14ac:dyDescent="0.45">
      <c r="A43" s="2" t="s">
        <v>757</v>
      </c>
      <c r="B43" s="2">
        <v>41</v>
      </c>
      <c r="C43" s="2" t="s">
        <v>754</v>
      </c>
      <c r="D43" s="2" t="s">
        <v>118</v>
      </c>
      <c r="E43" s="2" t="s">
        <v>755</v>
      </c>
      <c r="G43" s="2"/>
      <c r="I43" s="2" t="s">
        <v>119</v>
      </c>
      <c r="J43" s="2" t="s">
        <v>756</v>
      </c>
      <c r="K43" s="2">
        <v>487</v>
      </c>
      <c r="L43" s="2">
        <v>0</v>
      </c>
      <c r="M43" s="2" t="s">
        <v>122</v>
      </c>
      <c r="N43" s="2" t="s">
        <v>416</v>
      </c>
      <c r="O43" s="2" t="s">
        <v>147</v>
      </c>
      <c r="P43" s="2" t="s">
        <v>148</v>
      </c>
      <c r="Q43" s="2" t="s">
        <v>758</v>
      </c>
      <c r="R43" s="2" t="s">
        <v>236</v>
      </c>
      <c r="S43" s="2" t="s">
        <v>129</v>
      </c>
      <c r="T43" s="2" t="s">
        <v>236</v>
      </c>
      <c r="U43" s="2" t="s">
        <v>718</v>
      </c>
      <c r="V43" s="2" t="s">
        <v>759</v>
      </c>
      <c r="W43" s="2" t="s">
        <v>194</v>
      </c>
      <c r="X43" s="2" t="s">
        <v>760</v>
      </c>
      <c r="Y43" s="2" t="s">
        <v>761</v>
      </c>
      <c r="Z43" s="2" t="s">
        <v>762</v>
      </c>
      <c r="AA43" s="2" t="s">
        <v>157</v>
      </c>
      <c r="AC43" s="2" t="s">
        <v>763</v>
      </c>
      <c r="AD43" s="2" t="s">
        <v>124</v>
      </c>
      <c r="AE43" s="2" t="s">
        <v>223</v>
      </c>
      <c r="AF43" s="2">
        <v>2012</v>
      </c>
      <c r="AG43" s="2" t="s">
        <v>148</v>
      </c>
      <c r="AH43" s="2" t="s">
        <v>764</v>
      </c>
      <c r="AI43" s="2" t="s">
        <v>236</v>
      </c>
      <c r="AJ43" s="2" t="s">
        <v>236</v>
      </c>
      <c r="AK43" s="2" t="s">
        <v>236</v>
      </c>
      <c r="AL43" s="2" t="s">
        <v>129</v>
      </c>
      <c r="AM43" s="2" t="s">
        <v>236</v>
      </c>
      <c r="AN43" s="2" t="s">
        <v>237</v>
      </c>
      <c r="AO43" s="2" t="s">
        <v>302</v>
      </c>
      <c r="AP43" s="2" t="s">
        <v>153</v>
      </c>
      <c r="AQ43" s="2" t="s">
        <v>765</v>
      </c>
      <c r="AR43" s="2" t="s">
        <v>766</v>
      </c>
      <c r="AS43" s="2" t="s">
        <v>767</v>
      </c>
      <c r="AT43" s="2" t="s">
        <v>230</v>
      </c>
      <c r="AV43" s="2" t="s">
        <v>123</v>
      </c>
      <c r="AW43" s="2" t="s">
        <v>132</v>
      </c>
      <c r="CP43" s="2" t="s">
        <v>123</v>
      </c>
      <c r="CZ43" s="2" t="s">
        <v>123</v>
      </c>
      <c r="DJ43" s="2" t="s">
        <v>123</v>
      </c>
      <c r="EM43" s="2" t="s">
        <v>123</v>
      </c>
      <c r="EN43" s="2" t="s">
        <v>180</v>
      </c>
      <c r="EO43" s="2" t="s">
        <v>132</v>
      </c>
      <c r="FM43" s="2" t="s">
        <v>123</v>
      </c>
      <c r="FN43" s="2" t="s">
        <v>132</v>
      </c>
      <c r="FP43" s="2" t="s">
        <v>132</v>
      </c>
      <c r="GU43" s="2" t="s">
        <v>768</v>
      </c>
      <c r="GV43" s="2" t="s">
        <v>769</v>
      </c>
      <c r="GW43" s="2" t="s">
        <v>770</v>
      </c>
      <c r="GX43" s="2" t="s">
        <v>186</v>
      </c>
      <c r="GY43" s="2">
        <v>1990</v>
      </c>
      <c r="GZ43" s="2" t="s">
        <v>141</v>
      </c>
      <c r="HB43" s="2" t="s">
        <v>771</v>
      </c>
      <c r="HC43" s="2" t="s">
        <v>772</v>
      </c>
    </row>
    <row r="44" spans="1:212" x14ac:dyDescent="0.45">
      <c r="A44" s="2" t="s">
        <v>776</v>
      </c>
      <c r="B44" s="2">
        <v>42</v>
      </c>
      <c r="C44" s="2" t="s">
        <v>773</v>
      </c>
      <c r="D44" s="2" t="s">
        <v>118</v>
      </c>
      <c r="E44" s="2" t="s">
        <v>774</v>
      </c>
      <c r="G44" s="2"/>
      <c r="I44" s="2" t="s">
        <v>119</v>
      </c>
      <c r="J44" s="2" t="s">
        <v>775</v>
      </c>
      <c r="K44" s="2">
        <v>1636</v>
      </c>
      <c r="L44" s="2">
        <v>0</v>
      </c>
      <c r="M44" s="2" t="s">
        <v>122</v>
      </c>
      <c r="N44" s="2" t="s">
        <v>123</v>
      </c>
      <c r="P44" s="2"/>
      <c r="AD44" s="2" t="s">
        <v>124</v>
      </c>
      <c r="AE44" s="2" t="s">
        <v>777</v>
      </c>
      <c r="AF44" s="2">
        <v>2013</v>
      </c>
      <c r="AG44" s="2" t="s">
        <v>148</v>
      </c>
      <c r="AH44" s="2" t="s">
        <v>429</v>
      </c>
      <c r="AI44" s="2" t="s">
        <v>128</v>
      </c>
      <c r="AJ44" s="2" t="s">
        <v>151</v>
      </c>
      <c r="AK44" s="2" t="s">
        <v>162</v>
      </c>
      <c r="AL44" s="2" t="s">
        <v>129</v>
      </c>
      <c r="AM44" s="2" t="s">
        <v>236</v>
      </c>
      <c r="AN44" s="2">
        <v>0</v>
      </c>
      <c r="AO44" s="2" t="s">
        <v>131</v>
      </c>
      <c r="AP44" s="2" t="s">
        <v>131</v>
      </c>
      <c r="AQ44" s="2" t="s">
        <v>778</v>
      </c>
      <c r="AR44" s="2" t="s">
        <v>779</v>
      </c>
      <c r="AS44" s="2" t="s">
        <v>780</v>
      </c>
      <c r="AT44" s="2" t="s">
        <v>157</v>
      </c>
      <c r="AV44" s="2" t="s">
        <v>123</v>
      </c>
      <c r="CP44" s="2" t="s">
        <v>123</v>
      </c>
      <c r="CZ44" s="2" t="s">
        <v>214</v>
      </c>
      <c r="DA44" s="2" t="s">
        <v>777</v>
      </c>
      <c r="DB44" s="2" t="s">
        <v>781</v>
      </c>
      <c r="DC44" s="2" t="s">
        <v>129</v>
      </c>
      <c r="DD44" s="2" t="s">
        <v>150</v>
      </c>
      <c r="DE44" s="2" t="s">
        <v>129</v>
      </c>
      <c r="DF44" s="2" t="s">
        <v>236</v>
      </c>
      <c r="DG44" s="2" t="s">
        <v>151</v>
      </c>
      <c r="DH44" s="2" t="s">
        <v>151</v>
      </c>
      <c r="DI44" s="2" t="s">
        <v>782</v>
      </c>
      <c r="DJ44" s="2" t="s">
        <v>123</v>
      </c>
      <c r="EM44" s="2" t="s">
        <v>177</v>
      </c>
      <c r="EN44" s="2" t="s">
        <v>180</v>
      </c>
      <c r="EO44" s="2">
        <v>1</v>
      </c>
      <c r="EP44" s="2" t="s">
        <v>783</v>
      </c>
      <c r="EQ44" s="2" t="s">
        <v>150</v>
      </c>
      <c r="ER44" s="2" t="s">
        <v>150</v>
      </c>
      <c r="ES44" s="2" t="s">
        <v>236</v>
      </c>
      <c r="ET44" s="2" t="s">
        <v>178</v>
      </c>
      <c r="EU44" s="2" t="s">
        <v>784</v>
      </c>
      <c r="EV44" s="2" t="s">
        <v>785</v>
      </c>
      <c r="EW44" s="2" t="s">
        <v>173</v>
      </c>
      <c r="FM44" s="2" t="s">
        <v>123</v>
      </c>
      <c r="FN44" s="2" t="s">
        <v>132</v>
      </c>
      <c r="GU44" s="2" t="s">
        <v>786</v>
      </c>
      <c r="GV44" s="2" t="s">
        <v>787</v>
      </c>
      <c r="GW44" s="2" t="s">
        <v>788</v>
      </c>
      <c r="GX44" s="2" t="s">
        <v>140</v>
      </c>
      <c r="GY44" s="2">
        <v>1988</v>
      </c>
      <c r="GZ44" s="2" t="s">
        <v>246</v>
      </c>
      <c r="HB44" s="2" t="s">
        <v>789</v>
      </c>
      <c r="HD44" s="2" t="s">
        <v>790</v>
      </c>
    </row>
    <row r="45" spans="1:212" x14ac:dyDescent="0.45">
      <c r="A45" s="2" t="s">
        <v>792</v>
      </c>
      <c r="B45" s="2">
        <v>43</v>
      </c>
      <c r="C45" s="2" t="s">
        <v>773</v>
      </c>
      <c r="D45" s="2" t="s">
        <v>118</v>
      </c>
      <c r="E45" s="2" t="s">
        <v>774</v>
      </c>
      <c r="G45" s="2"/>
      <c r="I45" s="2" t="s">
        <v>119</v>
      </c>
      <c r="J45" s="2" t="s">
        <v>791</v>
      </c>
      <c r="K45" s="2">
        <v>333</v>
      </c>
      <c r="L45" s="2">
        <v>0</v>
      </c>
      <c r="M45" s="2" t="s">
        <v>122</v>
      </c>
      <c r="N45" s="2" t="s">
        <v>123</v>
      </c>
      <c r="P45" s="2"/>
      <c r="AD45" s="2" t="s">
        <v>124</v>
      </c>
      <c r="AE45" s="2" t="s">
        <v>742</v>
      </c>
      <c r="AF45" s="2">
        <v>2012</v>
      </c>
      <c r="AG45" s="2" t="s">
        <v>148</v>
      </c>
      <c r="AH45" s="2" t="s">
        <v>793</v>
      </c>
      <c r="AI45" s="2" t="s">
        <v>151</v>
      </c>
      <c r="AJ45" s="2" t="s">
        <v>151</v>
      </c>
      <c r="AK45" s="2" t="s">
        <v>129</v>
      </c>
      <c r="AL45" s="2" t="s">
        <v>129</v>
      </c>
      <c r="AM45" s="2" t="s">
        <v>128</v>
      </c>
      <c r="AN45" s="2">
        <v>3</v>
      </c>
      <c r="AO45" s="2" t="s">
        <v>131</v>
      </c>
      <c r="AP45" s="2" t="s">
        <v>302</v>
      </c>
      <c r="AQ45" s="2" t="s">
        <v>386</v>
      </c>
      <c r="AR45" s="2" t="s">
        <v>794</v>
      </c>
      <c r="AS45" s="2" t="s">
        <v>780</v>
      </c>
      <c r="AT45" s="2" t="s">
        <v>157</v>
      </c>
      <c r="AV45" s="2" t="s">
        <v>123</v>
      </c>
      <c r="AW45" s="2" t="s">
        <v>132</v>
      </c>
      <c r="CP45" s="2" t="s">
        <v>123</v>
      </c>
      <c r="CZ45" s="2" t="s">
        <v>123</v>
      </c>
      <c r="DJ45" s="2" t="s">
        <v>123</v>
      </c>
      <c r="EM45" s="2" t="s">
        <v>123</v>
      </c>
      <c r="FM45" s="2" t="s">
        <v>123</v>
      </c>
      <c r="FN45" s="2" t="s">
        <v>132</v>
      </c>
      <c r="GU45" s="2" t="s">
        <v>786</v>
      </c>
      <c r="GV45" s="2" t="s">
        <v>787</v>
      </c>
      <c r="GW45" s="2" t="s">
        <v>788</v>
      </c>
      <c r="GX45" s="2" t="s">
        <v>186</v>
      </c>
      <c r="GY45" s="2">
        <v>1987</v>
      </c>
      <c r="GZ45" s="2" t="s">
        <v>141</v>
      </c>
      <c r="HB45" s="2" t="s">
        <v>795</v>
      </c>
    </row>
    <row r="46" spans="1:212" x14ac:dyDescent="0.45">
      <c r="A46" s="2" t="s">
        <v>799</v>
      </c>
      <c r="B46" s="2">
        <v>44</v>
      </c>
      <c r="C46" s="2" t="s">
        <v>796</v>
      </c>
      <c r="D46" s="2" t="s">
        <v>118</v>
      </c>
      <c r="E46" s="2" t="s">
        <v>797</v>
      </c>
      <c r="G46" s="2"/>
      <c r="I46" s="2" t="s">
        <v>119</v>
      </c>
      <c r="J46" s="2" t="s">
        <v>798</v>
      </c>
      <c r="K46" s="2">
        <v>2364</v>
      </c>
      <c r="L46" s="2">
        <v>0</v>
      </c>
      <c r="M46" s="2" t="s">
        <v>122</v>
      </c>
      <c r="N46" s="2" t="s">
        <v>123</v>
      </c>
      <c r="O46" s="2" t="s">
        <v>800</v>
      </c>
      <c r="P46" s="2"/>
      <c r="AD46" s="2" t="s">
        <v>124</v>
      </c>
      <c r="AE46" s="2" t="s">
        <v>800</v>
      </c>
      <c r="AF46" s="2">
        <v>2002</v>
      </c>
      <c r="AG46" s="2" t="s">
        <v>126</v>
      </c>
      <c r="AH46" s="2" t="s">
        <v>801</v>
      </c>
      <c r="AI46" s="2" t="s">
        <v>150</v>
      </c>
      <c r="AJ46" s="2" t="s">
        <v>162</v>
      </c>
      <c r="AK46" s="2" t="s">
        <v>151</v>
      </c>
      <c r="AL46" s="2" t="s">
        <v>129</v>
      </c>
      <c r="AM46" s="2" t="s">
        <v>236</v>
      </c>
      <c r="AN46" s="2">
        <v>3</v>
      </c>
      <c r="AO46" s="2" t="s">
        <v>152</v>
      </c>
      <c r="AP46" s="2" t="s">
        <v>152</v>
      </c>
      <c r="AQ46" s="2" t="s">
        <v>802</v>
      </c>
      <c r="AR46" s="2" t="s">
        <v>803</v>
      </c>
      <c r="AS46" s="2" t="s">
        <v>804</v>
      </c>
      <c r="AT46" s="2" t="s">
        <v>157</v>
      </c>
      <c r="AV46" s="2" t="s">
        <v>123</v>
      </c>
      <c r="CP46" s="2" t="s">
        <v>123</v>
      </c>
      <c r="CZ46" s="2" t="s">
        <v>123</v>
      </c>
      <c r="DJ46" s="2" t="s">
        <v>123</v>
      </c>
      <c r="EM46" s="2" t="s">
        <v>123</v>
      </c>
      <c r="FM46" s="2" t="s">
        <v>123</v>
      </c>
      <c r="FN46" s="2" t="s">
        <v>132</v>
      </c>
      <c r="GU46" s="2" t="s">
        <v>805</v>
      </c>
      <c r="GV46" s="2" t="s">
        <v>806</v>
      </c>
      <c r="GW46" s="2" t="s">
        <v>807</v>
      </c>
      <c r="GX46" s="2" t="s">
        <v>140</v>
      </c>
      <c r="GY46" s="2">
        <v>1978</v>
      </c>
      <c r="GZ46" s="2" t="s">
        <v>141</v>
      </c>
      <c r="HB46" s="2" t="s">
        <v>386</v>
      </c>
      <c r="HC46" s="2" t="s">
        <v>386</v>
      </c>
    </row>
    <row r="47" spans="1:212" x14ac:dyDescent="0.45">
      <c r="A47" s="2" t="s">
        <v>812</v>
      </c>
      <c r="B47" s="2">
        <v>45</v>
      </c>
      <c r="C47" s="2" t="s">
        <v>370</v>
      </c>
      <c r="D47" s="2" t="s">
        <v>118</v>
      </c>
      <c r="E47" s="2" t="s">
        <v>774</v>
      </c>
      <c r="G47" s="2"/>
      <c r="I47" s="2" t="s">
        <v>119</v>
      </c>
      <c r="J47" s="2" t="s">
        <v>811</v>
      </c>
      <c r="K47" s="2">
        <v>1671</v>
      </c>
      <c r="L47" s="2">
        <v>0</v>
      </c>
      <c r="M47" s="2" t="s">
        <v>122</v>
      </c>
      <c r="N47" s="2" t="s">
        <v>123</v>
      </c>
      <c r="P47" s="2"/>
      <c r="AD47" s="2" t="s">
        <v>124</v>
      </c>
      <c r="AE47" s="2" t="s">
        <v>813</v>
      </c>
      <c r="AF47" s="2">
        <v>1956</v>
      </c>
      <c r="AG47" s="2" t="s">
        <v>148</v>
      </c>
      <c r="AH47" s="2" t="s">
        <v>601</v>
      </c>
      <c r="AI47" s="2" t="s">
        <v>162</v>
      </c>
      <c r="AJ47" s="2" t="s">
        <v>162</v>
      </c>
      <c r="AK47" s="2" t="s">
        <v>150</v>
      </c>
      <c r="AL47" s="2" t="s">
        <v>236</v>
      </c>
      <c r="AM47" s="2" t="s">
        <v>236</v>
      </c>
      <c r="AN47" s="2" t="s">
        <v>814</v>
      </c>
      <c r="AO47" s="2" t="s">
        <v>131</v>
      </c>
      <c r="AP47" s="2" t="s">
        <v>131</v>
      </c>
      <c r="AR47" s="2" t="s">
        <v>815</v>
      </c>
      <c r="AS47" s="2" t="s">
        <v>816</v>
      </c>
      <c r="AT47" s="2" t="s">
        <v>172</v>
      </c>
      <c r="AU47" s="2" t="s">
        <v>817</v>
      </c>
      <c r="AV47" s="2" t="s">
        <v>123</v>
      </c>
      <c r="CP47" s="2" t="s">
        <v>123</v>
      </c>
      <c r="CZ47" s="2" t="s">
        <v>123</v>
      </c>
      <c r="DJ47" s="2" t="s">
        <v>123</v>
      </c>
      <c r="EM47" s="2" t="s">
        <v>123</v>
      </c>
      <c r="EN47" s="2" t="s">
        <v>180</v>
      </c>
      <c r="EO47" s="2" t="s">
        <v>132</v>
      </c>
      <c r="FM47" s="2" t="s">
        <v>123</v>
      </c>
      <c r="FN47" s="2" t="s">
        <v>132</v>
      </c>
      <c r="FP47" s="2" t="s">
        <v>132</v>
      </c>
      <c r="GU47" s="2" t="s">
        <v>818</v>
      </c>
      <c r="GV47" s="2" t="s">
        <v>819</v>
      </c>
      <c r="GW47" s="2" t="s">
        <v>820</v>
      </c>
      <c r="GX47" s="2" t="s">
        <v>140</v>
      </c>
      <c r="GY47" s="2">
        <v>1933</v>
      </c>
      <c r="GZ47" s="2" t="s">
        <v>220</v>
      </c>
    </row>
    <row r="48" spans="1:212" x14ac:dyDescent="0.45">
      <c r="A48" s="2" t="s">
        <v>822</v>
      </c>
      <c r="B48" s="2">
        <v>46</v>
      </c>
      <c r="C48" s="2" t="s">
        <v>370</v>
      </c>
      <c r="D48" s="2" t="s">
        <v>118</v>
      </c>
      <c r="E48" s="2" t="s">
        <v>774</v>
      </c>
      <c r="G48" s="2"/>
      <c r="I48" s="2" t="s">
        <v>119</v>
      </c>
      <c r="J48" s="2" t="s">
        <v>821</v>
      </c>
      <c r="K48" s="2">
        <v>3447</v>
      </c>
      <c r="L48" s="2">
        <v>0</v>
      </c>
      <c r="M48" s="2" t="s">
        <v>122</v>
      </c>
      <c r="N48" s="2" t="s">
        <v>123</v>
      </c>
      <c r="P48" s="2"/>
      <c r="AD48" s="2" t="s">
        <v>124</v>
      </c>
      <c r="AE48" s="2" t="s">
        <v>813</v>
      </c>
      <c r="AF48" s="2">
        <v>1960</v>
      </c>
      <c r="AG48" s="2" t="s">
        <v>148</v>
      </c>
      <c r="AH48" s="2" t="s">
        <v>823</v>
      </c>
      <c r="AI48" s="2" t="s">
        <v>150</v>
      </c>
      <c r="AJ48" s="2" t="s">
        <v>150</v>
      </c>
      <c r="AK48" s="2" t="s">
        <v>151</v>
      </c>
      <c r="AL48" s="2" t="s">
        <v>236</v>
      </c>
      <c r="AM48" s="2" t="s">
        <v>236</v>
      </c>
      <c r="AN48" s="2" t="s">
        <v>814</v>
      </c>
      <c r="AO48" s="2" t="s">
        <v>131</v>
      </c>
      <c r="AP48" s="2" t="s">
        <v>131</v>
      </c>
      <c r="AR48" s="2" t="s">
        <v>824</v>
      </c>
      <c r="AS48" s="2" t="s">
        <v>825</v>
      </c>
      <c r="AT48" s="2" t="s">
        <v>157</v>
      </c>
      <c r="AV48" s="2" t="s">
        <v>123</v>
      </c>
      <c r="CP48" s="2" t="s">
        <v>123</v>
      </c>
      <c r="CZ48" s="2" t="s">
        <v>123</v>
      </c>
      <c r="DJ48" s="2" t="s">
        <v>123</v>
      </c>
      <c r="EM48" s="2" t="s">
        <v>123</v>
      </c>
      <c r="FM48" s="2" t="s">
        <v>123</v>
      </c>
      <c r="FN48" s="2" t="s">
        <v>132</v>
      </c>
      <c r="GU48" s="2" t="s">
        <v>826</v>
      </c>
      <c r="GV48" s="2" t="s">
        <v>824</v>
      </c>
      <c r="GW48" s="2" t="s">
        <v>827</v>
      </c>
      <c r="GX48" s="2" t="s">
        <v>186</v>
      </c>
      <c r="GY48" s="2">
        <v>1934</v>
      </c>
      <c r="GZ48" s="2" t="s">
        <v>220</v>
      </c>
    </row>
    <row r="49" spans="1:211" x14ac:dyDescent="0.45">
      <c r="A49" s="2" t="s">
        <v>830</v>
      </c>
      <c r="B49" s="2">
        <v>47</v>
      </c>
      <c r="C49" s="2" t="s">
        <v>828</v>
      </c>
      <c r="D49" s="2" t="s">
        <v>118</v>
      </c>
      <c r="G49" s="2"/>
      <c r="I49" s="2" t="s">
        <v>119</v>
      </c>
      <c r="J49" s="2" t="s">
        <v>829</v>
      </c>
      <c r="K49" s="2">
        <v>3349</v>
      </c>
      <c r="L49" s="2">
        <v>0</v>
      </c>
      <c r="M49" s="2" t="s">
        <v>122</v>
      </c>
      <c r="N49" s="2" t="s">
        <v>123</v>
      </c>
      <c r="P49" s="2"/>
      <c r="AD49" s="2" t="s">
        <v>123</v>
      </c>
      <c r="AV49" s="2" t="s">
        <v>123</v>
      </c>
      <c r="AW49" s="2" t="s">
        <v>132</v>
      </c>
      <c r="CP49" s="2" t="s">
        <v>123</v>
      </c>
      <c r="CZ49" s="2" t="s">
        <v>123</v>
      </c>
      <c r="DJ49" s="2" t="s">
        <v>123</v>
      </c>
      <c r="EM49" s="2" t="s">
        <v>177</v>
      </c>
      <c r="EN49" s="2" t="s">
        <v>178</v>
      </c>
      <c r="EO49" s="2">
        <v>1</v>
      </c>
      <c r="EP49" s="2" t="s">
        <v>191</v>
      </c>
      <c r="EQ49" s="2" t="s">
        <v>162</v>
      </c>
      <c r="ER49" s="2" t="s">
        <v>162</v>
      </c>
      <c r="ES49" s="2" t="s">
        <v>128</v>
      </c>
      <c r="ET49" s="2" t="s">
        <v>178</v>
      </c>
      <c r="EU49" s="2" t="s">
        <v>831</v>
      </c>
      <c r="EV49" s="2" t="s">
        <v>832</v>
      </c>
      <c r="EW49" s="2" t="s">
        <v>173</v>
      </c>
      <c r="FM49" s="2" t="s">
        <v>123</v>
      </c>
      <c r="FN49" s="2" t="s">
        <v>132</v>
      </c>
      <c r="FP49" s="2" t="s">
        <v>132</v>
      </c>
      <c r="GU49" s="2" t="s">
        <v>833</v>
      </c>
      <c r="GV49" s="2" t="s">
        <v>834</v>
      </c>
      <c r="GW49" s="2" t="s">
        <v>835</v>
      </c>
      <c r="GX49" s="2" t="s">
        <v>140</v>
      </c>
      <c r="GY49" s="2">
        <v>1977</v>
      </c>
      <c r="GZ49" s="2" t="s">
        <v>398</v>
      </c>
      <c r="HB49" s="2" t="s">
        <v>836</v>
      </c>
    </row>
    <row r="50" spans="1:211" x14ac:dyDescent="0.45">
      <c r="A50" s="2" t="s">
        <v>839</v>
      </c>
      <c r="B50" s="2">
        <v>48</v>
      </c>
      <c r="C50" s="2" t="s">
        <v>837</v>
      </c>
      <c r="D50" s="2" t="s">
        <v>118</v>
      </c>
      <c r="G50" s="2"/>
      <c r="I50" s="2" t="s">
        <v>119</v>
      </c>
      <c r="J50" s="2" t="s">
        <v>838</v>
      </c>
      <c r="K50" s="2">
        <v>3312</v>
      </c>
      <c r="L50" s="2">
        <v>0</v>
      </c>
      <c r="M50" s="2" t="s">
        <v>122</v>
      </c>
      <c r="N50" s="2" t="s">
        <v>123</v>
      </c>
      <c r="P50" s="2"/>
      <c r="AD50" s="2" t="s">
        <v>124</v>
      </c>
      <c r="AE50" s="2" t="s">
        <v>840</v>
      </c>
      <c r="AF50" s="2">
        <v>1978</v>
      </c>
      <c r="AG50" s="2" t="s">
        <v>126</v>
      </c>
      <c r="AH50" s="2" t="s">
        <v>841</v>
      </c>
      <c r="AI50" s="2" t="s">
        <v>169</v>
      </c>
      <c r="AJ50" s="2" t="s">
        <v>169</v>
      </c>
      <c r="AK50" s="2" t="s">
        <v>151</v>
      </c>
      <c r="AL50" s="2" t="s">
        <v>150</v>
      </c>
      <c r="AM50" s="2" t="s">
        <v>150</v>
      </c>
      <c r="AN50" s="2">
        <v>2</v>
      </c>
      <c r="AO50" s="2" t="s">
        <v>302</v>
      </c>
      <c r="AP50" s="2" t="s">
        <v>226</v>
      </c>
      <c r="AQ50" s="2" t="s">
        <v>842</v>
      </c>
      <c r="AR50" s="2" t="s">
        <v>843</v>
      </c>
      <c r="AS50" s="2" t="s">
        <v>386</v>
      </c>
      <c r="AT50" s="2" t="s">
        <v>157</v>
      </c>
      <c r="AV50" s="2" t="s">
        <v>159</v>
      </c>
      <c r="AW50" s="2">
        <v>2</v>
      </c>
      <c r="AX50" s="2" t="s">
        <v>191</v>
      </c>
      <c r="AY50" s="2">
        <v>2005</v>
      </c>
      <c r="AZ50" s="2" t="s">
        <v>126</v>
      </c>
      <c r="BA50" s="2" t="s">
        <v>844</v>
      </c>
      <c r="BB50" s="2" t="s">
        <v>150</v>
      </c>
      <c r="BC50" s="2" t="s">
        <v>150</v>
      </c>
      <c r="BD50" s="2" t="s">
        <v>169</v>
      </c>
      <c r="BE50" s="2" t="s">
        <v>162</v>
      </c>
      <c r="BF50" s="2" t="s">
        <v>162</v>
      </c>
      <c r="BG50" s="2">
        <v>3</v>
      </c>
      <c r="BH50" s="2" t="s">
        <v>845</v>
      </c>
      <c r="BI50" s="2" t="s">
        <v>157</v>
      </c>
      <c r="BK50" s="2" t="s">
        <v>148</v>
      </c>
      <c r="BL50" s="2" t="s">
        <v>166</v>
      </c>
      <c r="BM50" s="2" t="s">
        <v>191</v>
      </c>
      <c r="BN50" s="2">
        <v>2007</v>
      </c>
      <c r="BO50" s="2" t="s">
        <v>126</v>
      </c>
      <c r="BP50" s="2" t="s">
        <v>844</v>
      </c>
      <c r="BQ50" s="2" t="s">
        <v>150</v>
      </c>
      <c r="BR50" s="2" t="s">
        <v>150</v>
      </c>
      <c r="BS50" s="2" t="s">
        <v>150</v>
      </c>
      <c r="BT50" s="2" t="s">
        <v>162</v>
      </c>
      <c r="BU50" s="2" t="s">
        <v>162</v>
      </c>
      <c r="BV50" s="2">
        <v>3</v>
      </c>
      <c r="BW50" s="2" t="s">
        <v>148</v>
      </c>
      <c r="BX50" s="2" t="s">
        <v>157</v>
      </c>
      <c r="BZ50" s="2" t="s">
        <v>148</v>
      </c>
      <c r="CA50" s="2" t="s">
        <v>173</v>
      </c>
      <c r="CP50" s="2" t="s">
        <v>123</v>
      </c>
      <c r="CZ50" s="2" t="s">
        <v>214</v>
      </c>
      <c r="DA50" s="2" t="s">
        <v>846</v>
      </c>
      <c r="DB50" s="2" t="s">
        <v>847</v>
      </c>
      <c r="DC50" s="2" t="s">
        <v>150</v>
      </c>
      <c r="DD50" s="2" t="s">
        <v>150</v>
      </c>
      <c r="DE50" s="2" t="s">
        <v>150</v>
      </c>
      <c r="DF50" s="2" t="s">
        <v>150</v>
      </c>
      <c r="DG50" s="2" t="s">
        <v>150</v>
      </c>
      <c r="DH50" s="2" t="s">
        <v>162</v>
      </c>
      <c r="DI50" s="2" t="s">
        <v>848</v>
      </c>
      <c r="DJ50" s="2" t="s">
        <v>123</v>
      </c>
      <c r="EM50" s="2" t="s">
        <v>123</v>
      </c>
      <c r="EN50" s="2" t="s">
        <v>180</v>
      </c>
      <c r="EO50" s="2" t="s">
        <v>132</v>
      </c>
      <c r="FM50" s="2" t="s">
        <v>123</v>
      </c>
      <c r="FN50" s="2" t="s">
        <v>132</v>
      </c>
      <c r="FP50" s="2" t="s">
        <v>132</v>
      </c>
      <c r="GU50" s="2" t="s">
        <v>849</v>
      </c>
      <c r="GV50" s="2" t="s">
        <v>850</v>
      </c>
      <c r="GW50" s="2" t="s">
        <v>851</v>
      </c>
      <c r="GX50" s="2" t="s">
        <v>186</v>
      </c>
      <c r="GY50" s="2">
        <v>1954</v>
      </c>
      <c r="GZ50" s="2" t="s">
        <v>141</v>
      </c>
      <c r="HB50" s="2" t="s">
        <v>852</v>
      </c>
      <c r="HC50" s="2" t="s">
        <v>853</v>
      </c>
    </row>
    <row r="51" spans="1:211" x14ac:dyDescent="0.45">
      <c r="A51" s="2" t="s">
        <v>856</v>
      </c>
      <c r="B51" s="2">
        <v>49</v>
      </c>
      <c r="C51" s="2" t="s">
        <v>854</v>
      </c>
      <c r="D51" s="2" t="s">
        <v>118</v>
      </c>
      <c r="G51" s="2"/>
      <c r="I51" s="2" t="s">
        <v>119</v>
      </c>
      <c r="J51" s="2" t="s">
        <v>855</v>
      </c>
      <c r="K51" s="2">
        <v>1349</v>
      </c>
      <c r="L51" s="2">
        <v>0</v>
      </c>
      <c r="M51" s="2" t="s">
        <v>122</v>
      </c>
      <c r="N51" s="2" t="s">
        <v>416</v>
      </c>
      <c r="O51" s="2" t="s">
        <v>179</v>
      </c>
      <c r="P51" s="2" t="s">
        <v>148</v>
      </c>
      <c r="Q51" s="2" t="s">
        <v>857</v>
      </c>
      <c r="R51" s="2" t="s">
        <v>162</v>
      </c>
      <c r="S51" s="2" t="s">
        <v>162</v>
      </c>
      <c r="T51" s="2" t="s">
        <v>151</v>
      </c>
      <c r="U51" s="2" t="s">
        <v>718</v>
      </c>
      <c r="V51" s="2" t="s">
        <v>152</v>
      </c>
      <c r="W51" s="2" t="s">
        <v>759</v>
      </c>
      <c r="X51" s="2" t="s">
        <v>858</v>
      </c>
      <c r="Y51" s="2" t="s">
        <v>859</v>
      </c>
      <c r="Z51" s="2" t="s">
        <v>860</v>
      </c>
      <c r="AB51" s="2" t="s">
        <v>861</v>
      </c>
      <c r="AC51" s="2">
        <v>2</v>
      </c>
      <c r="AD51" s="2" t="s">
        <v>124</v>
      </c>
      <c r="AE51" s="2" t="s">
        <v>862</v>
      </c>
      <c r="AF51" s="2">
        <v>2019</v>
      </c>
      <c r="AG51" s="2" t="s">
        <v>148</v>
      </c>
      <c r="AH51" s="2" t="s">
        <v>863</v>
      </c>
      <c r="AI51" s="2" t="s">
        <v>150</v>
      </c>
      <c r="AJ51" s="2" t="s">
        <v>150</v>
      </c>
      <c r="AK51" s="2" t="s">
        <v>169</v>
      </c>
      <c r="AL51" s="2" t="s">
        <v>151</v>
      </c>
      <c r="AM51" s="2" t="s">
        <v>150</v>
      </c>
      <c r="AN51" s="2" t="s">
        <v>864</v>
      </c>
      <c r="AO51" s="2" t="s">
        <v>302</v>
      </c>
      <c r="AP51" s="2" t="s">
        <v>759</v>
      </c>
      <c r="AQ51" s="2" t="s">
        <v>865</v>
      </c>
      <c r="AR51" s="2" t="s">
        <v>866</v>
      </c>
      <c r="AS51" s="2" t="s">
        <v>867</v>
      </c>
      <c r="AT51" s="2" t="s">
        <v>157</v>
      </c>
      <c r="AV51" s="2" t="s">
        <v>123</v>
      </c>
      <c r="AW51" s="2" t="s">
        <v>132</v>
      </c>
      <c r="CP51" s="2" t="s">
        <v>123</v>
      </c>
      <c r="CZ51" s="2" t="s">
        <v>123</v>
      </c>
      <c r="DJ51" s="2" t="s">
        <v>123</v>
      </c>
      <c r="EM51" s="2" t="s">
        <v>123</v>
      </c>
      <c r="FM51" s="2" t="s">
        <v>123</v>
      </c>
      <c r="FN51" s="2" t="s">
        <v>132</v>
      </c>
      <c r="GU51" s="2" t="s">
        <v>868</v>
      </c>
      <c r="GV51" s="2" t="s">
        <v>869</v>
      </c>
      <c r="GW51" s="2" t="s">
        <v>870</v>
      </c>
      <c r="GX51" s="2" t="s">
        <v>186</v>
      </c>
      <c r="GY51" s="2">
        <v>1991</v>
      </c>
      <c r="GZ51" s="2" t="s">
        <v>220</v>
      </c>
      <c r="HA51" s="2" t="s">
        <v>871</v>
      </c>
      <c r="HB51" s="2" t="s">
        <v>872</v>
      </c>
      <c r="HC51" s="2" t="s">
        <v>386</v>
      </c>
    </row>
    <row r="52" spans="1:211" x14ac:dyDescent="0.45">
      <c r="A52" s="2" t="s">
        <v>875</v>
      </c>
      <c r="B52" s="2">
        <v>50</v>
      </c>
      <c r="C52" s="2" t="s">
        <v>873</v>
      </c>
      <c r="D52" s="2" t="s">
        <v>118</v>
      </c>
      <c r="E52" s="2" t="s">
        <v>797</v>
      </c>
      <c r="G52" s="2"/>
      <c r="I52" s="2" t="s">
        <v>119</v>
      </c>
      <c r="J52" s="2" t="s">
        <v>874</v>
      </c>
      <c r="K52" s="2">
        <v>1971</v>
      </c>
      <c r="L52" s="2">
        <v>0</v>
      </c>
      <c r="M52" s="2" t="s">
        <v>122</v>
      </c>
      <c r="N52" s="2" t="s">
        <v>123</v>
      </c>
      <c r="P52" s="2"/>
      <c r="AD52" s="2" t="s">
        <v>124</v>
      </c>
      <c r="AE52" s="2" t="s">
        <v>223</v>
      </c>
      <c r="AF52" s="2">
        <v>2012</v>
      </c>
      <c r="AG52" s="2" t="s">
        <v>148</v>
      </c>
      <c r="AH52" s="2" t="s">
        <v>876</v>
      </c>
      <c r="AI52" s="2" t="s">
        <v>150</v>
      </c>
      <c r="AJ52" s="2" t="s">
        <v>162</v>
      </c>
      <c r="AK52" s="2" t="s">
        <v>128</v>
      </c>
      <c r="AL52" s="2" t="s">
        <v>236</v>
      </c>
      <c r="AM52" s="2" t="s">
        <v>151</v>
      </c>
      <c r="AN52" s="2">
        <v>2</v>
      </c>
      <c r="AO52" s="2" t="s">
        <v>131</v>
      </c>
      <c r="AP52" s="2" t="s">
        <v>153</v>
      </c>
      <c r="AQ52" s="2" t="s">
        <v>877</v>
      </c>
      <c r="AR52" s="2" t="s">
        <v>532</v>
      </c>
      <c r="AS52" s="2" t="s">
        <v>532</v>
      </c>
      <c r="AT52" s="2" t="s">
        <v>157</v>
      </c>
      <c r="AU52" s="2" t="s">
        <v>878</v>
      </c>
      <c r="AV52" s="2" t="s">
        <v>123</v>
      </c>
      <c r="CP52" s="2" t="s">
        <v>123</v>
      </c>
      <c r="CZ52" s="2" t="s">
        <v>123</v>
      </c>
      <c r="DJ52" s="2" t="s">
        <v>123</v>
      </c>
      <c r="EM52" s="2" t="s">
        <v>123</v>
      </c>
      <c r="FM52" s="2" t="s">
        <v>123</v>
      </c>
      <c r="FN52" s="2" t="s">
        <v>132</v>
      </c>
      <c r="GU52" s="2" t="s">
        <v>532</v>
      </c>
      <c r="GV52" s="2" t="s">
        <v>532</v>
      </c>
      <c r="GW52" s="2" t="s">
        <v>532</v>
      </c>
      <c r="GX52" s="2" t="s">
        <v>186</v>
      </c>
      <c r="GY52" s="2">
        <v>1988</v>
      </c>
      <c r="GZ52" s="2" t="s">
        <v>246</v>
      </c>
      <c r="HC52" s="2" t="s">
        <v>879</v>
      </c>
    </row>
    <row r="53" spans="1:211" x14ac:dyDescent="0.45">
      <c r="A53" s="2" t="s">
        <v>881</v>
      </c>
      <c r="B53" s="2">
        <v>51</v>
      </c>
      <c r="C53" s="2" t="s">
        <v>873</v>
      </c>
      <c r="D53" s="2" t="s">
        <v>118</v>
      </c>
      <c r="E53" s="2" t="s">
        <v>797</v>
      </c>
      <c r="G53" s="2"/>
      <c r="I53" s="2" t="s">
        <v>119</v>
      </c>
      <c r="J53" s="2" t="s">
        <v>880</v>
      </c>
      <c r="K53" s="2">
        <v>2138</v>
      </c>
      <c r="L53" s="2">
        <v>0</v>
      </c>
      <c r="M53" s="2" t="s">
        <v>122</v>
      </c>
      <c r="N53" s="2" t="s">
        <v>123</v>
      </c>
      <c r="P53" s="2"/>
      <c r="AD53" s="2" t="s">
        <v>124</v>
      </c>
      <c r="AE53" s="2" t="s">
        <v>191</v>
      </c>
      <c r="AF53" s="2">
        <v>2005</v>
      </c>
      <c r="AG53" s="2" t="s">
        <v>126</v>
      </c>
      <c r="AH53" s="2" t="s">
        <v>882</v>
      </c>
      <c r="AI53" s="2" t="s">
        <v>162</v>
      </c>
      <c r="AJ53" s="2" t="s">
        <v>162</v>
      </c>
      <c r="AK53" s="2" t="s">
        <v>162</v>
      </c>
      <c r="AL53" s="2" t="s">
        <v>236</v>
      </c>
      <c r="AM53" s="2" t="s">
        <v>128</v>
      </c>
      <c r="AN53" s="2" t="s">
        <v>883</v>
      </c>
      <c r="AO53" s="2" t="s">
        <v>131</v>
      </c>
      <c r="AP53" s="2" t="s">
        <v>302</v>
      </c>
      <c r="AQ53" s="2" t="s">
        <v>884</v>
      </c>
      <c r="AR53" s="2" t="s">
        <v>532</v>
      </c>
      <c r="AS53" s="2" t="s">
        <v>532</v>
      </c>
      <c r="AT53" s="2" t="s">
        <v>157</v>
      </c>
      <c r="AU53" s="2" t="s">
        <v>878</v>
      </c>
      <c r="AV53" s="2" t="s">
        <v>123</v>
      </c>
      <c r="CP53" s="2" t="s">
        <v>123</v>
      </c>
      <c r="CZ53" s="2" t="s">
        <v>123</v>
      </c>
      <c r="DJ53" s="2" t="s">
        <v>123</v>
      </c>
      <c r="EM53" s="2" t="s">
        <v>177</v>
      </c>
      <c r="EN53" s="2" t="s">
        <v>178</v>
      </c>
      <c r="EO53" s="2">
        <v>1</v>
      </c>
      <c r="EP53" s="2" t="s">
        <v>747</v>
      </c>
      <c r="EQ53" s="2" t="s">
        <v>162</v>
      </c>
      <c r="ER53" s="2" t="s">
        <v>162</v>
      </c>
      <c r="ES53" s="2" t="s">
        <v>151</v>
      </c>
      <c r="ET53" s="2" t="s">
        <v>178</v>
      </c>
      <c r="EU53" s="2" t="s">
        <v>885</v>
      </c>
      <c r="EV53" s="2" t="s">
        <v>886</v>
      </c>
      <c r="EW53" s="2" t="s">
        <v>173</v>
      </c>
      <c r="FM53" s="2" t="s">
        <v>123</v>
      </c>
      <c r="FN53" s="2" t="s">
        <v>132</v>
      </c>
      <c r="GU53" s="2" t="s">
        <v>887</v>
      </c>
      <c r="GV53" s="2" t="s">
        <v>532</v>
      </c>
      <c r="GW53" s="2" t="s">
        <v>532</v>
      </c>
      <c r="GX53" s="2" t="s">
        <v>140</v>
      </c>
      <c r="GY53" s="2">
        <v>1981</v>
      </c>
      <c r="GZ53" s="2" t="s">
        <v>141</v>
      </c>
    </row>
    <row r="54" spans="1:211" x14ac:dyDescent="0.45">
      <c r="A54" s="2" t="s">
        <v>889</v>
      </c>
      <c r="B54" s="2">
        <v>52</v>
      </c>
      <c r="C54" s="2" t="s">
        <v>873</v>
      </c>
      <c r="D54" s="2" t="s">
        <v>118</v>
      </c>
      <c r="E54" s="2" t="s">
        <v>797</v>
      </c>
      <c r="G54" s="2"/>
      <c r="I54" s="2" t="s">
        <v>119</v>
      </c>
      <c r="J54" s="2" t="s">
        <v>888</v>
      </c>
      <c r="K54" s="2">
        <v>1595</v>
      </c>
      <c r="L54" s="2">
        <v>0</v>
      </c>
      <c r="M54" s="2" t="s">
        <v>122</v>
      </c>
      <c r="N54" s="2" t="s">
        <v>123</v>
      </c>
      <c r="P54" s="2"/>
      <c r="AD54" s="2" t="s">
        <v>124</v>
      </c>
      <c r="AE54" s="2" t="s">
        <v>191</v>
      </c>
      <c r="AF54" s="2">
        <v>1975</v>
      </c>
      <c r="AG54" s="2" t="s">
        <v>126</v>
      </c>
      <c r="AH54" s="2" t="s">
        <v>890</v>
      </c>
      <c r="AI54" s="2" t="s">
        <v>150</v>
      </c>
      <c r="AJ54" s="2" t="s">
        <v>162</v>
      </c>
      <c r="AK54" s="2" t="s">
        <v>128</v>
      </c>
      <c r="AL54" s="2" t="s">
        <v>169</v>
      </c>
      <c r="AM54" s="2" t="s">
        <v>169</v>
      </c>
      <c r="AN54" s="2" t="s">
        <v>883</v>
      </c>
      <c r="AO54" s="2" t="s">
        <v>194</v>
      </c>
      <c r="AP54" s="2" t="s">
        <v>194</v>
      </c>
      <c r="AQ54" s="2" t="s">
        <v>891</v>
      </c>
      <c r="AR54" s="2" t="s">
        <v>532</v>
      </c>
      <c r="AS54" s="2" t="s">
        <v>532</v>
      </c>
      <c r="AT54" s="2" t="s">
        <v>892</v>
      </c>
      <c r="AV54" s="2" t="s">
        <v>159</v>
      </c>
      <c r="AX54" s="2" t="s">
        <v>893</v>
      </c>
      <c r="AY54" s="2">
        <v>2002</v>
      </c>
      <c r="AZ54" s="2" t="s">
        <v>126</v>
      </c>
      <c r="BA54" s="2" t="s">
        <v>894</v>
      </c>
      <c r="BB54" s="2" t="s">
        <v>150</v>
      </c>
      <c r="BC54" s="2" t="s">
        <v>150</v>
      </c>
      <c r="BD54" s="2" t="s">
        <v>150</v>
      </c>
      <c r="BE54" s="2" t="s">
        <v>236</v>
      </c>
      <c r="BF54" s="2" t="s">
        <v>128</v>
      </c>
      <c r="BG54" s="2">
        <v>3</v>
      </c>
      <c r="BI54" s="2" t="s">
        <v>157</v>
      </c>
      <c r="BL54" s="2" t="s">
        <v>173</v>
      </c>
      <c r="CP54" s="2" t="s">
        <v>123</v>
      </c>
      <c r="CZ54" s="2" t="s">
        <v>123</v>
      </c>
      <c r="DJ54" s="2" t="s">
        <v>123</v>
      </c>
      <c r="EM54" s="2" t="s">
        <v>123</v>
      </c>
      <c r="FM54" s="2" t="s">
        <v>123</v>
      </c>
      <c r="FN54" s="2" t="s">
        <v>132</v>
      </c>
      <c r="GU54" s="2" t="s">
        <v>532</v>
      </c>
      <c r="GV54" s="2" t="s">
        <v>532</v>
      </c>
      <c r="GW54" s="2" t="s">
        <v>532</v>
      </c>
      <c r="GX54" s="2" t="s">
        <v>186</v>
      </c>
      <c r="GY54" s="2">
        <v>1950</v>
      </c>
      <c r="GZ54" s="2" t="s">
        <v>141</v>
      </c>
    </row>
    <row r="55" spans="1:211" x14ac:dyDescent="0.45">
      <c r="A55" s="2" t="s">
        <v>896</v>
      </c>
      <c r="B55" s="2">
        <v>53</v>
      </c>
      <c r="C55" s="2" t="s">
        <v>873</v>
      </c>
      <c r="D55" s="2" t="s">
        <v>118</v>
      </c>
      <c r="E55" s="2" t="s">
        <v>797</v>
      </c>
      <c r="G55" s="2"/>
      <c r="I55" s="2" t="s">
        <v>119</v>
      </c>
      <c r="J55" s="2" t="s">
        <v>895</v>
      </c>
      <c r="K55" s="2">
        <v>1418</v>
      </c>
      <c r="L55" s="2">
        <v>0</v>
      </c>
      <c r="M55" s="2" t="s">
        <v>122</v>
      </c>
      <c r="N55" s="2" t="s">
        <v>123</v>
      </c>
      <c r="P55" s="2"/>
      <c r="AD55" s="2" t="s">
        <v>124</v>
      </c>
      <c r="AE55" s="2" t="s">
        <v>191</v>
      </c>
      <c r="AF55" s="2">
        <v>1975</v>
      </c>
      <c r="AG55" s="2" t="s">
        <v>126</v>
      </c>
      <c r="AH55" s="2" t="s">
        <v>897</v>
      </c>
      <c r="AI55" s="2" t="s">
        <v>150</v>
      </c>
      <c r="AJ55" s="2" t="s">
        <v>162</v>
      </c>
      <c r="AK55" s="2" t="s">
        <v>150</v>
      </c>
      <c r="AL55" s="2" t="s">
        <v>162</v>
      </c>
      <c r="AM55" s="2" t="s">
        <v>162</v>
      </c>
      <c r="AN55" s="2" t="s">
        <v>898</v>
      </c>
      <c r="AO55" s="2" t="s">
        <v>153</v>
      </c>
      <c r="AP55" s="2" t="s">
        <v>153</v>
      </c>
      <c r="AR55" s="2" t="s">
        <v>532</v>
      </c>
      <c r="AS55" s="2" t="s">
        <v>532</v>
      </c>
      <c r="AT55" s="2" t="s">
        <v>157</v>
      </c>
      <c r="AV55" s="2" t="s">
        <v>159</v>
      </c>
      <c r="AW55" s="2">
        <v>1</v>
      </c>
      <c r="AX55" s="2" t="s">
        <v>191</v>
      </c>
      <c r="AY55" s="2">
        <v>2011</v>
      </c>
      <c r="AZ55" s="2" t="s">
        <v>126</v>
      </c>
      <c r="BA55" s="2" t="s">
        <v>899</v>
      </c>
      <c r="BB55" s="2" t="s">
        <v>162</v>
      </c>
      <c r="BC55" s="2" t="s">
        <v>150</v>
      </c>
      <c r="BD55" s="2" t="s">
        <v>236</v>
      </c>
      <c r="BE55" s="2" t="s">
        <v>132</v>
      </c>
      <c r="BF55" s="2" t="s">
        <v>132</v>
      </c>
      <c r="BG55" s="2" t="s">
        <v>900</v>
      </c>
      <c r="BH55" s="2" t="s">
        <v>901</v>
      </c>
      <c r="BI55" s="2" t="s">
        <v>157</v>
      </c>
      <c r="BJ55" s="2" t="s">
        <v>878</v>
      </c>
      <c r="BL55" s="2" t="s">
        <v>173</v>
      </c>
      <c r="CP55" s="2" t="s">
        <v>123</v>
      </c>
      <c r="CZ55" s="2" t="s">
        <v>123</v>
      </c>
      <c r="DJ55" s="2" t="s">
        <v>123</v>
      </c>
      <c r="EM55" s="2" t="s">
        <v>123</v>
      </c>
      <c r="FM55" s="2" t="s">
        <v>123</v>
      </c>
      <c r="FN55" s="2" t="s">
        <v>132</v>
      </c>
      <c r="GU55" s="2" t="s">
        <v>532</v>
      </c>
      <c r="GV55" s="2" t="s">
        <v>532</v>
      </c>
      <c r="GW55" s="2" t="s">
        <v>532</v>
      </c>
      <c r="GX55" s="2" t="s">
        <v>140</v>
      </c>
      <c r="GY55" s="2">
        <v>1950</v>
      </c>
      <c r="GZ55" s="2" t="s">
        <v>141</v>
      </c>
    </row>
    <row r="56" spans="1:211" x14ac:dyDescent="0.45">
      <c r="A56" s="2" t="s">
        <v>904</v>
      </c>
      <c r="B56" s="2">
        <v>54</v>
      </c>
      <c r="C56" s="2" t="s">
        <v>902</v>
      </c>
      <c r="D56" s="2" t="s">
        <v>118</v>
      </c>
      <c r="G56" s="2"/>
      <c r="I56" s="2" t="s">
        <v>119</v>
      </c>
      <c r="J56" s="2" t="s">
        <v>903</v>
      </c>
      <c r="K56" s="2">
        <v>255</v>
      </c>
      <c r="L56" s="2">
        <v>0</v>
      </c>
      <c r="M56" s="2" t="s">
        <v>122</v>
      </c>
      <c r="N56" s="2" t="s">
        <v>123</v>
      </c>
      <c r="P56" s="2"/>
      <c r="AD56" s="2" t="s">
        <v>124</v>
      </c>
      <c r="AE56" s="2" t="s">
        <v>905</v>
      </c>
      <c r="AF56" s="2">
        <v>2009</v>
      </c>
      <c r="AG56" s="2" t="s">
        <v>126</v>
      </c>
      <c r="AH56" s="2" t="s">
        <v>906</v>
      </c>
      <c r="AI56" s="2" t="s">
        <v>151</v>
      </c>
      <c r="AJ56" s="2" t="s">
        <v>151</v>
      </c>
      <c r="AK56" s="2" t="s">
        <v>150</v>
      </c>
      <c r="AL56" s="2" t="s">
        <v>128</v>
      </c>
      <c r="AM56" s="2" t="s">
        <v>162</v>
      </c>
      <c r="AN56" s="2" t="s">
        <v>907</v>
      </c>
      <c r="AO56" s="2" t="s">
        <v>131</v>
      </c>
      <c r="AP56" s="2" t="s">
        <v>759</v>
      </c>
      <c r="AQ56" s="2" t="s">
        <v>908</v>
      </c>
      <c r="AR56" s="2" t="s">
        <v>908</v>
      </c>
      <c r="AS56" s="2" t="s">
        <v>909</v>
      </c>
      <c r="AT56" s="2" t="s">
        <v>172</v>
      </c>
      <c r="AV56" s="2" t="s">
        <v>123</v>
      </c>
      <c r="AW56" s="2" t="s">
        <v>132</v>
      </c>
      <c r="CP56" s="2" t="s">
        <v>123</v>
      </c>
      <c r="CZ56" s="2" t="s">
        <v>123</v>
      </c>
      <c r="DJ56" s="2" t="s">
        <v>123</v>
      </c>
      <c r="EM56" s="2" t="s">
        <v>123</v>
      </c>
      <c r="EN56" s="2" t="s">
        <v>180</v>
      </c>
      <c r="EO56" s="2" t="s">
        <v>132</v>
      </c>
      <c r="FM56" s="2" t="s">
        <v>123</v>
      </c>
      <c r="FN56" s="2" t="s">
        <v>132</v>
      </c>
      <c r="FP56" s="2" t="s">
        <v>132</v>
      </c>
      <c r="GU56" s="2" t="s">
        <v>910</v>
      </c>
      <c r="GV56" s="2" t="s">
        <v>911</v>
      </c>
      <c r="GW56" s="2" t="s">
        <v>912</v>
      </c>
      <c r="GX56" s="2" t="s">
        <v>186</v>
      </c>
      <c r="GY56" s="2">
        <v>1983</v>
      </c>
      <c r="GZ56" s="2" t="s">
        <v>141</v>
      </c>
    </row>
    <row r="57" spans="1:211" x14ac:dyDescent="0.45">
      <c r="A57" s="2" t="s">
        <v>917</v>
      </c>
      <c r="B57" s="2">
        <v>55</v>
      </c>
      <c r="C57" s="2" t="s">
        <v>915</v>
      </c>
      <c r="D57" s="2" t="s">
        <v>118</v>
      </c>
      <c r="G57" s="2"/>
      <c r="I57" s="2" t="s">
        <v>119</v>
      </c>
      <c r="J57" s="2" t="s">
        <v>916</v>
      </c>
      <c r="K57" s="2">
        <v>76609</v>
      </c>
      <c r="L57" s="2">
        <v>0</v>
      </c>
      <c r="M57" s="2" t="s">
        <v>122</v>
      </c>
      <c r="N57" s="2" t="s">
        <v>123</v>
      </c>
      <c r="P57" s="2"/>
      <c r="AD57" s="2" t="s">
        <v>124</v>
      </c>
      <c r="AE57" s="2" t="s">
        <v>223</v>
      </c>
      <c r="AF57" s="2" t="s">
        <v>918</v>
      </c>
      <c r="AG57" s="2" t="s">
        <v>148</v>
      </c>
      <c r="AH57" s="2" t="s">
        <v>919</v>
      </c>
      <c r="AI57" s="2" t="s">
        <v>169</v>
      </c>
      <c r="AJ57" s="2" t="s">
        <v>169</v>
      </c>
      <c r="AK57" s="2" t="s">
        <v>150</v>
      </c>
      <c r="AL57" s="2" t="s">
        <v>128</v>
      </c>
      <c r="AM57" s="2" t="s">
        <v>128</v>
      </c>
      <c r="AN57" s="2" t="s">
        <v>920</v>
      </c>
      <c r="AO57" s="2" t="s">
        <v>302</v>
      </c>
      <c r="AP57" s="2" t="s">
        <v>302</v>
      </c>
      <c r="AQ57" s="2" t="s">
        <v>921</v>
      </c>
      <c r="AR57" s="2" t="s">
        <v>922</v>
      </c>
      <c r="AS57" s="2" t="s">
        <v>923</v>
      </c>
      <c r="AT57" s="2" t="s">
        <v>157</v>
      </c>
      <c r="AV57" s="2" t="s">
        <v>159</v>
      </c>
      <c r="AW57" s="2">
        <v>2</v>
      </c>
      <c r="AX57" s="2" t="s">
        <v>223</v>
      </c>
      <c r="AY57" s="2">
        <v>2009</v>
      </c>
      <c r="AZ57" s="2" t="s">
        <v>148</v>
      </c>
      <c r="BA57" s="2" t="s">
        <v>924</v>
      </c>
      <c r="BB57" s="2" t="s">
        <v>169</v>
      </c>
      <c r="BC57" s="2" t="s">
        <v>169</v>
      </c>
      <c r="BD57" s="2" t="s">
        <v>169</v>
      </c>
      <c r="BE57" s="2" t="s">
        <v>128</v>
      </c>
      <c r="BF57" s="2" t="s">
        <v>128</v>
      </c>
      <c r="BG57" s="2" t="s">
        <v>925</v>
      </c>
      <c r="BH57" s="2" t="s">
        <v>926</v>
      </c>
      <c r="BI57" s="2" t="s">
        <v>157</v>
      </c>
      <c r="BK57" s="2" t="s">
        <v>927</v>
      </c>
      <c r="BL57" s="2" t="s">
        <v>173</v>
      </c>
      <c r="CP57" s="2" t="s">
        <v>387</v>
      </c>
      <c r="CQ57" s="2" t="s">
        <v>223</v>
      </c>
      <c r="CR57" s="2" t="s">
        <v>928</v>
      </c>
      <c r="CS57" s="2" t="s">
        <v>169</v>
      </c>
      <c r="CT57" s="2" t="s">
        <v>162</v>
      </c>
      <c r="CU57" s="2" t="s">
        <v>128</v>
      </c>
      <c r="CV57" s="2" t="s">
        <v>169</v>
      </c>
      <c r="CW57" s="2" t="s">
        <v>169</v>
      </c>
      <c r="CX57" s="2" t="s">
        <v>169</v>
      </c>
      <c r="CY57" s="2" t="s">
        <v>929</v>
      </c>
      <c r="CZ57" s="2" t="s">
        <v>214</v>
      </c>
      <c r="DA57" s="2" t="s">
        <v>223</v>
      </c>
      <c r="DB57" s="2" t="s">
        <v>928</v>
      </c>
      <c r="DC57" s="2" t="s">
        <v>169</v>
      </c>
      <c r="DD57" s="2" t="s">
        <v>162</v>
      </c>
      <c r="DE57" s="2" t="s">
        <v>128</v>
      </c>
      <c r="DF57" s="2" t="s">
        <v>169</v>
      </c>
      <c r="DG57" s="2" t="s">
        <v>169</v>
      </c>
      <c r="DH57" s="2" t="s">
        <v>150</v>
      </c>
      <c r="DI57" s="2" t="s">
        <v>930</v>
      </c>
      <c r="DJ57" s="2" t="s">
        <v>123</v>
      </c>
      <c r="EM57" s="2" t="s">
        <v>177</v>
      </c>
      <c r="EN57" s="2" t="s">
        <v>180</v>
      </c>
      <c r="EO57" s="2">
        <v>1</v>
      </c>
      <c r="EP57" s="2" t="s">
        <v>223</v>
      </c>
      <c r="EQ57" s="2" t="s">
        <v>169</v>
      </c>
      <c r="ER57" s="2" t="s">
        <v>169</v>
      </c>
      <c r="ES57" s="2" t="s">
        <v>236</v>
      </c>
      <c r="ET57" s="2" t="s">
        <v>180</v>
      </c>
      <c r="EU57" s="2" t="s">
        <v>931</v>
      </c>
      <c r="EV57" s="2" t="s">
        <v>932</v>
      </c>
      <c r="EW57" s="2" t="s">
        <v>173</v>
      </c>
      <c r="FM57" s="2" t="s">
        <v>123</v>
      </c>
      <c r="FN57" s="2" t="s">
        <v>132</v>
      </c>
      <c r="FP57" s="2" t="s">
        <v>132</v>
      </c>
      <c r="GU57" s="2" t="s">
        <v>933</v>
      </c>
      <c r="GV57" s="2" t="s">
        <v>934</v>
      </c>
      <c r="GW57" s="2" t="s">
        <v>935</v>
      </c>
      <c r="GX57" s="2" t="s">
        <v>140</v>
      </c>
      <c r="GY57" s="2">
        <v>1957</v>
      </c>
      <c r="GZ57" s="2" t="s">
        <v>141</v>
      </c>
      <c r="HB57" s="2" t="s">
        <v>936</v>
      </c>
    </row>
    <row r="58" spans="1:211" x14ac:dyDescent="0.45">
      <c r="A58" s="2" t="s">
        <v>940</v>
      </c>
      <c r="B58" s="2">
        <v>56</v>
      </c>
      <c r="C58" s="2" t="s">
        <v>938</v>
      </c>
      <c r="D58" s="2" t="s">
        <v>118</v>
      </c>
      <c r="G58" s="2"/>
      <c r="I58" s="2" t="s">
        <v>119</v>
      </c>
      <c r="J58" s="2" t="s">
        <v>939</v>
      </c>
      <c r="K58" s="2">
        <v>451</v>
      </c>
      <c r="L58" s="2">
        <v>0</v>
      </c>
      <c r="M58" s="2" t="s">
        <v>122</v>
      </c>
      <c r="N58" s="2" t="s">
        <v>123</v>
      </c>
      <c r="P58" s="2"/>
      <c r="AD58" s="2" t="s">
        <v>124</v>
      </c>
      <c r="AE58" s="2" t="s">
        <v>941</v>
      </c>
      <c r="AF58" s="2">
        <v>2004</v>
      </c>
      <c r="AG58" s="2" t="s">
        <v>148</v>
      </c>
      <c r="AH58" s="2" t="s">
        <v>942</v>
      </c>
      <c r="AI58" s="2" t="s">
        <v>150</v>
      </c>
      <c r="AJ58" s="2" t="s">
        <v>150</v>
      </c>
      <c r="AK58" s="2" t="s">
        <v>150</v>
      </c>
      <c r="AL58" s="2" t="s">
        <v>150</v>
      </c>
      <c r="AM58" s="2" t="s">
        <v>169</v>
      </c>
      <c r="AN58" s="2" t="s">
        <v>237</v>
      </c>
      <c r="AO58" s="2" t="s">
        <v>302</v>
      </c>
      <c r="AP58" s="2" t="s">
        <v>943</v>
      </c>
      <c r="AQ58" s="2" t="s">
        <v>944</v>
      </c>
      <c r="AR58" s="2" t="s">
        <v>945</v>
      </c>
      <c r="AS58" s="2" t="s">
        <v>946</v>
      </c>
      <c r="AT58" s="2" t="s">
        <v>157</v>
      </c>
      <c r="AV58" s="2" t="s">
        <v>123</v>
      </c>
      <c r="AW58" s="2" t="s">
        <v>132</v>
      </c>
      <c r="CP58" s="2" t="s">
        <v>123</v>
      </c>
      <c r="CZ58" s="2" t="s">
        <v>123</v>
      </c>
      <c r="DJ58" s="2" t="s">
        <v>123</v>
      </c>
      <c r="EM58" s="2" t="s">
        <v>177</v>
      </c>
      <c r="EN58" s="2" t="s">
        <v>178</v>
      </c>
      <c r="EO58" s="2">
        <v>1</v>
      </c>
      <c r="EP58" s="2" t="s">
        <v>747</v>
      </c>
      <c r="EQ58" s="2" t="s">
        <v>169</v>
      </c>
      <c r="ER58" s="2" t="s">
        <v>169</v>
      </c>
      <c r="ES58" s="2" t="s">
        <v>169</v>
      </c>
      <c r="ET58" s="2" t="s">
        <v>178</v>
      </c>
      <c r="EU58" s="2" t="s">
        <v>947</v>
      </c>
      <c r="EV58" s="2" t="s">
        <v>948</v>
      </c>
      <c r="EW58" s="2" t="s">
        <v>173</v>
      </c>
      <c r="FM58" s="2" t="s">
        <v>123</v>
      </c>
      <c r="FN58" s="2" t="s">
        <v>132</v>
      </c>
      <c r="FP58" s="2" t="s">
        <v>132</v>
      </c>
      <c r="GU58" s="2" t="s">
        <v>949</v>
      </c>
      <c r="GV58" s="2" t="s">
        <v>950</v>
      </c>
      <c r="GW58" s="2" t="s">
        <v>951</v>
      </c>
      <c r="GX58" s="2" t="s">
        <v>186</v>
      </c>
      <c r="GY58" s="2">
        <v>1984</v>
      </c>
      <c r="GZ58" s="2" t="s">
        <v>141</v>
      </c>
      <c r="HA58" s="2" t="s">
        <v>952</v>
      </c>
      <c r="HB58" s="2" t="s">
        <v>953</v>
      </c>
      <c r="HC58" s="2" t="s">
        <v>954</v>
      </c>
    </row>
    <row r="59" spans="1:211" x14ac:dyDescent="0.45">
      <c r="A59" s="2" t="s">
        <v>957</v>
      </c>
      <c r="B59" s="2">
        <v>57</v>
      </c>
      <c r="C59" s="2" t="s">
        <v>955</v>
      </c>
      <c r="D59" s="2" t="s">
        <v>118</v>
      </c>
      <c r="E59" s="2" t="s">
        <v>774</v>
      </c>
      <c r="G59" s="2"/>
      <c r="I59" s="2" t="s">
        <v>119</v>
      </c>
      <c r="J59" s="2" t="s">
        <v>956</v>
      </c>
      <c r="K59" s="2">
        <v>1186</v>
      </c>
      <c r="L59" s="2">
        <v>0</v>
      </c>
      <c r="M59" s="2" t="s">
        <v>122</v>
      </c>
      <c r="N59" s="2" t="s">
        <v>416</v>
      </c>
      <c r="O59" s="2" t="s">
        <v>223</v>
      </c>
      <c r="P59" s="2" t="s">
        <v>148</v>
      </c>
      <c r="Q59" s="2" t="s">
        <v>958</v>
      </c>
      <c r="R59" s="2" t="s">
        <v>151</v>
      </c>
      <c r="S59" s="2" t="s">
        <v>128</v>
      </c>
      <c r="T59" s="2" t="s">
        <v>236</v>
      </c>
      <c r="U59" s="2" t="s">
        <v>959</v>
      </c>
      <c r="V59" s="2" t="s">
        <v>302</v>
      </c>
      <c r="W59" s="2" t="s">
        <v>153</v>
      </c>
      <c r="X59" s="2" t="s">
        <v>960</v>
      </c>
      <c r="Y59" s="2" t="s">
        <v>961</v>
      </c>
      <c r="Z59" s="2" t="s">
        <v>962</v>
      </c>
      <c r="AA59" s="2" t="s">
        <v>157</v>
      </c>
      <c r="AC59" s="2">
        <v>4</v>
      </c>
      <c r="AD59" s="2" t="s">
        <v>123</v>
      </c>
      <c r="AV59" s="2" t="s">
        <v>123</v>
      </c>
      <c r="AW59" s="2" t="s">
        <v>132</v>
      </c>
      <c r="CP59" s="2" t="s">
        <v>123</v>
      </c>
      <c r="CZ59" s="2" t="s">
        <v>123</v>
      </c>
      <c r="DJ59" s="2" t="s">
        <v>123</v>
      </c>
      <c r="EM59" s="2" t="s">
        <v>123</v>
      </c>
      <c r="EN59" s="2" t="s">
        <v>180</v>
      </c>
      <c r="EO59" s="2" t="s">
        <v>132</v>
      </c>
      <c r="FM59" s="2" t="s">
        <v>123</v>
      </c>
      <c r="FN59" s="2" t="s">
        <v>132</v>
      </c>
      <c r="GU59" s="2" t="s">
        <v>826</v>
      </c>
      <c r="GV59" s="2" t="s">
        <v>824</v>
      </c>
      <c r="GW59" s="2" t="s">
        <v>820</v>
      </c>
      <c r="GX59" s="2" t="s">
        <v>140</v>
      </c>
      <c r="GY59" s="2">
        <v>1993</v>
      </c>
      <c r="GZ59" s="2" t="s">
        <v>483</v>
      </c>
    </row>
    <row r="60" spans="1:211" x14ac:dyDescent="0.45">
      <c r="A60" s="2" t="s">
        <v>964</v>
      </c>
      <c r="B60" s="2">
        <v>58</v>
      </c>
      <c r="C60" s="2" t="s">
        <v>955</v>
      </c>
      <c r="D60" s="2" t="s">
        <v>118</v>
      </c>
      <c r="E60" s="2" t="s">
        <v>774</v>
      </c>
      <c r="G60" s="2"/>
      <c r="I60" s="2" t="s">
        <v>119</v>
      </c>
      <c r="J60" s="2" t="s">
        <v>963</v>
      </c>
      <c r="K60" s="2">
        <v>456</v>
      </c>
      <c r="L60" s="2">
        <v>0</v>
      </c>
      <c r="M60" s="2" t="s">
        <v>122</v>
      </c>
      <c r="N60" s="2" t="s">
        <v>123</v>
      </c>
      <c r="P60" s="2"/>
      <c r="AD60" s="2" t="s">
        <v>123</v>
      </c>
      <c r="AV60" s="2" t="s">
        <v>123</v>
      </c>
      <c r="CP60" s="2" t="s">
        <v>123</v>
      </c>
      <c r="CZ60" s="2" t="s">
        <v>123</v>
      </c>
      <c r="DJ60" s="2" t="s">
        <v>123</v>
      </c>
      <c r="EM60" s="2" t="s">
        <v>123</v>
      </c>
      <c r="EN60" s="2" t="s">
        <v>178</v>
      </c>
      <c r="FM60" s="2" t="s">
        <v>123</v>
      </c>
      <c r="FN60" s="2" t="s">
        <v>132</v>
      </c>
      <c r="GU60" s="2" t="s">
        <v>818</v>
      </c>
      <c r="GV60" s="2" t="s">
        <v>824</v>
      </c>
      <c r="GW60" s="2" t="s">
        <v>788</v>
      </c>
      <c r="GX60" s="2" t="s">
        <v>186</v>
      </c>
      <c r="GY60" s="2">
        <v>1992</v>
      </c>
      <c r="GZ60" s="2" t="s">
        <v>141</v>
      </c>
      <c r="HB60" s="2" t="s">
        <v>965</v>
      </c>
      <c r="HC60" s="2" t="s">
        <v>966</v>
      </c>
    </row>
    <row r="61" spans="1:211" x14ac:dyDescent="0.45">
      <c r="A61" s="2" t="s">
        <v>968</v>
      </c>
      <c r="B61" s="2">
        <v>59</v>
      </c>
      <c r="C61" s="2" t="s">
        <v>370</v>
      </c>
      <c r="D61" s="2" t="s">
        <v>118</v>
      </c>
      <c r="E61" s="2" t="s">
        <v>774</v>
      </c>
      <c r="G61" s="2"/>
      <c r="I61" s="2" t="s">
        <v>119</v>
      </c>
      <c r="J61" s="2" t="s">
        <v>967</v>
      </c>
      <c r="K61" s="2">
        <v>5160</v>
      </c>
      <c r="L61" s="2">
        <v>0</v>
      </c>
      <c r="M61" s="2" t="s">
        <v>122</v>
      </c>
      <c r="N61" s="2" t="s">
        <v>123</v>
      </c>
      <c r="P61" s="2"/>
      <c r="AD61" s="2" t="s">
        <v>124</v>
      </c>
      <c r="AE61" s="2" t="s">
        <v>191</v>
      </c>
      <c r="AF61" s="2">
        <v>2000</v>
      </c>
      <c r="AG61" s="2" t="s">
        <v>148</v>
      </c>
      <c r="AH61" s="2" t="s">
        <v>969</v>
      </c>
      <c r="AI61" s="2" t="s">
        <v>151</v>
      </c>
      <c r="AJ61" s="2" t="s">
        <v>151</v>
      </c>
      <c r="AK61" s="2" t="s">
        <v>162</v>
      </c>
      <c r="AL61" s="2" t="s">
        <v>162</v>
      </c>
      <c r="AM61" s="2" t="s">
        <v>150</v>
      </c>
      <c r="AN61" s="2">
        <v>0</v>
      </c>
      <c r="AO61" s="2" t="s">
        <v>153</v>
      </c>
      <c r="AP61" s="2" t="s">
        <v>226</v>
      </c>
      <c r="AQ61" s="2" t="s">
        <v>802</v>
      </c>
      <c r="AR61" s="2" t="s">
        <v>824</v>
      </c>
      <c r="AS61" s="2" t="s">
        <v>780</v>
      </c>
      <c r="AT61" s="2" t="s">
        <v>230</v>
      </c>
      <c r="AU61" s="2" t="s">
        <v>970</v>
      </c>
      <c r="AV61" s="2" t="s">
        <v>123</v>
      </c>
      <c r="AW61" s="2" t="s">
        <v>132</v>
      </c>
      <c r="CP61" s="2" t="s">
        <v>123</v>
      </c>
      <c r="CZ61" s="2" t="s">
        <v>123</v>
      </c>
      <c r="DJ61" s="2" t="s">
        <v>123</v>
      </c>
      <c r="EM61" s="2" t="s">
        <v>123</v>
      </c>
      <c r="FM61" s="2" t="s">
        <v>123</v>
      </c>
      <c r="FN61" s="2" t="s">
        <v>132</v>
      </c>
      <c r="FP61" s="2" t="s">
        <v>132</v>
      </c>
      <c r="GU61" s="2" t="s">
        <v>786</v>
      </c>
      <c r="GV61" s="2" t="s">
        <v>787</v>
      </c>
      <c r="GW61" s="2" t="s">
        <v>807</v>
      </c>
      <c r="GX61" s="2" t="s">
        <v>186</v>
      </c>
      <c r="GY61" s="2">
        <v>1968</v>
      </c>
      <c r="GZ61" s="2" t="s">
        <v>398</v>
      </c>
      <c r="HA61" s="2" t="s">
        <v>971</v>
      </c>
      <c r="HB61" s="2" t="s">
        <v>972</v>
      </c>
    </row>
    <row r="62" spans="1:211" x14ac:dyDescent="0.45">
      <c r="A62" s="2" t="s">
        <v>974</v>
      </c>
      <c r="B62" s="2">
        <v>60</v>
      </c>
      <c r="C62" s="2" t="s">
        <v>370</v>
      </c>
      <c r="D62" s="2" t="s">
        <v>118</v>
      </c>
      <c r="E62" s="2" t="s">
        <v>774</v>
      </c>
      <c r="G62" s="2"/>
      <c r="I62" s="2" t="s">
        <v>119</v>
      </c>
      <c r="J62" s="2" t="s">
        <v>973</v>
      </c>
      <c r="K62" s="2">
        <v>1963</v>
      </c>
      <c r="L62" s="2">
        <v>0</v>
      </c>
      <c r="M62" s="2" t="s">
        <v>122</v>
      </c>
      <c r="N62" s="2" t="s">
        <v>123</v>
      </c>
      <c r="P62" s="2"/>
      <c r="AD62" s="2" t="s">
        <v>124</v>
      </c>
      <c r="AE62" s="2" t="s">
        <v>975</v>
      </c>
      <c r="AF62" s="2">
        <v>1996</v>
      </c>
      <c r="AG62" s="2" t="s">
        <v>148</v>
      </c>
      <c r="AH62" s="2" t="s">
        <v>601</v>
      </c>
      <c r="AI62" s="2" t="s">
        <v>128</v>
      </c>
      <c r="AJ62" s="2" t="s">
        <v>151</v>
      </c>
      <c r="AK62" s="2" t="s">
        <v>169</v>
      </c>
      <c r="AL62" s="2" t="s">
        <v>129</v>
      </c>
      <c r="AM62" s="2" t="s">
        <v>129</v>
      </c>
      <c r="AN62" s="2" t="s">
        <v>976</v>
      </c>
      <c r="AO62" s="2" t="s">
        <v>131</v>
      </c>
      <c r="AP62" s="2" t="s">
        <v>131</v>
      </c>
      <c r="AQ62" s="2" t="s">
        <v>802</v>
      </c>
      <c r="AR62" s="2" t="s">
        <v>824</v>
      </c>
      <c r="AS62" s="2" t="s">
        <v>977</v>
      </c>
      <c r="AT62" s="2" t="s">
        <v>230</v>
      </c>
      <c r="AV62" s="2" t="s">
        <v>123</v>
      </c>
      <c r="AW62" s="2" t="s">
        <v>132</v>
      </c>
      <c r="CP62" s="2" t="s">
        <v>123</v>
      </c>
      <c r="CZ62" s="2" t="s">
        <v>123</v>
      </c>
      <c r="DJ62" s="2" t="s">
        <v>123</v>
      </c>
      <c r="EM62" s="2" t="s">
        <v>123</v>
      </c>
      <c r="EN62" s="2" t="s">
        <v>178</v>
      </c>
      <c r="EO62" s="2" t="s">
        <v>132</v>
      </c>
      <c r="FM62" s="2" t="s">
        <v>123</v>
      </c>
      <c r="FN62" s="2" t="s">
        <v>132</v>
      </c>
      <c r="FP62" s="2" t="s">
        <v>132</v>
      </c>
      <c r="GU62" s="2" t="s">
        <v>978</v>
      </c>
      <c r="GV62" s="2" t="s">
        <v>819</v>
      </c>
      <c r="GW62" s="2" t="s">
        <v>979</v>
      </c>
      <c r="GX62" s="2" t="s">
        <v>140</v>
      </c>
      <c r="GY62" s="2">
        <v>1962</v>
      </c>
      <c r="GZ62" s="2" t="s">
        <v>220</v>
      </c>
      <c r="HB62" s="2" t="s">
        <v>980</v>
      </c>
      <c r="HC62" s="2" t="s">
        <v>386</v>
      </c>
    </row>
    <row r="63" spans="1:211" x14ac:dyDescent="0.45">
      <c r="A63" s="2" t="s">
        <v>986</v>
      </c>
      <c r="B63" s="2">
        <v>61</v>
      </c>
      <c r="C63" s="2" t="s">
        <v>984</v>
      </c>
      <c r="D63" s="2" t="s">
        <v>118</v>
      </c>
      <c r="E63" s="2" t="s">
        <v>774</v>
      </c>
      <c r="G63" s="2"/>
      <c r="I63" s="2" t="s">
        <v>119</v>
      </c>
      <c r="J63" s="2" t="s">
        <v>985</v>
      </c>
      <c r="K63" s="2">
        <v>1348</v>
      </c>
      <c r="L63" s="2">
        <v>0</v>
      </c>
      <c r="M63" s="2" t="s">
        <v>122</v>
      </c>
      <c r="N63" s="2" t="s">
        <v>123</v>
      </c>
      <c r="P63" s="2"/>
      <c r="AD63" s="2" t="s">
        <v>124</v>
      </c>
      <c r="AE63" s="2" t="s">
        <v>987</v>
      </c>
      <c r="AF63" s="2">
        <v>2015</v>
      </c>
      <c r="AG63" s="2" t="s">
        <v>148</v>
      </c>
      <c r="AH63" s="2" t="s">
        <v>988</v>
      </c>
      <c r="AI63" s="2" t="s">
        <v>169</v>
      </c>
      <c r="AJ63" s="2" t="s">
        <v>150</v>
      </c>
      <c r="AK63" s="2" t="s">
        <v>151</v>
      </c>
      <c r="AL63" s="2" t="s">
        <v>151</v>
      </c>
      <c r="AM63" s="2" t="s">
        <v>151</v>
      </c>
      <c r="AN63" s="2" t="s">
        <v>883</v>
      </c>
      <c r="AO63" s="2" t="s">
        <v>131</v>
      </c>
      <c r="AP63" s="2" t="s">
        <v>302</v>
      </c>
      <c r="AR63" s="2" t="s">
        <v>989</v>
      </c>
      <c r="AS63" s="2" t="s">
        <v>990</v>
      </c>
      <c r="AT63" s="2" t="s">
        <v>157</v>
      </c>
      <c r="AV63" s="2" t="s">
        <v>123</v>
      </c>
      <c r="CP63" s="2" t="s">
        <v>123</v>
      </c>
      <c r="CZ63" s="2" t="s">
        <v>123</v>
      </c>
      <c r="DJ63" s="2" t="s">
        <v>123</v>
      </c>
      <c r="EM63" s="2" t="s">
        <v>123</v>
      </c>
      <c r="FM63" s="2" t="s">
        <v>123</v>
      </c>
      <c r="FN63" s="2" t="s">
        <v>132</v>
      </c>
      <c r="GU63" s="2" t="s">
        <v>786</v>
      </c>
      <c r="GV63" s="2" t="s">
        <v>991</v>
      </c>
      <c r="GW63" s="2" t="s">
        <v>820</v>
      </c>
      <c r="GX63" s="2" t="s">
        <v>140</v>
      </c>
      <c r="GY63" s="2">
        <v>1991</v>
      </c>
      <c r="GZ63" s="2" t="s">
        <v>220</v>
      </c>
    </row>
    <row r="64" spans="1:211" x14ac:dyDescent="0.45">
      <c r="A64" s="2" t="s">
        <v>994</v>
      </c>
      <c r="B64" s="2">
        <v>62</v>
      </c>
      <c r="C64" s="2" t="s">
        <v>984</v>
      </c>
      <c r="D64" s="2" t="s">
        <v>118</v>
      </c>
      <c r="E64" s="2" t="s">
        <v>992</v>
      </c>
      <c r="G64" s="2"/>
      <c r="I64" s="2" t="s">
        <v>119</v>
      </c>
      <c r="J64" s="2" t="s">
        <v>993</v>
      </c>
      <c r="K64" s="2">
        <v>1026</v>
      </c>
      <c r="L64" s="2">
        <v>0</v>
      </c>
      <c r="M64" s="2" t="s">
        <v>122</v>
      </c>
      <c r="N64" s="2" t="s">
        <v>123</v>
      </c>
      <c r="P64" s="2"/>
      <c r="AD64" s="2" t="s">
        <v>124</v>
      </c>
      <c r="AE64" s="2" t="s">
        <v>995</v>
      </c>
      <c r="AF64" s="2">
        <v>2010</v>
      </c>
      <c r="AG64" s="2" t="s">
        <v>148</v>
      </c>
      <c r="AH64" s="2" t="s">
        <v>429</v>
      </c>
      <c r="AI64" s="2" t="s">
        <v>169</v>
      </c>
      <c r="AJ64" s="2" t="s">
        <v>169</v>
      </c>
      <c r="AK64" s="2" t="s">
        <v>150</v>
      </c>
      <c r="AL64" s="2" t="s">
        <v>236</v>
      </c>
      <c r="AM64" s="2" t="s">
        <v>128</v>
      </c>
      <c r="AN64" s="2" t="s">
        <v>883</v>
      </c>
      <c r="AO64" s="2" t="s">
        <v>152</v>
      </c>
      <c r="AP64" s="2" t="s">
        <v>131</v>
      </c>
      <c r="AQ64" s="2" t="s">
        <v>996</v>
      </c>
      <c r="AR64" s="2" t="s">
        <v>794</v>
      </c>
      <c r="AS64" s="2" t="s">
        <v>780</v>
      </c>
      <c r="AT64" s="2" t="s">
        <v>230</v>
      </c>
      <c r="AV64" s="2" t="s">
        <v>123</v>
      </c>
      <c r="AW64" s="2" t="s">
        <v>132</v>
      </c>
      <c r="CP64" s="2" t="s">
        <v>123</v>
      </c>
      <c r="CZ64" s="2" t="s">
        <v>123</v>
      </c>
      <c r="DJ64" s="2" t="s">
        <v>123</v>
      </c>
      <c r="EM64" s="2" t="s">
        <v>123</v>
      </c>
      <c r="EN64" s="2" t="s">
        <v>180</v>
      </c>
      <c r="EO64" s="2" t="s">
        <v>132</v>
      </c>
      <c r="FM64" s="2" t="s">
        <v>123</v>
      </c>
      <c r="FN64" s="2" t="s">
        <v>132</v>
      </c>
      <c r="FP64" s="2" t="s">
        <v>132</v>
      </c>
      <c r="GU64" s="2" t="s">
        <v>786</v>
      </c>
      <c r="GV64" s="2" t="s">
        <v>819</v>
      </c>
      <c r="GW64" s="2" t="s">
        <v>820</v>
      </c>
      <c r="GX64" s="2" t="s">
        <v>186</v>
      </c>
      <c r="GY64" s="2">
        <v>1986</v>
      </c>
      <c r="GZ64" s="2" t="s">
        <v>483</v>
      </c>
      <c r="HB64" s="2" t="s">
        <v>386</v>
      </c>
      <c r="HC64" s="2" t="s">
        <v>386</v>
      </c>
    </row>
    <row r="65" spans="1:211" x14ac:dyDescent="0.45">
      <c r="A65" s="2" t="s">
        <v>1001</v>
      </c>
      <c r="B65" s="2">
        <v>63</v>
      </c>
      <c r="C65" s="2" t="s">
        <v>999</v>
      </c>
      <c r="D65" s="2" t="s">
        <v>118</v>
      </c>
      <c r="E65" s="2" t="s">
        <v>260</v>
      </c>
      <c r="G65" s="2"/>
      <c r="I65" s="2" t="s">
        <v>119</v>
      </c>
      <c r="J65" s="2" t="s">
        <v>1000</v>
      </c>
      <c r="K65" s="2">
        <v>18013</v>
      </c>
      <c r="L65" s="2">
        <v>0</v>
      </c>
      <c r="M65" s="2" t="s">
        <v>122</v>
      </c>
      <c r="N65" s="2" t="s">
        <v>123</v>
      </c>
      <c r="P65" s="2"/>
      <c r="AD65" s="2" t="s">
        <v>124</v>
      </c>
      <c r="AE65" s="2" t="s">
        <v>1002</v>
      </c>
      <c r="AF65" s="2">
        <v>1996</v>
      </c>
      <c r="AG65" s="2" t="s">
        <v>148</v>
      </c>
      <c r="AH65" s="2" t="s">
        <v>1003</v>
      </c>
      <c r="AI65" s="2" t="s">
        <v>150</v>
      </c>
      <c r="AJ65" s="2" t="s">
        <v>150</v>
      </c>
      <c r="AK65" s="2" t="s">
        <v>162</v>
      </c>
      <c r="AL65" s="2" t="s">
        <v>129</v>
      </c>
      <c r="AM65" s="2" t="s">
        <v>236</v>
      </c>
      <c r="AN65" s="2">
        <v>1</v>
      </c>
      <c r="AO65" s="2" t="s">
        <v>131</v>
      </c>
      <c r="AP65" s="2" t="s">
        <v>153</v>
      </c>
      <c r="AQ65" s="2" t="s">
        <v>1004</v>
      </c>
      <c r="AR65" s="2" t="s">
        <v>1005</v>
      </c>
      <c r="AS65" s="2" t="s">
        <v>532</v>
      </c>
      <c r="AT65" s="2" t="s">
        <v>157</v>
      </c>
      <c r="AU65" s="2" t="s">
        <v>1006</v>
      </c>
      <c r="AV65" s="2" t="s">
        <v>123</v>
      </c>
      <c r="AW65" s="2" t="s">
        <v>132</v>
      </c>
      <c r="CP65" s="2" t="s">
        <v>123</v>
      </c>
      <c r="CZ65" s="2" t="s">
        <v>123</v>
      </c>
      <c r="DJ65" s="2" t="s">
        <v>123</v>
      </c>
      <c r="EM65" s="2" t="s">
        <v>177</v>
      </c>
      <c r="EN65" s="2" t="s">
        <v>178</v>
      </c>
      <c r="EO65" s="2" t="s">
        <v>132</v>
      </c>
      <c r="EP65" s="2" t="s">
        <v>1002</v>
      </c>
      <c r="EQ65" s="2" t="s">
        <v>236</v>
      </c>
      <c r="ER65" s="2" t="s">
        <v>236</v>
      </c>
      <c r="ES65" s="2" t="s">
        <v>151</v>
      </c>
      <c r="ET65" s="2" t="s">
        <v>178</v>
      </c>
      <c r="EU65" s="2" t="s">
        <v>1007</v>
      </c>
      <c r="EV65" s="2" t="s">
        <v>1008</v>
      </c>
      <c r="EW65" s="2" t="s">
        <v>173</v>
      </c>
      <c r="FM65" s="2" t="s">
        <v>123</v>
      </c>
      <c r="FN65" s="2" t="s">
        <v>132</v>
      </c>
      <c r="FP65" s="2" t="s">
        <v>132</v>
      </c>
      <c r="GU65" s="2" t="s">
        <v>1009</v>
      </c>
      <c r="GV65" s="2" t="s">
        <v>1007</v>
      </c>
      <c r="GW65" s="2" t="s">
        <v>1009</v>
      </c>
      <c r="GX65" s="2" t="s">
        <v>186</v>
      </c>
      <c r="GY65" s="2">
        <v>1966</v>
      </c>
      <c r="GZ65" s="2" t="s">
        <v>141</v>
      </c>
    </row>
    <row r="66" spans="1:211" x14ac:dyDescent="0.45">
      <c r="A66" s="2" t="s">
        <v>1016</v>
      </c>
      <c r="B66" s="2">
        <v>64</v>
      </c>
      <c r="C66" s="2" t="s">
        <v>1014</v>
      </c>
      <c r="D66" s="2" t="s">
        <v>118</v>
      </c>
      <c r="G66" s="2"/>
      <c r="I66" s="2" t="s">
        <v>119</v>
      </c>
      <c r="J66" s="2" t="s">
        <v>1015</v>
      </c>
      <c r="K66" s="2">
        <v>1293</v>
      </c>
      <c r="L66" s="2">
        <v>0</v>
      </c>
      <c r="M66" s="2" t="s">
        <v>122</v>
      </c>
      <c r="N66" s="2" t="s">
        <v>123</v>
      </c>
      <c r="P66" s="2"/>
      <c r="AD66" s="2" t="s">
        <v>124</v>
      </c>
      <c r="AE66" s="2" t="s">
        <v>742</v>
      </c>
      <c r="AF66" s="2">
        <v>2003</v>
      </c>
      <c r="AG66" s="2" t="s">
        <v>148</v>
      </c>
      <c r="AH66" s="2" t="s">
        <v>1017</v>
      </c>
      <c r="AI66" s="2" t="s">
        <v>128</v>
      </c>
      <c r="AJ66" s="2" t="s">
        <v>128</v>
      </c>
      <c r="AK66" s="2" t="s">
        <v>128</v>
      </c>
      <c r="AL66" s="2" t="s">
        <v>236</v>
      </c>
      <c r="AM66" s="2" t="s">
        <v>132</v>
      </c>
      <c r="AN66" s="2" t="s">
        <v>1018</v>
      </c>
      <c r="AO66" s="2" t="s">
        <v>131</v>
      </c>
      <c r="AP66" s="2" t="s">
        <v>131</v>
      </c>
      <c r="AR66" s="2" t="s">
        <v>1019</v>
      </c>
      <c r="AS66" s="2" t="s">
        <v>1020</v>
      </c>
      <c r="AT66" s="2" t="s">
        <v>157</v>
      </c>
      <c r="AV66" s="2" t="s">
        <v>123</v>
      </c>
      <c r="AW66" s="2" t="s">
        <v>132</v>
      </c>
      <c r="CP66" s="2" t="s">
        <v>123</v>
      </c>
      <c r="CZ66" s="2" t="s">
        <v>123</v>
      </c>
      <c r="DJ66" s="2" t="s">
        <v>123</v>
      </c>
      <c r="EM66" s="2" t="s">
        <v>123</v>
      </c>
      <c r="EN66" s="2" t="s">
        <v>180</v>
      </c>
      <c r="EO66" s="2" t="s">
        <v>132</v>
      </c>
      <c r="FM66" s="2" t="s">
        <v>123</v>
      </c>
      <c r="FN66" s="2" t="s">
        <v>132</v>
      </c>
      <c r="FP66" s="2" t="s">
        <v>132</v>
      </c>
      <c r="GU66" s="2" t="s">
        <v>276</v>
      </c>
      <c r="GV66" s="2" t="s">
        <v>1021</v>
      </c>
      <c r="GW66" s="2" t="s">
        <v>1022</v>
      </c>
      <c r="GX66" s="2" t="s">
        <v>140</v>
      </c>
      <c r="GY66" s="2">
        <v>1980</v>
      </c>
      <c r="GZ66" s="2" t="s">
        <v>483</v>
      </c>
      <c r="HB66" s="2" t="s">
        <v>1023</v>
      </c>
    </row>
    <row r="67" spans="1:211" x14ac:dyDescent="0.45">
      <c r="A67" s="2" t="s">
        <v>1036</v>
      </c>
      <c r="B67" s="2">
        <v>65</v>
      </c>
      <c r="C67" s="2" t="s">
        <v>1033</v>
      </c>
      <c r="D67" s="2" t="s">
        <v>118</v>
      </c>
      <c r="E67" s="2" t="s">
        <v>1034</v>
      </c>
      <c r="G67" s="2"/>
      <c r="I67" s="2" t="s">
        <v>119</v>
      </c>
      <c r="J67" s="2" t="s">
        <v>1035</v>
      </c>
      <c r="K67" s="2">
        <v>1167</v>
      </c>
      <c r="L67" s="2">
        <v>0</v>
      </c>
      <c r="M67" s="2" t="s">
        <v>122</v>
      </c>
      <c r="N67" s="2" t="s">
        <v>123</v>
      </c>
      <c r="P67" s="2"/>
      <c r="AD67" s="2" t="s">
        <v>124</v>
      </c>
      <c r="AE67" s="2" t="s">
        <v>1037</v>
      </c>
      <c r="AF67" s="2" t="s">
        <v>1038</v>
      </c>
      <c r="AG67" s="2" t="s">
        <v>126</v>
      </c>
      <c r="AH67" s="2" t="s">
        <v>1039</v>
      </c>
      <c r="AI67" s="2" t="s">
        <v>128</v>
      </c>
      <c r="AJ67" s="2" t="s">
        <v>151</v>
      </c>
      <c r="AK67" s="2" t="s">
        <v>236</v>
      </c>
      <c r="AL67" s="2" t="s">
        <v>129</v>
      </c>
      <c r="AM67" s="2" t="s">
        <v>129</v>
      </c>
      <c r="AN67" s="2">
        <v>5</v>
      </c>
      <c r="AO67" s="2" t="s">
        <v>302</v>
      </c>
      <c r="AP67" s="2" t="s">
        <v>302</v>
      </c>
      <c r="AR67" s="2" t="s">
        <v>1040</v>
      </c>
      <c r="AS67" s="2" t="s">
        <v>1041</v>
      </c>
      <c r="AT67" s="2" t="s">
        <v>892</v>
      </c>
      <c r="AU67" s="2" t="s">
        <v>1042</v>
      </c>
      <c r="AV67" s="2" t="s">
        <v>123</v>
      </c>
      <c r="AW67" s="2" t="s">
        <v>132</v>
      </c>
      <c r="CP67" s="2" t="s">
        <v>123</v>
      </c>
      <c r="CZ67" s="2" t="s">
        <v>123</v>
      </c>
      <c r="DJ67" s="2" t="s">
        <v>123</v>
      </c>
      <c r="EM67" s="2" t="s">
        <v>123</v>
      </c>
      <c r="EN67" s="2" t="s">
        <v>180</v>
      </c>
      <c r="EO67" s="2" t="s">
        <v>132</v>
      </c>
      <c r="FM67" s="2" t="s">
        <v>123</v>
      </c>
      <c r="FN67" s="2" t="s">
        <v>132</v>
      </c>
      <c r="FP67" s="2" t="s">
        <v>132</v>
      </c>
      <c r="GU67" s="2" t="s">
        <v>1043</v>
      </c>
      <c r="GV67" s="2" t="s">
        <v>1044</v>
      </c>
      <c r="GW67" s="2" t="s">
        <v>1045</v>
      </c>
      <c r="GX67" s="2" t="s">
        <v>186</v>
      </c>
      <c r="GY67" s="2">
        <v>1982</v>
      </c>
      <c r="GZ67" s="2" t="s">
        <v>246</v>
      </c>
    </row>
    <row r="68" spans="1:211" x14ac:dyDescent="0.45">
      <c r="A68" s="2" t="s">
        <v>1048</v>
      </c>
      <c r="B68" s="2">
        <v>66</v>
      </c>
      <c r="C68" s="2" t="s">
        <v>1046</v>
      </c>
      <c r="D68" s="2" t="s">
        <v>118</v>
      </c>
      <c r="G68" s="2"/>
      <c r="I68" s="2" t="s">
        <v>119</v>
      </c>
      <c r="J68" s="2" t="s">
        <v>1047</v>
      </c>
      <c r="K68" s="2">
        <v>1978</v>
      </c>
      <c r="L68" s="2">
        <v>0</v>
      </c>
      <c r="M68" s="2" t="s">
        <v>122</v>
      </c>
      <c r="N68" s="2" t="s">
        <v>123</v>
      </c>
      <c r="P68" s="2"/>
      <c r="AD68" s="2" t="s">
        <v>124</v>
      </c>
      <c r="AE68" s="2" t="s">
        <v>1049</v>
      </c>
      <c r="AF68" s="2">
        <v>2009</v>
      </c>
      <c r="AG68" s="2" t="s">
        <v>148</v>
      </c>
      <c r="AH68" s="2" t="s">
        <v>1050</v>
      </c>
      <c r="AI68" s="2" t="s">
        <v>150</v>
      </c>
      <c r="AJ68" s="2" t="s">
        <v>162</v>
      </c>
      <c r="AK68" s="2" t="s">
        <v>169</v>
      </c>
      <c r="AL68" s="2" t="s">
        <v>162</v>
      </c>
      <c r="AM68" s="2" t="s">
        <v>150</v>
      </c>
      <c r="AN68" s="2" t="s">
        <v>1051</v>
      </c>
      <c r="AO68" s="2" t="s">
        <v>302</v>
      </c>
      <c r="AP68" s="2" t="s">
        <v>153</v>
      </c>
      <c r="AQ68" s="2" t="s">
        <v>1052</v>
      </c>
      <c r="AR68" s="2" t="s">
        <v>1053</v>
      </c>
      <c r="AS68" s="2" t="s">
        <v>1054</v>
      </c>
      <c r="AT68" s="2" t="s">
        <v>230</v>
      </c>
      <c r="AU68" s="2" t="s">
        <v>1050</v>
      </c>
      <c r="AV68" s="2" t="s">
        <v>123</v>
      </c>
      <c r="AW68" s="2" t="s">
        <v>132</v>
      </c>
      <c r="CP68" s="2" t="s">
        <v>123</v>
      </c>
      <c r="CZ68" s="2" t="s">
        <v>123</v>
      </c>
      <c r="DJ68" s="2" t="s">
        <v>123</v>
      </c>
      <c r="EM68" s="2" t="s">
        <v>123</v>
      </c>
      <c r="EN68" s="2" t="s">
        <v>180</v>
      </c>
      <c r="EO68" s="2" t="s">
        <v>132</v>
      </c>
      <c r="FM68" s="2" t="s">
        <v>123</v>
      </c>
      <c r="FN68" s="2" t="s">
        <v>132</v>
      </c>
      <c r="FP68" s="2" t="s">
        <v>132</v>
      </c>
      <c r="GU68" s="2" t="s">
        <v>1055</v>
      </c>
      <c r="GV68" s="2" t="s">
        <v>1056</v>
      </c>
      <c r="GW68" s="2" t="s">
        <v>1057</v>
      </c>
      <c r="GX68" s="2" t="s">
        <v>186</v>
      </c>
      <c r="GY68" s="2">
        <v>1978</v>
      </c>
      <c r="GZ68" s="2" t="s">
        <v>141</v>
      </c>
      <c r="HB68" s="2" t="s">
        <v>1058</v>
      </c>
    </row>
    <row r="69" spans="1:211" x14ac:dyDescent="0.45">
      <c r="A69" s="2" t="s">
        <v>1067</v>
      </c>
      <c r="B69" s="2">
        <v>67</v>
      </c>
      <c r="C69" s="2" t="s">
        <v>1065</v>
      </c>
      <c r="D69" s="2" t="s">
        <v>118</v>
      </c>
      <c r="G69" s="2"/>
      <c r="I69" s="2" t="s">
        <v>119</v>
      </c>
      <c r="J69" s="2" t="s">
        <v>1066</v>
      </c>
      <c r="K69" s="2">
        <v>2803</v>
      </c>
      <c r="L69" s="2">
        <v>0</v>
      </c>
      <c r="M69" s="2" t="s">
        <v>122</v>
      </c>
      <c r="N69" s="2" t="s">
        <v>123</v>
      </c>
      <c r="P69" s="2"/>
      <c r="AD69" s="2" t="s">
        <v>124</v>
      </c>
      <c r="AE69" s="2" t="s">
        <v>1068</v>
      </c>
      <c r="AF69" s="2">
        <v>2019</v>
      </c>
      <c r="AG69" s="2" t="s">
        <v>148</v>
      </c>
      <c r="AH69" s="2" t="s">
        <v>1069</v>
      </c>
      <c r="AI69" s="2" t="s">
        <v>128</v>
      </c>
      <c r="AJ69" s="2" t="s">
        <v>151</v>
      </c>
      <c r="AK69" s="2" t="s">
        <v>128</v>
      </c>
      <c r="AL69" s="2" t="s">
        <v>129</v>
      </c>
      <c r="AM69" s="2" t="s">
        <v>132</v>
      </c>
      <c r="AN69" s="2" t="s">
        <v>1070</v>
      </c>
      <c r="AO69" s="2" t="s">
        <v>153</v>
      </c>
      <c r="AP69" s="2" t="s">
        <v>132</v>
      </c>
      <c r="AR69" s="2" t="s">
        <v>1071</v>
      </c>
      <c r="AS69" s="2" t="s">
        <v>1072</v>
      </c>
      <c r="AT69" s="2" t="s">
        <v>892</v>
      </c>
      <c r="AV69" s="2" t="s">
        <v>123</v>
      </c>
      <c r="CP69" s="2" t="s">
        <v>123</v>
      </c>
      <c r="CZ69" s="2" t="s">
        <v>123</v>
      </c>
      <c r="DJ69" s="2" t="s">
        <v>123</v>
      </c>
      <c r="EM69" s="2" t="s">
        <v>123</v>
      </c>
      <c r="FM69" s="2" t="s">
        <v>123</v>
      </c>
      <c r="FN69" s="2" t="s">
        <v>132</v>
      </c>
      <c r="GU69" s="2" t="s">
        <v>1073</v>
      </c>
      <c r="GV69" s="2" t="s">
        <v>1074</v>
      </c>
      <c r="GW69" s="2" t="s">
        <v>1075</v>
      </c>
      <c r="GX69" s="2" t="s">
        <v>140</v>
      </c>
      <c r="GY69" s="2">
        <v>1991</v>
      </c>
      <c r="GZ69" s="2" t="s">
        <v>398</v>
      </c>
      <c r="HC69" s="2" t="s">
        <v>1076</v>
      </c>
    </row>
    <row r="70" spans="1:211" x14ac:dyDescent="0.45">
      <c r="A70" s="2" t="s">
        <v>1079</v>
      </c>
      <c r="B70" s="2">
        <v>68</v>
      </c>
      <c r="C70" s="2" t="s">
        <v>1077</v>
      </c>
      <c r="D70" s="2" t="s">
        <v>118</v>
      </c>
      <c r="G70" s="2"/>
      <c r="I70" s="2" t="s">
        <v>119</v>
      </c>
      <c r="J70" s="2" t="s">
        <v>1078</v>
      </c>
      <c r="K70" s="2">
        <v>862</v>
      </c>
      <c r="L70" s="2">
        <v>0</v>
      </c>
      <c r="M70" s="2" t="s">
        <v>122</v>
      </c>
      <c r="N70" s="2" t="s">
        <v>123</v>
      </c>
      <c r="P70" s="2"/>
      <c r="AD70" s="2" t="s">
        <v>124</v>
      </c>
      <c r="AE70" s="2" t="s">
        <v>223</v>
      </c>
      <c r="AF70" s="2">
        <v>2007</v>
      </c>
      <c r="AG70" s="2" t="s">
        <v>148</v>
      </c>
      <c r="AH70" s="2" t="s">
        <v>969</v>
      </c>
      <c r="AI70" s="2" t="s">
        <v>151</v>
      </c>
      <c r="AJ70" s="2" t="s">
        <v>151</v>
      </c>
      <c r="AK70" s="2" t="s">
        <v>150</v>
      </c>
      <c r="AL70" s="2" t="s">
        <v>162</v>
      </c>
      <c r="AM70" s="2" t="s">
        <v>150</v>
      </c>
      <c r="AN70" s="2" t="s">
        <v>237</v>
      </c>
      <c r="AO70" s="2" t="s">
        <v>131</v>
      </c>
      <c r="AP70" s="2" t="s">
        <v>302</v>
      </c>
      <c r="AR70" s="2" t="s">
        <v>1080</v>
      </c>
      <c r="AS70" s="2" t="s">
        <v>1081</v>
      </c>
      <c r="AT70" s="2" t="s">
        <v>230</v>
      </c>
      <c r="AV70" s="2" t="s">
        <v>123</v>
      </c>
      <c r="AW70" s="2" t="s">
        <v>132</v>
      </c>
      <c r="CP70" s="2" t="s">
        <v>123</v>
      </c>
      <c r="CZ70" s="2" t="s">
        <v>123</v>
      </c>
      <c r="DJ70" s="2" t="s">
        <v>123</v>
      </c>
      <c r="EM70" s="2" t="s">
        <v>123</v>
      </c>
      <c r="EN70" s="2" t="s">
        <v>178</v>
      </c>
      <c r="EO70" s="2" t="s">
        <v>132</v>
      </c>
      <c r="EP70" s="2" t="s">
        <v>1082</v>
      </c>
      <c r="EQ70" s="2" t="s">
        <v>151</v>
      </c>
      <c r="ER70" s="2" t="s">
        <v>151</v>
      </c>
      <c r="ES70" s="2" t="s">
        <v>151</v>
      </c>
      <c r="ET70" s="2" t="s">
        <v>178</v>
      </c>
      <c r="EV70" s="2" t="s">
        <v>1083</v>
      </c>
      <c r="EW70" s="2" t="s">
        <v>173</v>
      </c>
      <c r="FM70" s="2" t="s">
        <v>123</v>
      </c>
      <c r="FN70" s="2" t="s">
        <v>132</v>
      </c>
      <c r="FP70" s="2" t="s">
        <v>132</v>
      </c>
      <c r="GU70" s="2" t="s">
        <v>1084</v>
      </c>
      <c r="GV70" s="2" t="s">
        <v>1085</v>
      </c>
      <c r="GW70" s="2" t="s">
        <v>1086</v>
      </c>
      <c r="GX70" s="2" t="s">
        <v>140</v>
      </c>
      <c r="GY70" s="2">
        <v>1982</v>
      </c>
      <c r="GZ70" s="2" t="s">
        <v>141</v>
      </c>
    </row>
    <row r="71" spans="1:211" x14ac:dyDescent="0.45">
      <c r="A71" s="2" t="s">
        <v>1089</v>
      </c>
      <c r="B71" s="2">
        <v>69</v>
      </c>
      <c r="C71" s="2" t="s">
        <v>1087</v>
      </c>
      <c r="D71" s="2" t="s">
        <v>118</v>
      </c>
      <c r="G71" s="2"/>
      <c r="I71" s="2" t="s">
        <v>119</v>
      </c>
      <c r="J71" s="2" t="s">
        <v>1088</v>
      </c>
      <c r="K71" s="2">
        <v>1206</v>
      </c>
      <c r="L71" s="2">
        <v>0</v>
      </c>
      <c r="M71" s="2" t="s">
        <v>122</v>
      </c>
      <c r="N71" s="2" t="s">
        <v>123</v>
      </c>
      <c r="P71" s="2"/>
      <c r="AD71" s="2" t="s">
        <v>124</v>
      </c>
      <c r="AE71" s="2" t="s">
        <v>1090</v>
      </c>
      <c r="AF71" s="2">
        <v>2004</v>
      </c>
      <c r="AG71" s="2" t="s">
        <v>126</v>
      </c>
      <c r="AH71" s="2" t="s">
        <v>844</v>
      </c>
      <c r="AI71" s="2" t="s">
        <v>162</v>
      </c>
      <c r="AJ71" s="2" t="s">
        <v>162</v>
      </c>
      <c r="AK71" s="2" t="s">
        <v>150</v>
      </c>
      <c r="AL71" s="2" t="s">
        <v>151</v>
      </c>
      <c r="AM71" s="2" t="s">
        <v>150</v>
      </c>
      <c r="AN71" s="2" t="s">
        <v>237</v>
      </c>
      <c r="AO71" s="2" t="s">
        <v>302</v>
      </c>
      <c r="AP71" s="2" t="s">
        <v>226</v>
      </c>
      <c r="AQ71" s="2" t="s">
        <v>1091</v>
      </c>
      <c r="AR71" s="2" t="s">
        <v>1092</v>
      </c>
      <c r="AS71" s="2" t="s">
        <v>1093</v>
      </c>
      <c r="AT71" s="2" t="s">
        <v>157</v>
      </c>
      <c r="AV71" s="2" t="s">
        <v>123</v>
      </c>
      <c r="CP71" s="2" t="s">
        <v>123</v>
      </c>
      <c r="CZ71" s="2" t="s">
        <v>123</v>
      </c>
      <c r="DJ71" s="2" t="s">
        <v>123</v>
      </c>
      <c r="EM71" s="2" t="s">
        <v>123</v>
      </c>
      <c r="FM71" s="2" t="s">
        <v>123</v>
      </c>
      <c r="FN71" s="2" t="s">
        <v>132</v>
      </c>
      <c r="GU71" s="2" t="s">
        <v>1094</v>
      </c>
      <c r="GV71" s="2" t="s">
        <v>1095</v>
      </c>
      <c r="GW71" s="2" t="s">
        <v>1096</v>
      </c>
      <c r="GX71" s="2" t="s">
        <v>140</v>
      </c>
      <c r="GY71" s="2">
        <v>1976</v>
      </c>
      <c r="GZ71" s="2" t="s">
        <v>141</v>
      </c>
    </row>
    <row r="72" spans="1:211" x14ac:dyDescent="0.45">
      <c r="A72" s="2" t="s">
        <v>1100</v>
      </c>
      <c r="B72" s="2">
        <v>70</v>
      </c>
      <c r="C72" s="2" t="s">
        <v>1098</v>
      </c>
      <c r="D72" s="2" t="s">
        <v>118</v>
      </c>
      <c r="G72" s="2"/>
      <c r="I72" s="2" t="s">
        <v>119</v>
      </c>
      <c r="J72" s="2" t="s">
        <v>1099</v>
      </c>
      <c r="K72" s="2">
        <v>358</v>
      </c>
      <c r="L72" s="2">
        <v>0</v>
      </c>
      <c r="M72" s="2" t="s">
        <v>122</v>
      </c>
      <c r="N72" s="2" t="s">
        <v>123</v>
      </c>
      <c r="P72" s="2"/>
      <c r="AD72" s="2" t="s">
        <v>124</v>
      </c>
      <c r="AE72" s="2" t="s">
        <v>1090</v>
      </c>
      <c r="AF72" s="2">
        <v>2018</v>
      </c>
      <c r="AG72" s="2" t="s">
        <v>126</v>
      </c>
      <c r="AH72" s="2" t="s">
        <v>844</v>
      </c>
      <c r="AI72" s="2" t="s">
        <v>150</v>
      </c>
      <c r="AJ72" s="2" t="s">
        <v>151</v>
      </c>
      <c r="AK72" s="2" t="s">
        <v>162</v>
      </c>
      <c r="AL72" s="2" t="s">
        <v>150</v>
      </c>
      <c r="AM72" s="2" t="s">
        <v>132</v>
      </c>
      <c r="AN72" s="2">
        <v>1</v>
      </c>
      <c r="AO72" s="2" t="s">
        <v>153</v>
      </c>
      <c r="AP72" s="2" t="s">
        <v>132</v>
      </c>
      <c r="AR72" s="2" t="s">
        <v>1101</v>
      </c>
      <c r="AS72" s="2" t="s">
        <v>1102</v>
      </c>
      <c r="AT72" s="2" t="s">
        <v>157</v>
      </c>
      <c r="AV72" s="2" t="s">
        <v>123</v>
      </c>
      <c r="AW72" s="2" t="s">
        <v>132</v>
      </c>
      <c r="CP72" s="2" t="s">
        <v>123</v>
      </c>
      <c r="CZ72" s="2" t="s">
        <v>123</v>
      </c>
      <c r="DJ72" s="2" t="s">
        <v>123</v>
      </c>
      <c r="EM72" s="2" t="s">
        <v>123</v>
      </c>
      <c r="FM72" s="2" t="s">
        <v>123</v>
      </c>
      <c r="GU72" s="2" t="s">
        <v>1103</v>
      </c>
      <c r="GV72" s="2" t="s">
        <v>1104</v>
      </c>
      <c r="GW72" s="2" t="s">
        <v>1105</v>
      </c>
      <c r="GX72" s="2" t="s">
        <v>140</v>
      </c>
      <c r="GY72" s="2">
        <v>1991</v>
      </c>
      <c r="GZ72" s="2" t="s">
        <v>141</v>
      </c>
    </row>
    <row r="73" spans="1:211" x14ac:dyDescent="0.45">
      <c r="A73" s="2" t="s">
        <v>1133</v>
      </c>
      <c r="B73" s="2">
        <v>71</v>
      </c>
      <c r="C73" s="2" t="s">
        <v>1131</v>
      </c>
      <c r="D73" s="2" t="s">
        <v>118</v>
      </c>
      <c r="G73" s="2"/>
      <c r="I73" s="2" t="s">
        <v>119</v>
      </c>
      <c r="J73" s="2" t="s">
        <v>1132</v>
      </c>
      <c r="K73" s="2">
        <v>3215</v>
      </c>
      <c r="L73" s="2">
        <v>0</v>
      </c>
      <c r="M73" s="2" t="s">
        <v>122</v>
      </c>
      <c r="N73" s="2" t="s">
        <v>123</v>
      </c>
      <c r="P73" s="2"/>
      <c r="AD73" s="2" t="s">
        <v>124</v>
      </c>
      <c r="AE73" s="2" t="s">
        <v>191</v>
      </c>
      <c r="AF73" s="2">
        <v>2015</v>
      </c>
      <c r="AG73" s="2" t="s">
        <v>126</v>
      </c>
      <c r="AH73" s="2" t="s">
        <v>1134</v>
      </c>
      <c r="AI73" s="2" t="s">
        <v>128</v>
      </c>
      <c r="AJ73" s="2" t="s">
        <v>151</v>
      </c>
      <c r="AK73" s="2" t="s">
        <v>169</v>
      </c>
      <c r="AL73" s="2" t="s">
        <v>162</v>
      </c>
      <c r="AM73" s="2" t="s">
        <v>150</v>
      </c>
      <c r="AN73" s="2">
        <v>1</v>
      </c>
      <c r="AO73" s="2" t="s">
        <v>302</v>
      </c>
      <c r="AP73" s="2" t="s">
        <v>226</v>
      </c>
      <c r="AQ73" s="2" t="s">
        <v>1135</v>
      </c>
      <c r="AR73" s="2" t="s">
        <v>1136</v>
      </c>
      <c r="AS73" s="2" t="s">
        <v>1137</v>
      </c>
      <c r="AT73" s="2" t="s">
        <v>172</v>
      </c>
      <c r="AV73" s="2" t="s">
        <v>123</v>
      </c>
      <c r="AW73" s="2" t="s">
        <v>132</v>
      </c>
      <c r="CP73" s="2" t="s">
        <v>123</v>
      </c>
      <c r="CZ73" s="2" t="s">
        <v>123</v>
      </c>
      <c r="DJ73" s="2" t="s">
        <v>123</v>
      </c>
      <c r="EM73" s="2" t="s">
        <v>123</v>
      </c>
      <c r="FM73" s="2" t="s">
        <v>123</v>
      </c>
      <c r="GU73" s="2" t="s">
        <v>1138</v>
      </c>
      <c r="GV73" s="2" t="s">
        <v>1139</v>
      </c>
      <c r="GW73" s="2" t="s">
        <v>1140</v>
      </c>
      <c r="GX73" s="2" t="s">
        <v>186</v>
      </c>
      <c r="GY73" s="2">
        <v>1991</v>
      </c>
      <c r="GZ73" s="2" t="s">
        <v>141</v>
      </c>
      <c r="HB73" s="2" t="s">
        <v>1141</v>
      </c>
    </row>
    <row r="74" spans="1:211" x14ac:dyDescent="0.45">
      <c r="A74" s="2" t="s">
        <v>1144</v>
      </c>
      <c r="B74" s="2">
        <v>72</v>
      </c>
      <c r="C74" s="2" t="s">
        <v>1142</v>
      </c>
      <c r="D74" s="2" t="s">
        <v>118</v>
      </c>
      <c r="G74" s="2"/>
      <c r="I74" s="2" t="s">
        <v>119</v>
      </c>
      <c r="J74" s="2" t="s">
        <v>1143</v>
      </c>
      <c r="K74" s="2">
        <v>258</v>
      </c>
      <c r="L74" s="2">
        <v>0</v>
      </c>
      <c r="M74" s="2" t="s">
        <v>122</v>
      </c>
      <c r="N74" s="2" t="s">
        <v>123</v>
      </c>
      <c r="P74" s="2"/>
      <c r="AD74" s="2" t="s">
        <v>124</v>
      </c>
      <c r="AE74" s="2" t="s">
        <v>1145</v>
      </c>
      <c r="AF74" s="2">
        <v>2016</v>
      </c>
      <c r="AG74" s="2" t="s">
        <v>126</v>
      </c>
      <c r="AH74" s="2" t="s">
        <v>1146</v>
      </c>
      <c r="AI74" s="2" t="s">
        <v>150</v>
      </c>
      <c r="AJ74" s="2" t="s">
        <v>150</v>
      </c>
      <c r="AK74" s="2" t="s">
        <v>169</v>
      </c>
      <c r="AL74" s="2" t="s">
        <v>169</v>
      </c>
      <c r="AM74" s="2" t="s">
        <v>169</v>
      </c>
      <c r="AN74" s="2">
        <v>3</v>
      </c>
      <c r="AO74" s="2" t="s">
        <v>302</v>
      </c>
      <c r="AP74" s="2" t="s">
        <v>943</v>
      </c>
      <c r="AR74" s="2" t="s">
        <v>1147</v>
      </c>
      <c r="AS74" s="2" t="s">
        <v>1148</v>
      </c>
      <c r="AT74" s="2" t="s">
        <v>892</v>
      </c>
      <c r="AV74" s="2" t="s">
        <v>123</v>
      </c>
      <c r="AW74" s="2" t="s">
        <v>132</v>
      </c>
      <c r="CP74" s="2" t="s">
        <v>123</v>
      </c>
      <c r="CZ74" s="2" t="s">
        <v>123</v>
      </c>
      <c r="DJ74" s="2" t="s">
        <v>123</v>
      </c>
      <c r="EM74" s="2" t="s">
        <v>123</v>
      </c>
      <c r="EN74" s="2" t="s">
        <v>178</v>
      </c>
      <c r="EO74" s="2">
        <v>1</v>
      </c>
      <c r="FM74" s="2" t="s">
        <v>123</v>
      </c>
      <c r="GU74" s="2" t="s">
        <v>1149</v>
      </c>
      <c r="GV74" s="2" t="s">
        <v>1149</v>
      </c>
      <c r="GW74" s="2" t="s">
        <v>1150</v>
      </c>
      <c r="GX74" s="2" t="s">
        <v>186</v>
      </c>
      <c r="GY74" s="2">
        <v>1986</v>
      </c>
      <c r="GZ74" s="2" t="s">
        <v>398</v>
      </c>
    </row>
    <row r="75" spans="1:211" x14ac:dyDescent="0.45">
      <c r="A75" s="2" t="s">
        <v>1154</v>
      </c>
      <c r="B75" s="2">
        <v>73</v>
      </c>
      <c r="C75" s="2" t="s">
        <v>1151</v>
      </c>
      <c r="D75" s="2" t="s">
        <v>118</v>
      </c>
      <c r="E75" s="2" t="s">
        <v>1152</v>
      </c>
      <c r="G75" s="2"/>
      <c r="I75" s="2" t="s">
        <v>119</v>
      </c>
      <c r="J75" s="2" t="s">
        <v>1153</v>
      </c>
      <c r="K75" s="2">
        <v>1159</v>
      </c>
      <c r="L75" s="2">
        <v>0</v>
      </c>
      <c r="M75" s="2" t="s">
        <v>122</v>
      </c>
      <c r="N75" s="2" t="s">
        <v>123</v>
      </c>
      <c r="P75" s="2"/>
      <c r="AD75" s="2" t="s">
        <v>124</v>
      </c>
      <c r="AE75" s="2" t="s">
        <v>191</v>
      </c>
      <c r="AF75" s="2">
        <v>2018</v>
      </c>
      <c r="AG75" s="2" t="s">
        <v>126</v>
      </c>
      <c r="AH75" s="2" t="s">
        <v>969</v>
      </c>
      <c r="AI75" s="2" t="s">
        <v>150</v>
      </c>
      <c r="AJ75" s="2" t="s">
        <v>150</v>
      </c>
      <c r="AK75" s="2" t="s">
        <v>162</v>
      </c>
      <c r="AL75" s="2" t="s">
        <v>128</v>
      </c>
      <c r="AM75" s="2" t="s">
        <v>151</v>
      </c>
      <c r="AN75" s="2" t="s">
        <v>530</v>
      </c>
      <c r="AO75" s="2" t="s">
        <v>131</v>
      </c>
      <c r="AP75" s="2" t="s">
        <v>302</v>
      </c>
      <c r="AQ75" s="2" t="s">
        <v>1155</v>
      </c>
      <c r="AR75" s="2" t="s">
        <v>1156</v>
      </c>
      <c r="AS75" s="2" t="s">
        <v>1157</v>
      </c>
      <c r="AT75" s="2" t="s">
        <v>230</v>
      </c>
      <c r="AU75" s="2" t="s">
        <v>1158</v>
      </c>
      <c r="AV75" s="2" t="s">
        <v>123</v>
      </c>
      <c r="CP75" s="2" t="s">
        <v>123</v>
      </c>
      <c r="CZ75" s="2" t="s">
        <v>123</v>
      </c>
      <c r="DJ75" s="2" t="s">
        <v>123</v>
      </c>
      <c r="EM75" s="2" t="s">
        <v>123</v>
      </c>
      <c r="FM75" s="2" t="s">
        <v>123</v>
      </c>
      <c r="GU75" s="2" t="s">
        <v>1159</v>
      </c>
      <c r="GV75" s="2" t="s">
        <v>1160</v>
      </c>
      <c r="GW75" s="2" t="s">
        <v>1161</v>
      </c>
      <c r="GX75" s="2" t="s">
        <v>140</v>
      </c>
      <c r="GY75" s="2">
        <v>1991</v>
      </c>
      <c r="GZ75" s="2" t="s">
        <v>483</v>
      </c>
      <c r="HB75" s="2" t="s">
        <v>1162</v>
      </c>
      <c r="HC75" s="2" t="s">
        <v>142</v>
      </c>
    </row>
    <row r="76" spans="1:211" x14ac:dyDescent="0.45">
      <c r="A76" s="2" t="s">
        <v>1165</v>
      </c>
      <c r="B76" s="2">
        <v>74</v>
      </c>
      <c r="C76" s="2" t="s">
        <v>1163</v>
      </c>
      <c r="D76" s="2" t="s">
        <v>118</v>
      </c>
      <c r="G76" s="2"/>
      <c r="I76" s="2" t="s">
        <v>119</v>
      </c>
      <c r="J76" s="2" t="s">
        <v>1164</v>
      </c>
      <c r="K76" s="2">
        <v>982</v>
      </c>
      <c r="L76" s="2">
        <v>0</v>
      </c>
      <c r="M76" s="2" t="s">
        <v>122</v>
      </c>
      <c r="N76" s="2" t="s">
        <v>123</v>
      </c>
      <c r="P76" s="2"/>
      <c r="AD76" s="2" t="s">
        <v>124</v>
      </c>
      <c r="AE76" s="2" t="s">
        <v>191</v>
      </c>
      <c r="AF76" s="2" t="s">
        <v>1166</v>
      </c>
      <c r="AG76" s="2" t="s">
        <v>148</v>
      </c>
      <c r="AH76" s="2" t="s">
        <v>1167</v>
      </c>
      <c r="AI76" s="2" t="s">
        <v>169</v>
      </c>
      <c r="AJ76" s="2" t="s">
        <v>169</v>
      </c>
      <c r="AK76" s="2" t="s">
        <v>169</v>
      </c>
      <c r="AL76" s="2" t="s">
        <v>150</v>
      </c>
      <c r="AM76" s="2" t="s">
        <v>150</v>
      </c>
      <c r="AN76" s="2" t="s">
        <v>1168</v>
      </c>
      <c r="AO76" s="2" t="s">
        <v>132</v>
      </c>
      <c r="AP76" s="2" t="s">
        <v>132</v>
      </c>
      <c r="AQ76" s="2" t="s">
        <v>1169</v>
      </c>
      <c r="AR76" s="2" t="s">
        <v>1170</v>
      </c>
      <c r="AS76" s="2" t="s">
        <v>132</v>
      </c>
      <c r="AU76" s="2" t="s">
        <v>1171</v>
      </c>
      <c r="AV76" s="2" t="s">
        <v>159</v>
      </c>
      <c r="AW76" s="2">
        <v>1</v>
      </c>
      <c r="AX76" s="2" t="s">
        <v>1172</v>
      </c>
      <c r="AY76" s="2">
        <v>2020</v>
      </c>
      <c r="AZ76" s="2" t="s">
        <v>148</v>
      </c>
      <c r="BA76" s="2" t="s">
        <v>927</v>
      </c>
      <c r="BB76" s="2" t="s">
        <v>132</v>
      </c>
      <c r="BC76" s="2" t="s">
        <v>132</v>
      </c>
      <c r="BD76" s="2" t="s">
        <v>132</v>
      </c>
      <c r="BE76" s="2" t="s">
        <v>132</v>
      </c>
      <c r="BF76" s="2" t="s">
        <v>132</v>
      </c>
      <c r="BG76" s="2" t="s">
        <v>1173</v>
      </c>
      <c r="BH76" s="2" t="s">
        <v>1174</v>
      </c>
      <c r="BI76" s="2" t="s">
        <v>230</v>
      </c>
      <c r="BK76" s="2" t="s">
        <v>1175</v>
      </c>
      <c r="BL76" s="2" t="s">
        <v>173</v>
      </c>
      <c r="CP76" s="2" t="s">
        <v>123</v>
      </c>
      <c r="CZ76" s="2" t="s">
        <v>214</v>
      </c>
      <c r="DA76" s="2" t="s">
        <v>747</v>
      </c>
      <c r="DB76" s="2" t="s">
        <v>1176</v>
      </c>
      <c r="DC76" s="2" t="s">
        <v>169</v>
      </c>
      <c r="DD76" s="2" t="s">
        <v>162</v>
      </c>
      <c r="DE76" s="2" t="s">
        <v>150</v>
      </c>
      <c r="DF76" s="2" t="s">
        <v>169</v>
      </c>
      <c r="DG76" s="2" t="s">
        <v>150</v>
      </c>
      <c r="DH76" s="2" t="s">
        <v>150</v>
      </c>
      <c r="DI76" s="2" t="s">
        <v>1177</v>
      </c>
      <c r="DJ76" s="2" t="s">
        <v>174</v>
      </c>
      <c r="DM76" s="2" t="s">
        <v>1178</v>
      </c>
      <c r="DO76" s="2" t="s">
        <v>747</v>
      </c>
      <c r="DP76" s="2" t="s">
        <v>150</v>
      </c>
      <c r="DQ76" s="2" t="s">
        <v>150</v>
      </c>
      <c r="DR76" s="2" t="s">
        <v>150</v>
      </c>
      <c r="DS76" s="2" t="s">
        <v>150</v>
      </c>
      <c r="DT76" s="2" t="s">
        <v>162</v>
      </c>
      <c r="DU76" s="2" t="s">
        <v>162</v>
      </c>
      <c r="DV76" s="2" t="s">
        <v>162</v>
      </c>
      <c r="DW76" s="2">
        <v>25</v>
      </c>
      <c r="DX76" s="2">
        <v>10</v>
      </c>
      <c r="DY76" s="2">
        <v>0</v>
      </c>
      <c r="DZ76" s="2">
        <v>10</v>
      </c>
      <c r="EA76" s="2">
        <v>25</v>
      </c>
      <c r="EB76" s="2">
        <v>15</v>
      </c>
      <c r="EC76" s="2">
        <v>15</v>
      </c>
      <c r="EE76" s="2">
        <v>10</v>
      </c>
      <c r="EF76" s="2">
        <v>10</v>
      </c>
      <c r="EG76" s="2">
        <v>0</v>
      </c>
      <c r="EH76" s="2">
        <v>10</v>
      </c>
      <c r="EI76" s="2">
        <v>50</v>
      </c>
      <c r="EJ76" s="2">
        <v>10</v>
      </c>
      <c r="EK76" s="2">
        <v>10</v>
      </c>
      <c r="EM76" s="2" t="s">
        <v>123</v>
      </c>
      <c r="FM76" s="2" t="s">
        <v>123</v>
      </c>
      <c r="GU76" s="2" t="s">
        <v>1179</v>
      </c>
      <c r="GV76" s="2" t="s">
        <v>1180</v>
      </c>
      <c r="GW76" s="2" t="s">
        <v>1181</v>
      </c>
      <c r="GX76" s="2" t="s">
        <v>186</v>
      </c>
      <c r="GY76" s="2" t="s">
        <v>1182</v>
      </c>
      <c r="GZ76" s="2" t="s">
        <v>141</v>
      </c>
      <c r="HB76" s="2" t="s">
        <v>1183</v>
      </c>
    </row>
    <row r="77" spans="1:211" x14ac:dyDescent="0.45">
      <c r="A77" s="2" t="s">
        <v>1185</v>
      </c>
      <c r="B77" s="2">
        <v>75</v>
      </c>
      <c r="C77" s="2" t="s">
        <v>1151</v>
      </c>
      <c r="D77" s="2" t="s">
        <v>118</v>
      </c>
      <c r="E77" s="2" t="s">
        <v>359</v>
      </c>
      <c r="G77" s="2"/>
      <c r="I77" s="2" t="s">
        <v>119</v>
      </c>
      <c r="J77" s="2" t="s">
        <v>1184</v>
      </c>
      <c r="K77" s="2">
        <v>739</v>
      </c>
      <c r="L77" s="2">
        <v>0</v>
      </c>
      <c r="M77" s="2" t="s">
        <v>122</v>
      </c>
      <c r="N77" s="2" t="s">
        <v>123</v>
      </c>
      <c r="P77" s="2"/>
      <c r="AD77" s="2" t="s">
        <v>124</v>
      </c>
      <c r="AE77" s="2" t="s">
        <v>191</v>
      </c>
      <c r="AF77" s="2">
        <v>2018</v>
      </c>
      <c r="AG77" s="2" t="s">
        <v>126</v>
      </c>
      <c r="AH77" s="2" t="s">
        <v>1186</v>
      </c>
      <c r="AI77" s="2" t="s">
        <v>151</v>
      </c>
      <c r="AJ77" s="2" t="s">
        <v>162</v>
      </c>
      <c r="AK77" s="2" t="s">
        <v>169</v>
      </c>
      <c r="AL77" s="2" t="s">
        <v>150</v>
      </c>
      <c r="AM77" s="2" t="s">
        <v>132</v>
      </c>
      <c r="AN77" s="2" t="s">
        <v>959</v>
      </c>
      <c r="AO77" s="2" t="s">
        <v>302</v>
      </c>
      <c r="AP77" s="2" t="s">
        <v>226</v>
      </c>
      <c r="AQ77" s="2" t="s">
        <v>1187</v>
      </c>
      <c r="AR77" s="2" t="s">
        <v>1188</v>
      </c>
      <c r="AS77" s="2" t="s">
        <v>1189</v>
      </c>
      <c r="AT77" s="2" t="s">
        <v>172</v>
      </c>
      <c r="AV77" s="2" t="s">
        <v>123</v>
      </c>
      <c r="AW77" s="2" t="s">
        <v>132</v>
      </c>
      <c r="CP77" s="2" t="s">
        <v>123</v>
      </c>
      <c r="CZ77" s="2" t="s">
        <v>123</v>
      </c>
      <c r="DJ77" s="2" t="s">
        <v>123</v>
      </c>
      <c r="EM77" s="2" t="s">
        <v>123</v>
      </c>
      <c r="FM77" s="2" t="s">
        <v>123</v>
      </c>
      <c r="GU77" s="2" t="s">
        <v>276</v>
      </c>
      <c r="GV77" s="2" t="s">
        <v>1190</v>
      </c>
      <c r="GW77" s="2" t="s">
        <v>1191</v>
      </c>
      <c r="GX77" s="2" t="s">
        <v>186</v>
      </c>
      <c r="GY77" s="2">
        <v>1991</v>
      </c>
      <c r="GZ77" s="2" t="s">
        <v>141</v>
      </c>
    </row>
    <row r="78" spans="1:211" x14ac:dyDescent="0.45">
      <c r="A78" s="2" t="s">
        <v>1194</v>
      </c>
      <c r="B78" s="2">
        <v>76</v>
      </c>
      <c r="C78" s="2" t="s">
        <v>1192</v>
      </c>
      <c r="D78" s="2" t="s">
        <v>118</v>
      </c>
      <c r="G78" s="2"/>
      <c r="I78" s="2" t="s">
        <v>119</v>
      </c>
      <c r="J78" s="2" t="s">
        <v>1193</v>
      </c>
      <c r="K78" s="2">
        <v>1676</v>
      </c>
      <c r="L78" s="2">
        <v>0</v>
      </c>
      <c r="M78" s="2" t="s">
        <v>122</v>
      </c>
      <c r="N78" s="2" t="s">
        <v>123</v>
      </c>
      <c r="P78" s="2"/>
      <c r="AD78" s="2" t="s">
        <v>124</v>
      </c>
      <c r="AE78" s="2" t="s">
        <v>223</v>
      </c>
      <c r="AF78" s="2">
        <v>1998</v>
      </c>
      <c r="AG78" s="2" t="s">
        <v>148</v>
      </c>
      <c r="AH78" s="2" t="s">
        <v>1195</v>
      </c>
      <c r="AI78" s="2" t="s">
        <v>162</v>
      </c>
      <c r="AJ78" s="2" t="s">
        <v>151</v>
      </c>
      <c r="AK78" s="2" t="s">
        <v>151</v>
      </c>
      <c r="AL78" s="2" t="s">
        <v>236</v>
      </c>
      <c r="AM78" s="2" t="s">
        <v>151</v>
      </c>
      <c r="AN78" s="2">
        <v>0</v>
      </c>
      <c r="AO78" s="2" t="s">
        <v>131</v>
      </c>
      <c r="AP78" s="2" t="s">
        <v>302</v>
      </c>
      <c r="AQ78" s="2" t="s">
        <v>1196</v>
      </c>
      <c r="AR78" s="2" t="s">
        <v>1196</v>
      </c>
      <c r="AS78" s="2" t="s">
        <v>1197</v>
      </c>
      <c r="AT78" s="2" t="s">
        <v>157</v>
      </c>
      <c r="AV78" s="2" t="s">
        <v>123</v>
      </c>
      <c r="CP78" s="2" t="s">
        <v>123</v>
      </c>
      <c r="CZ78" s="2" t="s">
        <v>123</v>
      </c>
      <c r="DJ78" s="2" t="s">
        <v>123</v>
      </c>
      <c r="EM78" s="2" t="s">
        <v>177</v>
      </c>
      <c r="EN78" s="2" t="s">
        <v>180</v>
      </c>
      <c r="EO78" s="2" t="s">
        <v>132</v>
      </c>
      <c r="EP78" s="2" t="s">
        <v>132</v>
      </c>
      <c r="EQ78" s="2" t="s">
        <v>151</v>
      </c>
      <c r="ER78" s="2" t="s">
        <v>151</v>
      </c>
      <c r="ES78" s="2" t="s">
        <v>151</v>
      </c>
      <c r="ET78" s="2" t="s">
        <v>178</v>
      </c>
      <c r="EU78" s="2" t="s">
        <v>132</v>
      </c>
      <c r="EV78" s="2" t="s">
        <v>132</v>
      </c>
      <c r="EW78" s="2" t="s">
        <v>173</v>
      </c>
      <c r="FM78" s="2" t="s">
        <v>123</v>
      </c>
      <c r="GU78" s="2" t="s">
        <v>1198</v>
      </c>
      <c r="GV78" s="2" t="s">
        <v>1199</v>
      </c>
      <c r="GW78" s="2" t="s">
        <v>1198</v>
      </c>
      <c r="GX78" s="2" t="s">
        <v>186</v>
      </c>
      <c r="GY78" s="2">
        <v>1974</v>
      </c>
      <c r="GZ78" s="2" t="s">
        <v>141</v>
      </c>
      <c r="HA78" s="2" t="s">
        <v>313</v>
      </c>
    </row>
    <row r="79" spans="1:211" x14ac:dyDescent="0.45">
      <c r="A79" s="2" t="s">
        <v>1202</v>
      </c>
      <c r="B79" s="2">
        <v>77</v>
      </c>
      <c r="C79" s="2" t="s">
        <v>1200</v>
      </c>
      <c r="D79" s="2" t="s">
        <v>118</v>
      </c>
      <c r="G79" s="2"/>
      <c r="I79" s="2" t="s">
        <v>119</v>
      </c>
      <c r="J79" s="2" t="s">
        <v>1201</v>
      </c>
      <c r="K79" s="2">
        <v>658</v>
      </c>
      <c r="L79" s="2">
        <v>0</v>
      </c>
      <c r="M79" s="2" t="s">
        <v>122</v>
      </c>
      <c r="N79" s="2" t="s">
        <v>123</v>
      </c>
      <c r="P79" s="2"/>
      <c r="AD79" s="2" t="s">
        <v>123</v>
      </c>
      <c r="AV79" s="2" t="s">
        <v>123</v>
      </c>
      <c r="AW79" s="2" t="s">
        <v>132</v>
      </c>
      <c r="CP79" s="2" t="s">
        <v>123</v>
      </c>
      <c r="CZ79" s="2" t="s">
        <v>214</v>
      </c>
      <c r="DA79" s="2" t="s">
        <v>191</v>
      </c>
      <c r="DB79" s="2" t="s">
        <v>308</v>
      </c>
      <c r="DC79" s="2" t="s">
        <v>162</v>
      </c>
      <c r="DD79" s="2" t="s">
        <v>162</v>
      </c>
      <c r="DE79" s="2" t="s">
        <v>150</v>
      </c>
      <c r="DF79" s="2" t="s">
        <v>150</v>
      </c>
      <c r="DG79" s="2" t="s">
        <v>150</v>
      </c>
      <c r="DH79" s="2" t="s">
        <v>169</v>
      </c>
      <c r="DI79" s="2" t="s">
        <v>1203</v>
      </c>
      <c r="DJ79" s="2" t="s">
        <v>123</v>
      </c>
      <c r="EM79" s="2" t="s">
        <v>177</v>
      </c>
      <c r="EN79" s="2" t="s">
        <v>178</v>
      </c>
      <c r="EO79" s="2">
        <v>2</v>
      </c>
      <c r="EP79" s="2" t="s">
        <v>191</v>
      </c>
      <c r="EQ79" s="2" t="s">
        <v>169</v>
      </c>
      <c r="ER79" s="2" t="s">
        <v>169</v>
      </c>
      <c r="ES79" s="2" t="s">
        <v>169</v>
      </c>
      <c r="ET79" s="2" t="s">
        <v>178</v>
      </c>
      <c r="EU79" s="2" t="s">
        <v>1204</v>
      </c>
      <c r="EV79" s="2" t="s">
        <v>1205</v>
      </c>
      <c r="EW79" s="2" t="s">
        <v>1206</v>
      </c>
      <c r="EX79" s="2" t="s">
        <v>223</v>
      </c>
      <c r="EY79" s="2" t="s">
        <v>128</v>
      </c>
      <c r="EZ79" s="2" t="s">
        <v>236</v>
      </c>
      <c r="FA79" s="2" t="s">
        <v>129</v>
      </c>
      <c r="FB79" s="2" t="s">
        <v>178</v>
      </c>
      <c r="FC79" s="2" t="s">
        <v>960</v>
      </c>
      <c r="FD79" s="2" t="s">
        <v>1207</v>
      </c>
      <c r="FE79" s="2" t="s">
        <v>173</v>
      </c>
      <c r="FM79" s="2" t="s">
        <v>123</v>
      </c>
      <c r="GU79" s="2" t="s">
        <v>1208</v>
      </c>
      <c r="GV79" s="2" t="s">
        <v>1209</v>
      </c>
      <c r="GW79" s="2" t="s">
        <v>1210</v>
      </c>
      <c r="GX79" s="2" t="s">
        <v>186</v>
      </c>
      <c r="GY79" s="2">
        <v>1987</v>
      </c>
      <c r="GZ79" s="2" t="s">
        <v>141</v>
      </c>
      <c r="HB79" s="2" t="s">
        <v>191</v>
      </c>
    </row>
    <row r="80" spans="1:211" x14ac:dyDescent="0.45">
      <c r="A80" s="2" t="s">
        <v>1213</v>
      </c>
      <c r="B80" s="2">
        <v>78</v>
      </c>
      <c r="C80" s="2" t="s">
        <v>1211</v>
      </c>
      <c r="D80" s="2" t="s">
        <v>118</v>
      </c>
      <c r="E80" s="2" t="s">
        <v>1152</v>
      </c>
      <c r="G80" s="2"/>
      <c r="I80" s="2" t="s">
        <v>119</v>
      </c>
      <c r="J80" s="2" t="s">
        <v>1212</v>
      </c>
      <c r="K80" s="2">
        <v>808</v>
      </c>
      <c r="L80" s="2">
        <v>0</v>
      </c>
      <c r="M80" s="2" t="s">
        <v>122</v>
      </c>
      <c r="N80" s="2" t="s">
        <v>123</v>
      </c>
      <c r="P80" s="2"/>
      <c r="AD80" s="2" t="s">
        <v>124</v>
      </c>
      <c r="AE80" s="2" t="s">
        <v>1214</v>
      </c>
      <c r="AF80" s="2">
        <v>1998</v>
      </c>
      <c r="AG80" s="2" t="s">
        <v>148</v>
      </c>
      <c r="AH80" s="2" t="s">
        <v>1215</v>
      </c>
      <c r="AI80" s="2" t="s">
        <v>150</v>
      </c>
      <c r="AJ80" s="2" t="s">
        <v>150</v>
      </c>
      <c r="AK80" s="2" t="s">
        <v>151</v>
      </c>
      <c r="AL80" s="2" t="s">
        <v>129</v>
      </c>
      <c r="AM80" s="2" t="s">
        <v>128</v>
      </c>
      <c r="AN80" s="2" t="s">
        <v>1216</v>
      </c>
      <c r="AO80" s="2" t="s">
        <v>131</v>
      </c>
      <c r="AP80" s="2" t="s">
        <v>131</v>
      </c>
      <c r="AQ80" s="2" t="s">
        <v>1217</v>
      </c>
      <c r="AR80" s="2" t="s">
        <v>1218</v>
      </c>
      <c r="AS80" s="2" t="s">
        <v>1219</v>
      </c>
      <c r="AU80" s="2" t="s">
        <v>1220</v>
      </c>
      <c r="AV80" s="2" t="s">
        <v>123</v>
      </c>
      <c r="CP80" s="2" t="s">
        <v>123</v>
      </c>
      <c r="CZ80" s="2" t="s">
        <v>123</v>
      </c>
      <c r="DJ80" s="2" t="s">
        <v>123</v>
      </c>
      <c r="EM80" s="2" t="s">
        <v>123</v>
      </c>
      <c r="FM80" s="2" t="s">
        <v>123</v>
      </c>
      <c r="GU80" s="2" t="s">
        <v>1221</v>
      </c>
      <c r="GV80" s="2" t="s">
        <v>1222</v>
      </c>
      <c r="GW80" s="2" t="s">
        <v>1223</v>
      </c>
      <c r="GX80" s="2" t="s">
        <v>186</v>
      </c>
      <c r="GY80" s="2">
        <v>1973</v>
      </c>
      <c r="GZ80" s="2" t="s">
        <v>141</v>
      </c>
    </row>
    <row r="81" spans="1:211" x14ac:dyDescent="0.45">
      <c r="A81" s="2" t="s">
        <v>1226</v>
      </c>
      <c r="B81" s="2">
        <v>79</v>
      </c>
      <c r="C81" s="2" t="s">
        <v>1224</v>
      </c>
      <c r="D81" s="2" t="s">
        <v>118</v>
      </c>
      <c r="E81" s="2" t="s">
        <v>797</v>
      </c>
      <c r="G81" s="2"/>
      <c r="I81" s="2" t="s">
        <v>119</v>
      </c>
      <c r="J81" s="2" t="s">
        <v>1225</v>
      </c>
      <c r="K81" s="2">
        <v>4209</v>
      </c>
      <c r="L81" s="2">
        <v>0</v>
      </c>
      <c r="M81" s="2" t="s">
        <v>122</v>
      </c>
      <c r="N81" s="2" t="s">
        <v>123</v>
      </c>
      <c r="P81" s="2"/>
      <c r="AD81" s="2" t="s">
        <v>124</v>
      </c>
      <c r="AE81" s="2" t="s">
        <v>1227</v>
      </c>
      <c r="AF81" s="2">
        <v>1985</v>
      </c>
      <c r="AG81" s="2" t="s">
        <v>148</v>
      </c>
      <c r="AH81" s="2" t="s">
        <v>391</v>
      </c>
      <c r="AI81" s="2" t="s">
        <v>150</v>
      </c>
      <c r="AJ81" s="2" t="s">
        <v>150</v>
      </c>
      <c r="AK81" s="2" t="s">
        <v>169</v>
      </c>
      <c r="AL81" s="2" t="s">
        <v>236</v>
      </c>
      <c r="AM81" s="2" t="s">
        <v>236</v>
      </c>
      <c r="AN81" s="2">
        <v>0</v>
      </c>
      <c r="AO81" s="2" t="s">
        <v>152</v>
      </c>
      <c r="AP81" s="2" t="s">
        <v>152</v>
      </c>
      <c r="AQ81" s="2" t="s">
        <v>1228</v>
      </c>
      <c r="AR81" s="2" t="s">
        <v>1229</v>
      </c>
      <c r="AS81" s="2" t="s">
        <v>1229</v>
      </c>
      <c r="AT81" s="2" t="s">
        <v>157</v>
      </c>
      <c r="AV81" s="2" t="s">
        <v>159</v>
      </c>
      <c r="AW81" s="2">
        <v>2</v>
      </c>
      <c r="AX81" s="2" t="s">
        <v>1230</v>
      </c>
      <c r="AY81" s="2">
        <v>2005</v>
      </c>
      <c r="AZ81" s="2" t="s">
        <v>148</v>
      </c>
      <c r="BA81" s="2" t="s">
        <v>1231</v>
      </c>
      <c r="BB81" s="2" t="s">
        <v>169</v>
      </c>
      <c r="BC81" s="2" t="s">
        <v>169</v>
      </c>
      <c r="BD81" s="2" t="s">
        <v>169</v>
      </c>
      <c r="BE81" s="2" t="s">
        <v>236</v>
      </c>
      <c r="BF81" s="2" t="s">
        <v>236</v>
      </c>
      <c r="BG81" s="2">
        <v>0</v>
      </c>
      <c r="BH81" s="2" t="s">
        <v>1232</v>
      </c>
      <c r="BI81" s="2" t="s">
        <v>157</v>
      </c>
      <c r="BL81" s="2" t="s">
        <v>166</v>
      </c>
      <c r="BM81" s="2" t="s">
        <v>1233</v>
      </c>
      <c r="BN81" s="2">
        <v>2008</v>
      </c>
      <c r="BO81" s="2" t="s">
        <v>148</v>
      </c>
      <c r="BP81" s="2" t="s">
        <v>1234</v>
      </c>
      <c r="BQ81" s="2" t="s">
        <v>169</v>
      </c>
      <c r="BR81" s="2" t="s">
        <v>169</v>
      </c>
      <c r="BS81" s="2" t="s">
        <v>169</v>
      </c>
      <c r="BT81" s="2" t="s">
        <v>128</v>
      </c>
      <c r="BU81" s="2" t="s">
        <v>162</v>
      </c>
      <c r="BV81" s="2" t="s">
        <v>1235</v>
      </c>
      <c r="BW81" s="2" t="s">
        <v>1236</v>
      </c>
      <c r="BX81" s="2" t="s">
        <v>157</v>
      </c>
      <c r="CA81" s="2" t="s">
        <v>173</v>
      </c>
      <c r="CP81" s="2" t="s">
        <v>123</v>
      </c>
      <c r="CZ81" s="2" t="s">
        <v>123</v>
      </c>
      <c r="DJ81" s="2" t="s">
        <v>174</v>
      </c>
      <c r="DK81" s="2" t="s">
        <v>394</v>
      </c>
      <c r="DO81" s="2" t="s">
        <v>1230</v>
      </c>
      <c r="DP81" s="2" t="s">
        <v>150</v>
      </c>
      <c r="DQ81" s="2" t="s">
        <v>150</v>
      </c>
      <c r="DR81" s="2" t="s">
        <v>150</v>
      </c>
      <c r="DS81" s="2" t="s">
        <v>150</v>
      </c>
      <c r="DT81" s="2" t="s">
        <v>150</v>
      </c>
      <c r="DU81" s="2" t="s">
        <v>169</v>
      </c>
      <c r="DV81" s="2" t="s">
        <v>150</v>
      </c>
      <c r="DW81" s="2">
        <v>20</v>
      </c>
      <c r="DX81" s="2">
        <v>5</v>
      </c>
      <c r="DY81" s="2">
        <v>0</v>
      </c>
      <c r="DZ81" s="2">
        <v>30</v>
      </c>
      <c r="EA81" s="2">
        <v>25</v>
      </c>
      <c r="EB81" s="2">
        <v>10</v>
      </c>
      <c r="EC81" s="2">
        <v>10</v>
      </c>
      <c r="EE81" s="2">
        <v>10</v>
      </c>
      <c r="EF81" s="2">
        <v>5</v>
      </c>
      <c r="EG81" s="2">
        <v>0</v>
      </c>
      <c r="EH81" s="2">
        <v>25</v>
      </c>
      <c r="EI81" s="2">
        <v>25</v>
      </c>
      <c r="EJ81" s="2">
        <v>5</v>
      </c>
      <c r="EK81" s="2">
        <v>30</v>
      </c>
      <c r="EM81" s="2" t="s">
        <v>123</v>
      </c>
      <c r="FM81" s="2" t="s">
        <v>123</v>
      </c>
      <c r="GU81" s="2" t="s">
        <v>1237</v>
      </c>
      <c r="GV81" s="2" t="s">
        <v>1229</v>
      </c>
      <c r="GW81" s="2" t="s">
        <v>1229</v>
      </c>
      <c r="GX81" s="2" t="s">
        <v>140</v>
      </c>
      <c r="GY81" s="2">
        <v>1958</v>
      </c>
      <c r="GZ81" s="2" t="s">
        <v>141</v>
      </c>
    </row>
    <row r="82" spans="1:211" x14ac:dyDescent="0.45">
      <c r="A82" s="2" t="s">
        <v>1240</v>
      </c>
      <c r="B82" s="2">
        <v>80</v>
      </c>
      <c r="C82" s="2" t="s">
        <v>1238</v>
      </c>
      <c r="D82" s="2" t="s">
        <v>118</v>
      </c>
      <c r="G82" s="2"/>
      <c r="I82" s="2" t="s">
        <v>119</v>
      </c>
      <c r="J82" s="2" t="s">
        <v>1239</v>
      </c>
      <c r="K82" s="2">
        <v>356</v>
      </c>
      <c r="L82" s="2">
        <v>0</v>
      </c>
      <c r="M82" s="2" t="s">
        <v>122</v>
      </c>
      <c r="N82" s="2" t="s">
        <v>123</v>
      </c>
      <c r="P82" s="2"/>
      <c r="AD82" s="2" t="s">
        <v>124</v>
      </c>
      <c r="AE82" s="2" t="s">
        <v>223</v>
      </c>
      <c r="AF82" s="2">
        <v>1997</v>
      </c>
      <c r="AG82" s="2" t="s">
        <v>148</v>
      </c>
      <c r="AH82" s="2" t="s">
        <v>161</v>
      </c>
      <c r="AI82" s="2" t="s">
        <v>128</v>
      </c>
      <c r="AJ82" s="2" t="s">
        <v>128</v>
      </c>
      <c r="AK82" s="2" t="s">
        <v>162</v>
      </c>
      <c r="AL82" s="2" t="s">
        <v>162</v>
      </c>
      <c r="AM82" s="2" t="s">
        <v>162</v>
      </c>
      <c r="AN82" s="2">
        <v>1</v>
      </c>
      <c r="AO82" s="2" t="s">
        <v>131</v>
      </c>
      <c r="AP82" s="2" t="s">
        <v>131</v>
      </c>
      <c r="AQ82" s="2" t="s">
        <v>1241</v>
      </c>
      <c r="AR82" s="2" t="s">
        <v>1242</v>
      </c>
      <c r="AS82" s="2" t="s">
        <v>1243</v>
      </c>
      <c r="AT82" s="2" t="s">
        <v>157</v>
      </c>
      <c r="AU82" s="2" t="s">
        <v>1244</v>
      </c>
      <c r="AV82" s="2" t="s">
        <v>123</v>
      </c>
      <c r="AW82" s="2" t="s">
        <v>132</v>
      </c>
      <c r="CP82" s="2" t="s">
        <v>123</v>
      </c>
      <c r="CZ82" s="2" t="s">
        <v>123</v>
      </c>
      <c r="DJ82" s="2" t="s">
        <v>123</v>
      </c>
      <c r="EM82" s="2" t="s">
        <v>123</v>
      </c>
      <c r="EN82" s="2" t="s">
        <v>178</v>
      </c>
      <c r="EO82" s="2" t="s">
        <v>132</v>
      </c>
      <c r="FM82" s="2" t="s">
        <v>123</v>
      </c>
      <c r="GU82" s="2" t="s">
        <v>1245</v>
      </c>
      <c r="GV82" s="2" t="s">
        <v>1246</v>
      </c>
      <c r="GW82" s="2" t="s">
        <v>1247</v>
      </c>
      <c r="GX82" s="2" t="s">
        <v>186</v>
      </c>
      <c r="GY82" s="2">
        <v>1974</v>
      </c>
      <c r="GZ82" s="2" t="s">
        <v>398</v>
      </c>
      <c r="HB82" s="2" t="s">
        <v>1248</v>
      </c>
    </row>
    <row r="83" spans="1:211" x14ac:dyDescent="0.45">
      <c r="A83" s="2" t="s">
        <v>1253</v>
      </c>
      <c r="B83" s="2">
        <v>81</v>
      </c>
      <c r="C83" s="2" t="s">
        <v>1251</v>
      </c>
      <c r="D83" s="2" t="s">
        <v>118</v>
      </c>
      <c r="G83" s="2"/>
      <c r="I83" s="2" t="s">
        <v>119</v>
      </c>
      <c r="J83" s="2" t="s">
        <v>1252</v>
      </c>
      <c r="K83" s="2">
        <v>367</v>
      </c>
      <c r="L83" s="2">
        <v>0</v>
      </c>
      <c r="M83" s="2" t="s">
        <v>122</v>
      </c>
      <c r="N83" s="2" t="s">
        <v>123</v>
      </c>
      <c r="P83" s="2"/>
      <c r="AD83" s="2" t="s">
        <v>124</v>
      </c>
      <c r="AE83" s="2" t="s">
        <v>223</v>
      </c>
      <c r="AF83" s="2">
        <v>2006</v>
      </c>
      <c r="AG83" s="2" t="s">
        <v>148</v>
      </c>
      <c r="AH83" s="2" t="s">
        <v>1050</v>
      </c>
      <c r="AI83" s="2" t="s">
        <v>162</v>
      </c>
      <c r="AJ83" s="2" t="s">
        <v>162</v>
      </c>
      <c r="AK83" s="2" t="s">
        <v>169</v>
      </c>
      <c r="AL83" s="2" t="s">
        <v>236</v>
      </c>
      <c r="AM83" s="2" t="s">
        <v>151</v>
      </c>
      <c r="AN83" s="2">
        <v>3</v>
      </c>
      <c r="AO83" s="2" t="s">
        <v>131</v>
      </c>
      <c r="AP83" s="2" t="s">
        <v>302</v>
      </c>
      <c r="AQ83" s="2" t="s">
        <v>1254</v>
      </c>
      <c r="AR83" s="2" t="s">
        <v>1255</v>
      </c>
      <c r="AS83" s="2" t="s">
        <v>1256</v>
      </c>
      <c r="AT83" s="2" t="s">
        <v>157</v>
      </c>
      <c r="AU83" s="2" t="s">
        <v>1257</v>
      </c>
      <c r="AV83" s="2" t="s">
        <v>123</v>
      </c>
      <c r="AW83" s="2" t="s">
        <v>132</v>
      </c>
      <c r="CP83" s="2" t="s">
        <v>123</v>
      </c>
      <c r="CZ83" s="2" t="s">
        <v>214</v>
      </c>
      <c r="DA83" s="2" t="s">
        <v>747</v>
      </c>
      <c r="DB83" s="2" t="s">
        <v>1176</v>
      </c>
      <c r="DC83" s="2" t="s">
        <v>169</v>
      </c>
      <c r="DD83" s="2" t="s">
        <v>150</v>
      </c>
      <c r="DE83" s="2" t="s">
        <v>150</v>
      </c>
      <c r="DF83" s="2" t="s">
        <v>169</v>
      </c>
      <c r="DG83" s="2" t="s">
        <v>162</v>
      </c>
      <c r="DH83" s="2" t="s">
        <v>162</v>
      </c>
      <c r="DI83" s="2" t="s">
        <v>1258</v>
      </c>
      <c r="DJ83" s="2" t="s">
        <v>123</v>
      </c>
      <c r="EM83" s="2" t="s">
        <v>123</v>
      </c>
      <c r="FM83" s="2" t="s">
        <v>123</v>
      </c>
      <c r="GU83" s="2" t="s">
        <v>1259</v>
      </c>
      <c r="GV83" s="2" t="s">
        <v>1260</v>
      </c>
      <c r="GW83" s="2" t="s">
        <v>1261</v>
      </c>
      <c r="GX83" s="2" t="s">
        <v>186</v>
      </c>
      <c r="GY83" s="2">
        <v>1982</v>
      </c>
      <c r="GZ83" s="2" t="s">
        <v>141</v>
      </c>
    </row>
    <row r="84" spans="1:211" x14ac:dyDescent="0.45">
      <c r="A84" s="2" t="s">
        <v>1267</v>
      </c>
      <c r="B84" s="2">
        <v>82</v>
      </c>
      <c r="C84" s="2" t="s">
        <v>1264</v>
      </c>
      <c r="D84" s="2" t="s">
        <v>118</v>
      </c>
      <c r="E84" s="2" t="s">
        <v>1265</v>
      </c>
      <c r="G84" s="2"/>
      <c r="I84" s="2" t="s">
        <v>119</v>
      </c>
      <c r="J84" s="2" t="s">
        <v>1266</v>
      </c>
      <c r="K84" s="2">
        <v>2127</v>
      </c>
      <c r="L84" s="2">
        <v>0</v>
      </c>
      <c r="M84" s="2" t="s">
        <v>122</v>
      </c>
      <c r="N84" s="2" t="s">
        <v>123</v>
      </c>
      <c r="P84" s="2"/>
      <c r="AD84" s="2" t="s">
        <v>124</v>
      </c>
      <c r="AE84" s="2" t="s">
        <v>747</v>
      </c>
      <c r="AF84" s="2">
        <v>1982</v>
      </c>
      <c r="AG84" s="2" t="s">
        <v>126</v>
      </c>
      <c r="AH84" s="2" t="s">
        <v>1268</v>
      </c>
      <c r="AI84" s="2" t="s">
        <v>169</v>
      </c>
      <c r="AJ84" s="2" t="s">
        <v>169</v>
      </c>
      <c r="AK84" s="2" t="s">
        <v>169</v>
      </c>
      <c r="AL84" s="2" t="s">
        <v>169</v>
      </c>
      <c r="AM84" s="2" t="s">
        <v>169</v>
      </c>
      <c r="AN84" s="2">
        <v>0</v>
      </c>
      <c r="AO84" s="2" t="s">
        <v>153</v>
      </c>
      <c r="AP84" s="2" t="s">
        <v>759</v>
      </c>
      <c r="AQ84" s="2" t="s">
        <v>1269</v>
      </c>
      <c r="AR84" s="2" t="s">
        <v>1270</v>
      </c>
      <c r="AS84" s="2" t="s">
        <v>386</v>
      </c>
      <c r="AU84" s="2" t="s">
        <v>1271</v>
      </c>
      <c r="AV84" s="2" t="s">
        <v>159</v>
      </c>
      <c r="AW84" s="2">
        <v>1</v>
      </c>
      <c r="AX84" s="2" t="s">
        <v>1272</v>
      </c>
      <c r="AY84" s="2">
        <v>2011</v>
      </c>
      <c r="AZ84" s="2" t="s">
        <v>148</v>
      </c>
      <c r="BA84" s="2" t="s">
        <v>927</v>
      </c>
      <c r="BB84" s="2" t="s">
        <v>169</v>
      </c>
      <c r="BC84" s="2" t="s">
        <v>169</v>
      </c>
      <c r="BD84" s="2" t="s">
        <v>169</v>
      </c>
      <c r="BE84" s="2" t="s">
        <v>169</v>
      </c>
      <c r="BF84" s="2" t="s">
        <v>169</v>
      </c>
      <c r="BG84" s="2" t="s">
        <v>1273</v>
      </c>
      <c r="BH84" s="2" t="s">
        <v>1274</v>
      </c>
      <c r="BI84" s="2" t="s">
        <v>157</v>
      </c>
      <c r="BK84" s="2" t="s">
        <v>1275</v>
      </c>
      <c r="BL84" s="2" t="s">
        <v>173</v>
      </c>
      <c r="CP84" s="2" t="s">
        <v>123</v>
      </c>
      <c r="CZ84" s="2" t="s">
        <v>214</v>
      </c>
      <c r="DA84" s="2" t="s">
        <v>191</v>
      </c>
      <c r="DB84" s="2" t="s">
        <v>1276</v>
      </c>
      <c r="DC84" s="2" t="s">
        <v>169</v>
      </c>
      <c r="DD84" s="2" t="s">
        <v>169</v>
      </c>
      <c r="DE84" s="2" t="s">
        <v>169</v>
      </c>
      <c r="DF84" s="2" t="s">
        <v>150</v>
      </c>
      <c r="DG84" s="2" t="s">
        <v>169</v>
      </c>
      <c r="DH84" s="2" t="s">
        <v>169</v>
      </c>
      <c r="DI84" s="2" t="s">
        <v>1277</v>
      </c>
      <c r="DJ84" s="2" t="s">
        <v>123</v>
      </c>
      <c r="EM84" s="2" t="s">
        <v>177</v>
      </c>
      <c r="EN84" s="2" t="s">
        <v>178</v>
      </c>
      <c r="EO84" s="2">
        <v>1</v>
      </c>
      <c r="EP84" s="2" t="s">
        <v>747</v>
      </c>
      <c r="EQ84" s="2" t="s">
        <v>169</v>
      </c>
      <c r="ER84" s="2" t="s">
        <v>169</v>
      </c>
      <c r="ES84" s="2" t="s">
        <v>151</v>
      </c>
      <c r="ET84" s="2" t="s">
        <v>178</v>
      </c>
      <c r="EU84" s="2" t="s">
        <v>1278</v>
      </c>
      <c r="EV84" s="2" t="s">
        <v>1279</v>
      </c>
      <c r="EW84" s="2" t="s">
        <v>173</v>
      </c>
      <c r="FM84" s="2" t="s">
        <v>123</v>
      </c>
      <c r="GU84" s="2" t="s">
        <v>1280</v>
      </c>
      <c r="GV84" s="2" t="s">
        <v>1281</v>
      </c>
      <c r="GW84" s="2" t="s">
        <v>1282</v>
      </c>
      <c r="GX84" s="2" t="s">
        <v>186</v>
      </c>
      <c r="GY84" s="2" t="s">
        <v>1283</v>
      </c>
      <c r="GZ84" s="2" t="s">
        <v>398</v>
      </c>
      <c r="HB84" s="2" t="s">
        <v>1284</v>
      </c>
      <c r="HC84" s="2" t="s">
        <v>1285</v>
      </c>
    </row>
    <row r="85" spans="1:211" x14ac:dyDescent="0.45">
      <c r="A85" s="2" t="s">
        <v>1289</v>
      </c>
      <c r="B85" s="2">
        <v>83</v>
      </c>
      <c r="C85" s="2" t="s">
        <v>1142</v>
      </c>
      <c r="D85" s="2" t="s">
        <v>118</v>
      </c>
      <c r="G85" s="2"/>
      <c r="I85" s="2" t="s">
        <v>119</v>
      </c>
      <c r="J85" s="2" t="s">
        <v>1288</v>
      </c>
      <c r="K85" s="2">
        <v>1208727</v>
      </c>
      <c r="L85" s="2">
        <v>0</v>
      </c>
      <c r="M85" s="2" t="s">
        <v>122</v>
      </c>
      <c r="N85" s="2" t="s">
        <v>123</v>
      </c>
      <c r="P85" s="2"/>
      <c r="AD85" s="2" t="s">
        <v>124</v>
      </c>
      <c r="AE85" s="2" t="s">
        <v>1290</v>
      </c>
      <c r="AF85" s="2">
        <v>2012</v>
      </c>
      <c r="AG85" s="2" t="s">
        <v>148</v>
      </c>
      <c r="AH85" s="2" t="s">
        <v>1050</v>
      </c>
      <c r="AI85" s="2" t="s">
        <v>162</v>
      </c>
      <c r="AJ85" s="2" t="s">
        <v>151</v>
      </c>
      <c r="AK85" s="2" t="s">
        <v>162</v>
      </c>
      <c r="AL85" s="2" t="s">
        <v>151</v>
      </c>
      <c r="AM85" s="2" t="s">
        <v>128</v>
      </c>
      <c r="AN85" s="2" t="s">
        <v>237</v>
      </c>
      <c r="AO85" s="2" t="s">
        <v>132</v>
      </c>
      <c r="AP85" s="2" t="s">
        <v>132</v>
      </c>
      <c r="AQ85" s="2" t="s">
        <v>1291</v>
      </c>
      <c r="AR85" s="2" t="s">
        <v>1292</v>
      </c>
      <c r="AS85" s="2" t="s">
        <v>1293</v>
      </c>
      <c r="AT85" s="2" t="s">
        <v>892</v>
      </c>
      <c r="AV85" s="2" t="s">
        <v>123</v>
      </c>
      <c r="AW85" s="2" t="s">
        <v>132</v>
      </c>
      <c r="CP85" s="2" t="s">
        <v>123</v>
      </c>
      <c r="CZ85" s="2" t="s">
        <v>123</v>
      </c>
      <c r="DJ85" s="2" t="s">
        <v>123</v>
      </c>
      <c r="EM85" s="2" t="s">
        <v>177</v>
      </c>
      <c r="EN85" s="2" t="s">
        <v>178</v>
      </c>
      <c r="EO85" s="2" t="s">
        <v>132</v>
      </c>
      <c r="EP85" s="2" t="s">
        <v>191</v>
      </c>
      <c r="EQ85" s="2" t="s">
        <v>162</v>
      </c>
      <c r="ER85" s="2" t="s">
        <v>151</v>
      </c>
      <c r="ES85" s="2" t="s">
        <v>128</v>
      </c>
      <c r="ET85" s="2" t="s">
        <v>178</v>
      </c>
      <c r="EU85" s="2" t="s">
        <v>1294</v>
      </c>
      <c r="EV85" s="2" t="s">
        <v>1295</v>
      </c>
      <c r="EW85" s="2" t="s">
        <v>173</v>
      </c>
      <c r="FM85" s="2" t="s">
        <v>123</v>
      </c>
      <c r="GU85" s="2" t="s">
        <v>1296</v>
      </c>
      <c r="GV85" s="2" t="s">
        <v>1297</v>
      </c>
      <c r="GW85" s="2" t="s">
        <v>1298</v>
      </c>
      <c r="GX85" s="2" t="s">
        <v>186</v>
      </c>
      <c r="GY85" s="2">
        <v>1987</v>
      </c>
      <c r="GZ85" s="2" t="s">
        <v>246</v>
      </c>
      <c r="HB85" s="2" t="s">
        <v>1299</v>
      </c>
      <c r="HC85" s="2" t="s">
        <v>1300</v>
      </c>
    </row>
    <row r="86" spans="1:211" x14ac:dyDescent="0.45">
      <c r="A86" s="2" t="s">
        <v>1304</v>
      </c>
      <c r="B86" s="2">
        <v>84</v>
      </c>
      <c r="C86" s="2" t="s">
        <v>1302</v>
      </c>
      <c r="D86" s="2" t="s">
        <v>118</v>
      </c>
      <c r="G86" s="2"/>
      <c r="I86" s="2" t="s">
        <v>119</v>
      </c>
      <c r="J86" s="2" t="s">
        <v>1303</v>
      </c>
      <c r="K86" s="2">
        <v>558</v>
      </c>
      <c r="L86" s="2">
        <v>0</v>
      </c>
      <c r="M86" s="2" t="s">
        <v>122</v>
      </c>
      <c r="N86" s="2" t="s">
        <v>416</v>
      </c>
      <c r="O86" s="2" t="s">
        <v>191</v>
      </c>
      <c r="P86" s="2" t="s">
        <v>126</v>
      </c>
      <c r="Q86" s="2" t="s">
        <v>1305</v>
      </c>
      <c r="R86" s="2" t="s">
        <v>162</v>
      </c>
      <c r="S86" s="2" t="s">
        <v>128</v>
      </c>
      <c r="T86" s="2" t="s">
        <v>150</v>
      </c>
      <c r="U86" s="2" t="s">
        <v>1306</v>
      </c>
      <c r="V86" s="2" t="s">
        <v>153</v>
      </c>
      <c r="W86" s="2" t="s">
        <v>759</v>
      </c>
      <c r="X86" s="2" t="s">
        <v>1307</v>
      </c>
      <c r="Y86" s="2" t="s">
        <v>1308</v>
      </c>
      <c r="Z86" s="2" t="s">
        <v>1309</v>
      </c>
      <c r="AA86" s="2" t="s">
        <v>230</v>
      </c>
      <c r="AC86" s="2" t="s">
        <v>1310</v>
      </c>
      <c r="AD86" s="2" t="s">
        <v>124</v>
      </c>
      <c r="AE86" s="2" t="s">
        <v>1311</v>
      </c>
      <c r="AF86" s="2">
        <v>2015</v>
      </c>
      <c r="AG86" s="2" t="s">
        <v>126</v>
      </c>
      <c r="AH86" s="2" t="s">
        <v>1312</v>
      </c>
      <c r="AI86" s="2" t="s">
        <v>162</v>
      </c>
      <c r="AJ86" s="2" t="s">
        <v>128</v>
      </c>
      <c r="AK86" s="2" t="s">
        <v>162</v>
      </c>
      <c r="AL86" s="2" t="s">
        <v>162</v>
      </c>
      <c r="AM86" s="2" t="s">
        <v>162</v>
      </c>
      <c r="AN86" s="2" t="s">
        <v>237</v>
      </c>
      <c r="AO86" s="2" t="s">
        <v>302</v>
      </c>
      <c r="AP86" s="2" t="s">
        <v>153</v>
      </c>
      <c r="AQ86" s="2" t="s">
        <v>1313</v>
      </c>
      <c r="AR86" s="2" t="s">
        <v>1314</v>
      </c>
      <c r="AS86" s="2" t="s">
        <v>1315</v>
      </c>
      <c r="AT86" s="2" t="s">
        <v>172</v>
      </c>
      <c r="AV86" s="2" t="s">
        <v>123</v>
      </c>
      <c r="AW86" s="2" t="s">
        <v>132</v>
      </c>
      <c r="CP86" s="2" t="s">
        <v>123</v>
      </c>
      <c r="CZ86" s="2" t="s">
        <v>123</v>
      </c>
      <c r="DJ86" s="2" t="s">
        <v>123</v>
      </c>
      <c r="EM86" s="2" t="s">
        <v>123</v>
      </c>
      <c r="FM86" s="2" t="s">
        <v>123</v>
      </c>
      <c r="GU86" s="2" t="s">
        <v>1316</v>
      </c>
      <c r="GV86" s="2" t="s">
        <v>1317</v>
      </c>
      <c r="GW86" s="2" t="s">
        <v>1318</v>
      </c>
      <c r="GX86" s="2" t="s">
        <v>186</v>
      </c>
      <c r="GY86" s="2">
        <v>1992</v>
      </c>
      <c r="GZ86" s="2" t="s">
        <v>398</v>
      </c>
      <c r="HB86" s="2" t="s">
        <v>1319</v>
      </c>
      <c r="HC86" s="2" t="s">
        <v>1320</v>
      </c>
    </row>
    <row r="87" spans="1:211" x14ac:dyDescent="0.45">
      <c r="A87" s="2" t="s">
        <v>1324</v>
      </c>
      <c r="B87" s="2">
        <v>85</v>
      </c>
      <c r="C87" s="2" t="s">
        <v>1322</v>
      </c>
      <c r="D87" s="2" t="s">
        <v>118</v>
      </c>
      <c r="G87" s="2"/>
      <c r="I87" s="2" t="s">
        <v>119</v>
      </c>
      <c r="J87" s="2" t="s">
        <v>1323</v>
      </c>
      <c r="K87" s="2">
        <v>767</v>
      </c>
      <c r="L87" s="2">
        <v>0</v>
      </c>
      <c r="M87" s="2" t="s">
        <v>122</v>
      </c>
      <c r="N87" s="2" t="s">
        <v>123</v>
      </c>
      <c r="P87" s="2"/>
      <c r="AD87" s="2" t="s">
        <v>124</v>
      </c>
      <c r="AE87" s="2" t="s">
        <v>191</v>
      </c>
      <c r="AF87" s="2">
        <v>2018</v>
      </c>
      <c r="AG87" s="2" t="s">
        <v>126</v>
      </c>
      <c r="AH87" s="2" t="s">
        <v>1325</v>
      </c>
      <c r="AI87" s="2" t="s">
        <v>150</v>
      </c>
      <c r="AJ87" s="2" t="s">
        <v>150</v>
      </c>
      <c r="AK87" s="2" t="s">
        <v>128</v>
      </c>
      <c r="AL87" s="2" t="s">
        <v>236</v>
      </c>
      <c r="AM87" s="2" t="s">
        <v>128</v>
      </c>
      <c r="AN87" s="2">
        <v>1</v>
      </c>
      <c r="AO87" s="2" t="s">
        <v>302</v>
      </c>
      <c r="AP87" s="2" t="s">
        <v>226</v>
      </c>
      <c r="AQ87" s="2" t="s">
        <v>1326</v>
      </c>
      <c r="AR87" s="2" t="s">
        <v>1327</v>
      </c>
      <c r="AS87" s="2" t="s">
        <v>1328</v>
      </c>
      <c r="AT87" s="2" t="s">
        <v>157</v>
      </c>
      <c r="AV87" s="2" t="s">
        <v>123</v>
      </c>
      <c r="AW87" s="2" t="s">
        <v>132</v>
      </c>
      <c r="CP87" s="2" t="s">
        <v>123</v>
      </c>
      <c r="CZ87" s="2" t="s">
        <v>123</v>
      </c>
      <c r="DJ87" s="2" t="s">
        <v>123</v>
      </c>
      <c r="EM87" s="2" t="s">
        <v>123</v>
      </c>
      <c r="EN87" s="2" t="s">
        <v>180</v>
      </c>
      <c r="FM87" s="2" t="s">
        <v>123</v>
      </c>
      <c r="GU87" s="2" t="s">
        <v>1329</v>
      </c>
      <c r="GV87" s="2" t="s">
        <v>1329</v>
      </c>
      <c r="GW87" s="2" t="s">
        <v>132</v>
      </c>
      <c r="GX87" s="2" t="s">
        <v>186</v>
      </c>
      <c r="GY87" s="2">
        <v>1991</v>
      </c>
      <c r="GZ87" s="2" t="s">
        <v>220</v>
      </c>
      <c r="HB87" s="2" t="s">
        <v>1330</v>
      </c>
      <c r="HC87" s="2" t="s">
        <v>532</v>
      </c>
    </row>
    <row r="88" spans="1:211" x14ac:dyDescent="0.45">
      <c r="A88" s="2" t="s">
        <v>1338</v>
      </c>
      <c r="B88" s="2">
        <v>86</v>
      </c>
      <c r="C88" s="2" t="s">
        <v>1336</v>
      </c>
      <c r="D88" s="2" t="s">
        <v>118</v>
      </c>
      <c r="G88" s="2"/>
      <c r="I88" s="2" t="s">
        <v>119</v>
      </c>
      <c r="J88" s="2" t="s">
        <v>1337</v>
      </c>
      <c r="K88" s="2">
        <v>516</v>
      </c>
      <c r="L88" s="2">
        <v>0</v>
      </c>
      <c r="M88" s="2" t="s">
        <v>122</v>
      </c>
      <c r="N88" s="2" t="s">
        <v>123</v>
      </c>
      <c r="P88" s="2"/>
      <c r="AD88" s="2" t="s">
        <v>124</v>
      </c>
      <c r="AE88" s="2" t="s">
        <v>191</v>
      </c>
      <c r="AF88" s="2">
        <v>2007</v>
      </c>
      <c r="AG88" s="2" t="s">
        <v>126</v>
      </c>
      <c r="AH88" s="2" t="s">
        <v>1339</v>
      </c>
      <c r="AI88" s="2" t="s">
        <v>162</v>
      </c>
      <c r="AJ88" s="2" t="s">
        <v>162</v>
      </c>
      <c r="AK88" s="2" t="s">
        <v>150</v>
      </c>
      <c r="AL88" s="2" t="s">
        <v>169</v>
      </c>
      <c r="AM88" s="2" t="s">
        <v>169</v>
      </c>
      <c r="AN88" s="2" t="s">
        <v>1340</v>
      </c>
      <c r="AO88" s="2" t="s">
        <v>131</v>
      </c>
      <c r="AP88" s="2" t="s">
        <v>759</v>
      </c>
      <c r="AQ88" s="2" t="s">
        <v>1341</v>
      </c>
      <c r="AR88" s="2" t="s">
        <v>1342</v>
      </c>
      <c r="AS88" s="2" t="s">
        <v>1343</v>
      </c>
      <c r="AT88" s="2" t="s">
        <v>157</v>
      </c>
      <c r="AU88" s="2" t="s">
        <v>1344</v>
      </c>
      <c r="AV88" s="2" t="s">
        <v>123</v>
      </c>
      <c r="AW88" s="2" t="s">
        <v>132</v>
      </c>
      <c r="CP88" s="2" t="s">
        <v>123</v>
      </c>
      <c r="CZ88" s="2" t="s">
        <v>123</v>
      </c>
      <c r="DJ88" s="2" t="s">
        <v>123</v>
      </c>
      <c r="EM88" s="2" t="s">
        <v>177</v>
      </c>
      <c r="EN88" s="2" t="s">
        <v>178</v>
      </c>
      <c r="EO88" s="2" t="s">
        <v>132</v>
      </c>
      <c r="EP88" s="2" t="s">
        <v>191</v>
      </c>
      <c r="EQ88" s="2" t="s">
        <v>236</v>
      </c>
      <c r="ER88" s="2" t="s">
        <v>236</v>
      </c>
      <c r="ES88" s="2" t="s">
        <v>151</v>
      </c>
      <c r="ET88" s="2" t="s">
        <v>178</v>
      </c>
      <c r="EU88" s="2" t="s">
        <v>1345</v>
      </c>
      <c r="EV88" s="2" t="s">
        <v>1346</v>
      </c>
      <c r="EW88" s="2" t="s">
        <v>173</v>
      </c>
      <c r="FM88" s="2" t="s">
        <v>123</v>
      </c>
      <c r="GU88" s="2" t="s">
        <v>1347</v>
      </c>
      <c r="GV88" s="2" t="s">
        <v>1348</v>
      </c>
      <c r="GW88" s="2" t="s">
        <v>1349</v>
      </c>
      <c r="GX88" s="2" t="s">
        <v>186</v>
      </c>
      <c r="GY88" s="2">
        <v>1982</v>
      </c>
      <c r="GZ88" s="2" t="s">
        <v>141</v>
      </c>
      <c r="HB88" s="2" t="s">
        <v>1350</v>
      </c>
    </row>
    <row r="89" spans="1:211" x14ac:dyDescent="0.45">
      <c r="A89" s="2" t="s">
        <v>1360</v>
      </c>
      <c r="B89" s="2">
        <v>87</v>
      </c>
      <c r="C89" s="2" t="s">
        <v>1352</v>
      </c>
      <c r="D89" s="2" t="s">
        <v>118</v>
      </c>
      <c r="G89" s="2"/>
      <c r="I89" s="2" t="s">
        <v>119</v>
      </c>
      <c r="J89" s="2" t="s">
        <v>1359</v>
      </c>
      <c r="K89" s="2">
        <v>8266</v>
      </c>
      <c r="L89" s="2">
        <v>0</v>
      </c>
      <c r="M89" s="2" t="s">
        <v>122</v>
      </c>
      <c r="N89" s="2" t="s">
        <v>123</v>
      </c>
      <c r="P89" s="2"/>
      <c r="AD89" s="2" t="s">
        <v>124</v>
      </c>
      <c r="AE89" s="2" t="s">
        <v>160</v>
      </c>
      <c r="AF89" s="2">
        <v>2010</v>
      </c>
      <c r="AG89" s="2" t="s">
        <v>148</v>
      </c>
      <c r="AH89" s="2" t="s">
        <v>1361</v>
      </c>
      <c r="AI89" s="2" t="s">
        <v>236</v>
      </c>
      <c r="AJ89" s="2" t="s">
        <v>150</v>
      </c>
      <c r="AK89" s="2" t="s">
        <v>129</v>
      </c>
      <c r="AL89" s="2" t="s">
        <v>129</v>
      </c>
      <c r="AM89" s="2" t="s">
        <v>129</v>
      </c>
      <c r="AN89" s="2" t="s">
        <v>1362</v>
      </c>
      <c r="AO89" s="2" t="s">
        <v>153</v>
      </c>
      <c r="AP89" s="2" t="s">
        <v>153</v>
      </c>
      <c r="AQ89" s="2" t="s">
        <v>1363</v>
      </c>
      <c r="AR89" s="2" t="s">
        <v>1364</v>
      </c>
      <c r="AS89" s="2" t="s">
        <v>1365</v>
      </c>
      <c r="AT89" s="2" t="s">
        <v>157</v>
      </c>
      <c r="AV89" s="2" t="s">
        <v>123</v>
      </c>
      <c r="AW89" s="2" t="s">
        <v>132</v>
      </c>
      <c r="CP89" s="2" t="s">
        <v>123</v>
      </c>
      <c r="CZ89" s="2" t="s">
        <v>123</v>
      </c>
      <c r="DJ89" s="2" t="s">
        <v>123</v>
      </c>
      <c r="EM89" s="2" t="s">
        <v>123</v>
      </c>
      <c r="FM89" s="2" t="s">
        <v>123</v>
      </c>
      <c r="GU89" s="2" t="s">
        <v>1366</v>
      </c>
      <c r="GV89" s="2" t="s">
        <v>1367</v>
      </c>
      <c r="GW89" s="2" t="s">
        <v>532</v>
      </c>
      <c r="GX89" s="2" t="s">
        <v>140</v>
      </c>
      <c r="GY89" s="2">
        <v>1986</v>
      </c>
      <c r="GZ89" s="2" t="s">
        <v>398</v>
      </c>
      <c r="HB89" s="2" t="s">
        <v>1368</v>
      </c>
    </row>
    <row r="90" spans="1:211" x14ac:dyDescent="0.45">
      <c r="A90" s="2" t="s">
        <v>1377</v>
      </c>
      <c r="B90" s="2">
        <v>88</v>
      </c>
      <c r="C90" s="2" t="s">
        <v>1352</v>
      </c>
      <c r="D90" s="2" t="s">
        <v>118</v>
      </c>
      <c r="G90" s="2"/>
      <c r="I90" s="2" t="s">
        <v>119</v>
      </c>
      <c r="J90" s="2" t="s">
        <v>1376</v>
      </c>
      <c r="K90" s="2">
        <v>352</v>
      </c>
      <c r="L90" s="2">
        <v>0</v>
      </c>
      <c r="M90" s="2" t="s">
        <v>122</v>
      </c>
      <c r="N90" s="2" t="s">
        <v>123</v>
      </c>
      <c r="P90" s="2"/>
      <c r="AD90" s="2" t="s">
        <v>124</v>
      </c>
      <c r="AE90" s="2" t="s">
        <v>223</v>
      </c>
      <c r="AF90" s="2">
        <v>2000</v>
      </c>
      <c r="AG90" s="2" t="s">
        <v>148</v>
      </c>
      <c r="AH90" s="2" t="s">
        <v>161</v>
      </c>
      <c r="AI90" s="2" t="s">
        <v>162</v>
      </c>
      <c r="AJ90" s="2" t="s">
        <v>162</v>
      </c>
      <c r="AK90" s="2" t="s">
        <v>150</v>
      </c>
      <c r="AL90" s="2" t="s">
        <v>129</v>
      </c>
      <c r="AM90" s="2" t="s">
        <v>128</v>
      </c>
      <c r="AN90" s="2">
        <v>5</v>
      </c>
      <c r="AO90" s="2" t="s">
        <v>302</v>
      </c>
      <c r="AP90" s="2" t="s">
        <v>302</v>
      </c>
      <c r="AQ90" s="2" t="s">
        <v>1378</v>
      </c>
      <c r="AR90" s="2" t="s">
        <v>1379</v>
      </c>
      <c r="AS90" s="2" t="s">
        <v>1380</v>
      </c>
      <c r="AT90" s="2" t="s">
        <v>172</v>
      </c>
      <c r="AV90" s="2" t="s">
        <v>123</v>
      </c>
      <c r="AW90" s="2" t="s">
        <v>132</v>
      </c>
      <c r="CP90" s="2" t="s">
        <v>123</v>
      </c>
      <c r="CZ90" s="2" t="s">
        <v>123</v>
      </c>
      <c r="DJ90" s="2" t="s">
        <v>123</v>
      </c>
      <c r="EM90" s="2" t="s">
        <v>123</v>
      </c>
      <c r="FM90" s="2" t="s">
        <v>123</v>
      </c>
      <c r="GU90" s="2" t="s">
        <v>1381</v>
      </c>
      <c r="GV90" s="2" t="s">
        <v>1382</v>
      </c>
      <c r="GW90" s="2" t="s">
        <v>1383</v>
      </c>
      <c r="GX90" s="2" t="s">
        <v>140</v>
      </c>
      <c r="GY90" s="2">
        <v>1982</v>
      </c>
      <c r="GZ90" s="2" t="s">
        <v>246</v>
      </c>
      <c r="HB90" s="2" t="s">
        <v>386</v>
      </c>
      <c r="HC90" s="2" t="s">
        <v>386</v>
      </c>
    </row>
    <row r="91" spans="1:211" x14ac:dyDescent="0.45">
      <c r="A91" s="2" t="s">
        <v>1385</v>
      </c>
      <c r="B91" s="2">
        <v>89</v>
      </c>
      <c r="C91" s="2" t="s">
        <v>1142</v>
      </c>
      <c r="D91" s="2" t="s">
        <v>118</v>
      </c>
      <c r="G91" s="2"/>
      <c r="I91" s="2" t="s">
        <v>119</v>
      </c>
      <c r="J91" s="2" t="s">
        <v>1384</v>
      </c>
      <c r="K91" s="2">
        <v>167</v>
      </c>
      <c r="L91" s="2">
        <v>0</v>
      </c>
      <c r="M91" s="2" t="s">
        <v>122</v>
      </c>
      <c r="N91" s="2" t="s">
        <v>123</v>
      </c>
      <c r="P91" s="2"/>
      <c r="AD91" s="2" t="s">
        <v>123</v>
      </c>
      <c r="AV91" s="2" t="s">
        <v>123</v>
      </c>
      <c r="AW91" s="2" t="s">
        <v>132</v>
      </c>
      <c r="CP91" s="2" t="s">
        <v>123</v>
      </c>
      <c r="CZ91" s="2" t="s">
        <v>123</v>
      </c>
      <c r="DJ91" s="2" t="s">
        <v>123</v>
      </c>
      <c r="EM91" s="2" t="s">
        <v>123</v>
      </c>
      <c r="FM91" s="2" t="s">
        <v>123</v>
      </c>
      <c r="GU91" s="2" t="s">
        <v>1386</v>
      </c>
      <c r="GV91" s="2" t="s">
        <v>1387</v>
      </c>
      <c r="GW91" s="2" t="s">
        <v>1388</v>
      </c>
      <c r="GX91" s="2" t="s">
        <v>186</v>
      </c>
      <c r="GY91" s="2">
        <v>1987</v>
      </c>
      <c r="GZ91" s="2" t="s">
        <v>141</v>
      </c>
      <c r="HB91" s="2" t="s">
        <v>532</v>
      </c>
      <c r="HC91" s="2" t="s">
        <v>1389</v>
      </c>
    </row>
    <row r="92" spans="1:211" x14ac:dyDescent="0.45">
      <c r="A92" s="2" t="s">
        <v>1392</v>
      </c>
      <c r="B92" s="2">
        <v>90</v>
      </c>
      <c r="C92" s="2" t="s">
        <v>1142</v>
      </c>
      <c r="D92" s="2" t="s">
        <v>118</v>
      </c>
      <c r="G92" s="2"/>
      <c r="I92" s="2" t="s">
        <v>119</v>
      </c>
      <c r="J92" s="2" t="s">
        <v>1391</v>
      </c>
      <c r="K92" s="2">
        <v>415</v>
      </c>
      <c r="L92" s="2">
        <v>0</v>
      </c>
      <c r="M92" s="2" t="s">
        <v>122</v>
      </c>
      <c r="N92" s="2" t="s">
        <v>123</v>
      </c>
      <c r="P92" s="2"/>
      <c r="AD92" s="2" t="s">
        <v>124</v>
      </c>
      <c r="AE92" s="2" t="s">
        <v>191</v>
      </c>
      <c r="AF92" s="2">
        <v>2012</v>
      </c>
      <c r="AG92" s="2" t="s">
        <v>126</v>
      </c>
      <c r="AH92" s="2" t="s">
        <v>1393</v>
      </c>
      <c r="AI92" s="2" t="s">
        <v>162</v>
      </c>
      <c r="AJ92" s="2" t="s">
        <v>150</v>
      </c>
      <c r="AK92" s="2" t="s">
        <v>150</v>
      </c>
      <c r="AL92" s="2" t="s">
        <v>236</v>
      </c>
      <c r="AM92" s="2" t="s">
        <v>236</v>
      </c>
      <c r="AN92" s="2" t="s">
        <v>1340</v>
      </c>
      <c r="AO92" s="2" t="s">
        <v>302</v>
      </c>
      <c r="AP92" s="2" t="s">
        <v>153</v>
      </c>
      <c r="AQ92" s="2" t="s">
        <v>1394</v>
      </c>
      <c r="AR92" s="2" t="s">
        <v>1395</v>
      </c>
      <c r="AS92" s="2" t="s">
        <v>1396</v>
      </c>
      <c r="AU92" s="2" t="s">
        <v>1397</v>
      </c>
      <c r="AV92" s="2" t="s">
        <v>123</v>
      </c>
      <c r="AW92" s="2" t="s">
        <v>132</v>
      </c>
      <c r="CP92" s="2" t="s">
        <v>123</v>
      </c>
      <c r="CZ92" s="2" t="s">
        <v>123</v>
      </c>
      <c r="DJ92" s="2" t="s">
        <v>123</v>
      </c>
      <c r="EM92" s="2" t="s">
        <v>123</v>
      </c>
      <c r="FM92" s="2" t="s">
        <v>123</v>
      </c>
      <c r="GU92" s="2" t="s">
        <v>1398</v>
      </c>
      <c r="GV92" s="2" t="s">
        <v>1399</v>
      </c>
      <c r="GW92" s="2" t="s">
        <v>1400</v>
      </c>
      <c r="GX92" s="2" t="s">
        <v>140</v>
      </c>
      <c r="GY92" s="2">
        <v>1985</v>
      </c>
      <c r="GZ92" s="2" t="s">
        <v>141</v>
      </c>
      <c r="HB92" s="2" t="s">
        <v>1401</v>
      </c>
    </row>
    <row r="93" spans="1:211" x14ac:dyDescent="0.45">
      <c r="A93" s="2" t="s">
        <v>1404</v>
      </c>
      <c r="B93" s="2">
        <v>91</v>
      </c>
      <c r="C93" s="2" t="s">
        <v>1131</v>
      </c>
      <c r="D93" s="2" t="s">
        <v>118</v>
      </c>
      <c r="G93" s="2"/>
      <c r="I93" s="2" t="s">
        <v>119</v>
      </c>
      <c r="J93" s="2" t="s">
        <v>1403</v>
      </c>
      <c r="K93" s="2">
        <v>325</v>
      </c>
      <c r="L93" s="2">
        <v>0</v>
      </c>
      <c r="M93" s="2" t="s">
        <v>122</v>
      </c>
      <c r="N93" s="2" t="s">
        <v>123</v>
      </c>
      <c r="P93" s="2"/>
      <c r="AD93" s="2" t="s">
        <v>124</v>
      </c>
      <c r="AE93" s="2" t="s">
        <v>742</v>
      </c>
      <c r="AF93" s="2">
        <v>2013</v>
      </c>
      <c r="AG93" s="2" t="s">
        <v>148</v>
      </c>
      <c r="AH93" s="2" t="s">
        <v>958</v>
      </c>
      <c r="AI93" s="2" t="s">
        <v>128</v>
      </c>
      <c r="AJ93" s="2" t="s">
        <v>128</v>
      </c>
      <c r="AK93" s="2" t="s">
        <v>162</v>
      </c>
      <c r="AL93" s="2" t="s">
        <v>151</v>
      </c>
      <c r="AM93" s="2" t="s">
        <v>151</v>
      </c>
      <c r="AN93" s="2">
        <v>3</v>
      </c>
      <c r="AO93" s="2" t="s">
        <v>131</v>
      </c>
      <c r="AP93" s="2" t="s">
        <v>153</v>
      </c>
      <c r="AQ93" s="2" t="s">
        <v>1405</v>
      </c>
      <c r="AR93" s="2" t="s">
        <v>1406</v>
      </c>
      <c r="AS93" s="2" t="s">
        <v>1407</v>
      </c>
      <c r="AT93" s="2" t="s">
        <v>157</v>
      </c>
      <c r="AV93" s="2" t="s">
        <v>123</v>
      </c>
      <c r="AW93" s="2" t="s">
        <v>132</v>
      </c>
      <c r="CP93" s="2" t="s">
        <v>123</v>
      </c>
      <c r="CZ93" s="2" t="s">
        <v>123</v>
      </c>
      <c r="DJ93" s="2" t="s">
        <v>123</v>
      </c>
      <c r="EM93" s="2" t="s">
        <v>123</v>
      </c>
      <c r="FM93" s="2" t="s">
        <v>123</v>
      </c>
      <c r="GU93" s="2" t="s">
        <v>1408</v>
      </c>
      <c r="GV93" s="2" t="s">
        <v>1409</v>
      </c>
      <c r="GW93" s="2" t="s">
        <v>1410</v>
      </c>
      <c r="GX93" s="2" t="s">
        <v>140</v>
      </c>
      <c r="GY93" s="2">
        <v>1984</v>
      </c>
      <c r="GZ93" s="2" t="s">
        <v>398</v>
      </c>
      <c r="HB93" s="2" t="s">
        <v>1411</v>
      </c>
    </row>
    <row r="94" spans="1:211" x14ac:dyDescent="0.45">
      <c r="A94" s="2" t="s">
        <v>1414</v>
      </c>
      <c r="B94" s="2">
        <v>92</v>
      </c>
      <c r="C94" s="2" t="s">
        <v>1412</v>
      </c>
      <c r="D94" s="2" t="s">
        <v>118</v>
      </c>
      <c r="G94" s="2"/>
      <c r="I94" s="2" t="s">
        <v>119</v>
      </c>
      <c r="J94" s="2" t="s">
        <v>1413</v>
      </c>
      <c r="K94" s="2">
        <v>1007</v>
      </c>
      <c r="L94" s="2">
        <v>0</v>
      </c>
      <c r="M94" s="2" t="s">
        <v>122</v>
      </c>
      <c r="N94" s="2" t="s">
        <v>123</v>
      </c>
      <c r="P94" s="2"/>
      <c r="AD94" s="2" t="s">
        <v>124</v>
      </c>
      <c r="AE94" s="2" t="s">
        <v>1415</v>
      </c>
      <c r="AF94" s="2">
        <v>2006</v>
      </c>
      <c r="AG94" s="2" t="s">
        <v>148</v>
      </c>
      <c r="AH94" s="2" t="s">
        <v>263</v>
      </c>
      <c r="AI94" s="2" t="s">
        <v>169</v>
      </c>
      <c r="AJ94" s="2" t="s">
        <v>169</v>
      </c>
      <c r="AK94" s="2" t="s">
        <v>169</v>
      </c>
      <c r="AL94" s="2" t="s">
        <v>150</v>
      </c>
      <c r="AM94" s="2" t="s">
        <v>169</v>
      </c>
      <c r="AN94" s="2" t="s">
        <v>1416</v>
      </c>
      <c r="AO94" s="2" t="s">
        <v>131</v>
      </c>
      <c r="AP94" s="2" t="s">
        <v>153</v>
      </c>
      <c r="AQ94" s="2" t="s">
        <v>1417</v>
      </c>
      <c r="AR94" s="2" t="s">
        <v>1418</v>
      </c>
      <c r="AS94" s="2" t="s">
        <v>1419</v>
      </c>
      <c r="AU94" s="2" t="s">
        <v>1420</v>
      </c>
      <c r="AV94" s="2" t="s">
        <v>123</v>
      </c>
      <c r="CP94" s="2" t="s">
        <v>123</v>
      </c>
      <c r="CZ94" s="2" t="s">
        <v>123</v>
      </c>
      <c r="DJ94" s="2" t="s">
        <v>123</v>
      </c>
      <c r="EM94" s="2" t="s">
        <v>123</v>
      </c>
      <c r="FM94" s="2" t="s">
        <v>123</v>
      </c>
      <c r="GU94" s="2" t="s">
        <v>1421</v>
      </c>
      <c r="GV94" s="2" t="s">
        <v>1422</v>
      </c>
      <c r="GW94" s="2" t="s">
        <v>142</v>
      </c>
      <c r="GX94" s="2" t="s">
        <v>140</v>
      </c>
      <c r="GY94" s="2">
        <v>1983</v>
      </c>
      <c r="GZ94" s="2" t="s">
        <v>141</v>
      </c>
      <c r="HB94" s="2" t="s">
        <v>1423</v>
      </c>
      <c r="HC94" s="2" t="s">
        <v>132</v>
      </c>
    </row>
    <row r="95" spans="1:211" x14ac:dyDescent="0.45">
      <c r="A95" s="2" t="s">
        <v>1427</v>
      </c>
      <c r="B95" s="2">
        <v>93</v>
      </c>
      <c r="C95" s="2" t="s">
        <v>1352</v>
      </c>
      <c r="D95" s="2" t="s">
        <v>118</v>
      </c>
      <c r="G95" s="2"/>
      <c r="I95" s="2" t="s">
        <v>119</v>
      </c>
      <c r="J95" s="2" t="s">
        <v>1426</v>
      </c>
      <c r="K95" s="2">
        <v>490</v>
      </c>
      <c r="L95" s="2">
        <v>0</v>
      </c>
      <c r="M95" s="2" t="s">
        <v>122</v>
      </c>
      <c r="N95" s="2" t="s">
        <v>123</v>
      </c>
      <c r="P95" s="2"/>
      <c r="AD95" s="2" t="s">
        <v>124</v>
      </c>
      <c r="AE95" s="2" t="s">
        <v>1415</v>
      </c>
      <c r="AF95" s="2">
        <v>2006</v>
      </c>
      <c r="AG95" s="2" t="s">
        <v>126</v>
      </c>
      <c r="AH95" s="2" t="s">
        <v>192</v>
      </c>
      <c r="AI95" s="2" t="s">
        <v>150</v>
      </c>
      <c r="AJ95" s="2" t="s">
        <v>150</v>
      </c>
      <c r="AK95" s="2" t="s">
        <v>169</v>
      </c>
      <c r="AL95" s="2" t="s">
        <v>150</v>
      </c>
      <c r="AM95" s="2" t="s">
        <v>150</v>
      </c>
      <c r="AN95" s="2" t="s">
        <v>237</v>
      </c>
      <c r="AO95" s="2" t="s">
        <v>226</v>
      </c>
      <c r="AP95" s="2" t="s">
        <v>1428</v>
      </c>
      <c r="AQ95" s="2" t="s">
        <v>1429</v>
      </c>
      <c r="AR95" s="2" t="s">
        <v>1430</v>
      </c>
      <c r="AS95" s="2" t="s">
        <v>1431</v>
      </c>
      <c r="AT95" s="2" t="s">
        <v>157</v>
      </c>
      <c r="AV95" s="2" t="s">
        <v>123</v>
      </c>
      <c r="AW95" s="2" t="s">
        <v>132</v>
      </c>
      <c r="CP95" s="2" t="s">
        <v>123</v>
      </c>
      <c r="CZ95" s="2" t="s">
        <v>123</v>
      </c>
      <c r="DJ95" s="2" t="s">
        <v>123</v>
      </c>
      <c r="EM95" s="2" t="s">
        <v>123</v>
      </c>
      <c r="FM95" s="2" t="s">
        <v>123</v>
      </c>
      <c r="GU95" s="2" t="s">
        <v>1432</v>
      </c>
      <c r="GV95" s="2" t="s">
        <v>1433</v>
      </c>
      <c r="GW95" s="2" t="s">
        <v>1434</v>
      </c>
      <c r="GX95" s="2" t="s">
        <v>186</v>
      </c>
      <c r="GY95" s="2">
        <v>1982</v>
      </c>
      <c r="GZ95" s="2" t="s">
        <v>141</v>
      </c>
    </row>
    <row r="96" spans="1:211" x14ac:dyDescent="0.45">
      <c r="A96" s="2" t="s">
        <v>1438</v>
      </c>
      <c r="B96" s="2">
        <v>94</v>
      </c>
      <c r="C96" s="2" t="s">
        <v>1436</v>
      </c>
      <c r="D96" s="2" t="s">
        <v>118</v>
      </c>
      <c r="G96" s="2"/>
      <c r="I96" s="2" t="s">
        <v>119</v>
      </c>
      <c r="J96" s="2" t="s">
        <v>1437</v>
      </c>
      <c r="K96" s="2">
        <v>880</v>
      </c>
      <c r="L96" s="2">
        <v>0</v>
      </c>
      <c r="M96" s="2" t="s">
        <v>122</v>
      </c>
      <c r="N96" s="2" t="s">
        <v>123</v>
      </c>
      <c r="P96" s="2"/>
      <c r="AD96" s="2" t="s">
        <v>124</v>
      </c>
      <c r="AE96" s="2" t="s">
        <v>1439</v>
      </c>
      <c r="AF96" s="2">
        <v>2019</v>
      </c>
      <c r="AG96" s="2" t="s">
        <v>148</v>
      </c>
      <c r="AH96" s="2" t="s">
        <v>1440</v>
      </c>
      <c r="AI96" s="2" t="s">
        <v>128</v>
      </c>
      <c r="AJ96" s="2" t="s">
        <v>128</v>
      </c>
      <c r="AK96" s="2" t="s">
        <v>150</v>
      </c>
      <c r="AL96" s="2" t="s">
        <v>169</v>
      </c>
      <c r="AM96" s="2" t="s">
        <v>169</v>
      </c>
      <c r="AN96" s="2" t="s">
        <v>1441</v>
      </c>
      <c r="AO96" s="2" t="s">
        <v>302</v>
      </c>
      <c r="AP96" s="2" t="s">
        <v>226</v>
      </c>
      <c r="AQ96" s="2" t="s">
        <v>1442</v>
      </c>
      <c r="AR96" s="2" t="s">
        <v>1443</v>
      </c>
      <c r="AS96" s="2" t="s">
        <v>1444</v>
      </c>
      <c r="AT96" s="2" t="s">
        <v>230</v>
      </c>
      <c r="AV96" s="2" t="s">
        <v>123</v>
      </c>
      <c r="AW96" s="2" t="s">
        <v>132</v>
      </c>
      <c r="CP96" s="2" t="s">
        <v>123</v>
      </c>
      <c r="CZ96" s="2" t="s">
        <v>123</v>
      </c>
      <c r="DJ96" s="2" t="s">
        <v>123</v>
      </c>
      <c r="EM96" s="2" t="s">
        <v>123</v>
      </c>
      <c r="EN96" s="2" t="s">
        <v>178</v>
      </c>
      <c r="FM96" s="2" t="s">
        <v>123</v>
      </c>
      <c r="GU96" s="2" t="s">
        <v>1445</v>
      </c>
      <c r="GV96" s="2" t="s">
        <v>1446</v>
      </c>
      <c r="GW96" s="2" t="s">
        <v>1447</v>
      </c>
      <c r="GX96" s="2" t="s">
        <v>140</v>
      </c>
      <c r="GY96" s="2">
        <v>1990</v>
      </c>
      <c r="GZ96" s="2" t="s">
        <v>398</v>
      </c>
      <c r="HB96" s="2" t="s">
        <v>1448</v>
      </c>
      <c r="HC96" s="2" t="s">
        <v>1449</v>
      </c>
    </row>
    <row r="97" spans="1:212" x14ac:dyDescent="0.45">
      <c r="A97" s="2" t="s">
        <v>1451</v>
      </c>
      <c r="B97" s="2">
        <v>95</v>
      </c>
      <c r="C97" s="2" t="s">
        <v>1352</v>
      </c>
      <c r="D97" s="2" t="s">
        <v>118</v>
      </c>
      <c r="G97" s="2"/>
      <c r="I97" s="2" t="s">
        <v>119</v>
      </c>
      <c r="J97" s="2" t="s">
        <v>1450</v>
      </c>
      <c r="K97" s="2">
        <v>402</v>
      </c>
      <c r="L97" s="2">
        <v>0</v>
      </c>
      <c r="M97" s="2" t="s">
        <v>122</v>
      </c>
      <c r="N97" s="2" t="s">
        <v>123</v>
      </c>
      <c r="P97" s="2"/>
      <c r="AD97" s="2" t="s">
        <v>124</v>
      </c>
      <c r="AE97" s="2" t="s">
        <v>223</v>
      </c>
      <c r="AF97" s="2">
        <v>2008</v>
      </c>
      <c r="AG97" s="2" t="s">
        <v>148</v>
      </c>
      <c r="AH97" s="2" t="s">
        <v>1452</v>
      </c>
      <c r="AI97" s="2" t="s">
        <v>128</v>
      </c>
      <c r="AJ97" s="2" t="s">
        <v>236</v>
      </c>
      <c r="AK97" s="2" t="s">
        <v>129</v>
      </c>
      <c r="AL97" s="2" t="s">
        <v>129</v>
      </c>
      <c r="AM97" s="2" t="s">
        <v>128</v>
      </c>
      <c r="AN97" s="2" t="s">
        <v>237</v>
      </c>
      <c r="AO97" s="2" t="s">
        <v>131</v>
      </c>
      <c r="AP97" s="2" t="s">
        <v>131</v>
      </c>
      <c r="AQ97" s="2" t="s">
        <v>1453</v>
      </c>
      <c r="AR97" s="2" t="s">
        <v>1454</v>
      </c>
      <c r="AS97" s="2" t="s">
        <v>1005</v>
      </c>
      <c r="AT97" s="2" t="s">
        <v>157</v>
      </c>
      <c r="AV97" s="2" t="s">
        <v>123</v>
      </c>
      <c r="AW97" s="2" t="s">
        <v>132</v>
      </c>
      <c r="CP97" s="2" t="s">
        <v>123</v>
      </c>
      <c r="CZ97" s="2" t="s">
        <v>123</v>
      </c>
      <c r="DJ97" s="2" t="s">
        <v>123</v>
      </c>
      <c r="EM97" s="2" t="s">
        <v>123</v>
      </c>
      <c r="FM97" s="2" t="s">
        <v>123</v>
      </c>
      <c r="GU97" s="2" t="s">
        <v>1455</v>
      </c>
      <c r="GV97" s="2" t="s">
        <v>1456</v>
      </c>
      <c r="GW97" s="2" t="s">
        <v>1457</v>
      </c>
      <c r="GX97" s="2" t="s">
        <v>140</v>
      </c>
      <c r="GY97" s="2">
        <v>1984</v>
      </c>
      <c r="GZ97" s="2" t="s">
        <v>220</v>
      </c>
      <c r="HB97" s="2" t="s">
        <v>386</v>
      </c>
      <c r="HC97" s="2" t="s">
        <v>386</v>
      </c>
    </row>
    <row r="98" spans="1:212" x14ac:dyDescent="0.45">
      <c r="A98" s="2" t="s">
        <v>1460</v>
      </c>
      <c r="B98" s="2">
        <v>96</v>
      </c>
      <c r="C98" s="2" t="s">
        <v>1131</v>
      </c>
      <c r="D98" s="2" t="s">
        <v>118</v>
      </c>
      <c r="G98" s="2"/>
      <c r="I98" s="2" t="s">
        <v>119</v>
      </c>
      <c r="J98" s="2" t="s">
        <v>1459</v>
      </c>
      <c r="K98" s="2">
        <v>665</v>
      </c>
      <c r="L98" s="2">
        <v>0</v>
      </c>
      <c r="M98" s="2" t="s">
        <v>122</v>
      </c>
      <c r="N98" s="2" t="s">
        <v>123</v>
      </c>
      <c r="P98" s="2"/>
      <c r="AD98" s="2" t="s">
        <v>124</v>
      </c>
      <c r="AE98" s="2" t="s">
        <v>1461</v>
      </c>
      <c r="AF98" s="2">
        <v>2007</v>
      </c>
      <c r="AG98" s="2" t="s">
        <v>148</v>
      </c>
      <c r="AH98" s="2" t="s">
        <v>1462</v>
      </c>
      <c r="AI98" s="2" t="s">
        <v>162</v>
      </c>
      <c r="AJ98" s="2" t="s">
        <v>151</v>
      </c>
      <c r="AK98" s="2" t="s">
        <v>151</v>
      </c>
      <c r="AL98" s="2" t="s">
        <v>150</v>
      </c>
      <c r="AM98" s="2" t="s">
        <v>128</v>
      </c>
      <c r="AN98" s="2">
        <v>2</v>
      </c>
      <c r="AO98" s="2" t="s">
        <v>302</v>
      </c>
      <c r="AP98" s="2" t="s">
        <v>302</v>
      </c>
      <c r="AQ98" s="2" t="s">
        <v>1463</v>
      </c>
      <c r="AR98" s="2" t="s">
        <v>1464</v>
      </c>
      <c r="AS98" s="2" t="s">
        <v>1465</v>
      </c>
      <c r="AT98" s="2" t="s">
        <v>157</v>
      </c>
      <c r="AV98" s="2" t="s">
        <v>123</v>
      </c>
      <c r="CP98" s="2" t="s">
        <v>123</v>
      </c>
      <c r="CZ98" s="2" t="s">
        <v>123</v>
      </c>
      <c r="DJ98" s="2" t="s">
        <v>123</v>
      </c>
      <c r="EM98" s="2" t="s">
        <v>123</v>
      </c>
      <c r="FM98" s="2" t="s">
        <v>123</v>
      </c>
      <c r="GU98" s="2" t="s">
        <v>1466</v>
      </c>
      <c r="GV98" s="2" t="s">
        <v>1467</v>
      </c>
      <c r="GW98" s="2" t="s">
        <v>1468</v>
      </c>
      <c r="GX98" s="2" t="s">
        <v>140</v>
      </c>
      <c r="GY98" s="2">
        <v>1982</v>
      </c>
      <c r="GZ98" s="2" t="s">
        <v>398</v>
      </c>
      <c r="HB98" s="2" t="s">
        <v>1469</v>
      </c>
    </row>
    <row r="99" spans="1:212" x14ac:dyDescent="0.45">
      <c r="A99" s="2" t="s">
        <v>1471</v>
      </c>
      <c r="B99" s="2">
        <v>97</v>
      </c>
      <c r="C99" s="2" t="s">
        <v>1352</v>
      </c>
      <c r="D99" s="2" t="s">
        <v>118</v>
      </c>
      <c r="G99" s="2"/>
      <c r="I99" s="2" t="s">
        <v>119</v>
      </c>
      <c r="J99" s="2" t="s">
        <v>1470</v>
      </c>
      <c r="K99" s="2">
        <v>495</v>
      </c>
      <c r="L99" s="2">
        <v>0</v>
      </c>
      <c r="M99" s="2" t="s">
        <v>122</v>
      </c>
      <c r="N99" s="2" t="s">
        <v>123</v>
      </c>
      <c r="P99" s="2"/>
      <c r="AD99" s="2" t="s">
        <v>124</v>
      </c>
      <c r="AE99" s="2" t="s">
        <v>1472</v>
      </c>
      <c r="AF99" s="2" t="s">
        <v>1473</v>
      </c>
      <c r="AG99" s="2" t="s">
        <v>148</v>
      </c>
      <c r="AH99" s="2" t="s">
        <v>1474</v>
      </c>
      <c r="AI99" s="2" t="s">
        <v>169</v>
      </c>
      <c r="AJ99" s="2" t="s">
        <v>169</v>
      </c>
      <c r="AK99" s="2" t="s">
        <v>151</v>
      </c>
      <c r="AL99" s="2" t="s">
        <v>162</v>
      </c>
      <c r="AM99" s="2" t="s">
        <v>162</v>
      </c>
      <c r="AN99" s="2" t="s">
        <v>1475</v>
      </c>
      <c r="AO99" s="2" t="s">
        <v>132</v>
      </c>
      <c r="AP99" s="2" t="s">
        <v>132</v>
      </c>
      <c r="AQ99" s="2" t="s">
        <v>1476</v>
      </c>
      <c r="AR99" s="2" t="s">
        <v>1477</v>
      </c>
      <c r="AS99" s="2" t="s">
        <v>1473</v>
      </c>
      <c r="AT99" s="2" t="s">
        <v>157</v>
      </c>
      <c r="AV99" s="2" t="s">
        <v>123</v>
      </c>
      <c r="AW99" s="2" t="s">
        <v>132</v>
      </c>
      <c r="CP99" s="2" t="s">
        <v>123</v>
      </c>
      <c r="CZ99" s="2" t="s">
        <v>123</v>
      </c>
      <c r="DJ99" s="2" t="s">
        <v>123</v>
      </c>
      <c r="EM99" s="2" t="s">
        <v>123</v>
      </c>
      <c r="FM99" s="2" t="s">
        <v>123</v>
      </c>
      <c r="GU99" s="2" t="s">
        <v>1478</v>
      </c>
      <c r="GV99" s="2" t="s">
        <v>1478</v>
      </c>
      <c r="GW99" s="2" t="s">
        <v>1473</v>
      </c>
      <c r="GX99" s="2" t="s">
        <v>140</v>
      </c>
      <c r="GY99" s="2" t="s">
        <v>1473</v>
      </c>
      <c r="GZ99" s="2" t="s">
        <v>398</v>
      </c>
      <c r="HB99" s="2" t="s">
        <v>1479</v>
      </c>
      <c r="HC99" s="2" t="s">
        <v>1473</v>
      </c>
      <c r="HD99" s="2" t="s">
        <v>1473</v>
      </c>
    </row>
    <row r="100" spans="1:212" x14ac:dyDescent="0.45">
      <c r="A100" s="2" t="s">
        <v>1482</v>
      </c>
      <c r="B100" s="2">
        <v>98</v>
      </c>
      <c r="C100" s="2" t="s">
        <v>1336</v>
      </c>
      <c r="D100" s="2" t="s">
        <v>118</v>
      </c>
      <c r="G100" s="2"/>
      <c r="I100" s="2" t="s">
        <v>119</v>
      </c>
      <c r="J100" s="2" t="s">
        <v>1481</v>
      </c>
      <c r="K100" s="2">
        <v>562</v>
      </c>
      <c r="L100" s="2">
        <v>0</v>
      </c>
      <c r="M100" s="2" t="s">
        <v>122</v>
      </c>
      <c r="N100" s="2" t="s">
        <v>123</v>
      </c>
      <c r="P100" s="2"/>
      <c r="AD100" s="2" t="s">
        <v>124</v>
      </c>
      <c r="AE100" s="2" t="s">
        <v>223</v>
      </c>
      <c r="AF100" s="2">
        <v>2014</v>
      </c>
      <c r="AG100" s="2" t="s">
        <v>148</v>
      </c>
      <c r="AH100" s="2" t="s">
        <v>1483</v>
      </c>
      <c r="AI100" s="2" t="s">
        <v>151</v>
      </c>
      <c r="AJ100" s="2" t="s">
        <v>128</v>
      </c>
      <c r="AK100" s="2" t="s">
        <v>128</v>
      </c>
      <c r="AL100" s="2" t="s">
        <v>151</v>
      </c>
      <c r="AM100" s="2" t="s">
        <v>162</v>
      </c>
      <c r="AN100" s="2" t="s">
        <v>1484</v>
      </c>
      <c r="AO100" s="2" t="s">
        <v>153</v>
      </c>
      <c r="AP100" s="2" t="s">
        <v>153</v>
      </c>
      <c r="AR100" s="2" t="s">
        <v>1485</v>
      </c>
      <c r="AS100" s="2" t="s">
        <v>1486</v>
      </c>
      <c r="AT100" s="2" t="s">
        <v>172</v>
      </c>
      <c r="AV100" s="2" t="s">
        <v>123</v>
      </c>
      <c r="AW100" s="2" t="s">
        <v>132</v>
      </c>
      <c r="CP100" s="2" t="s">
        <v>123</v>
      </c>
      <c r="CZ100" s="2" t="s">
        <v>123</v>
      </c>
      <c r="DJ100" s="2" t="s">
        <v>123</v>
      </c>
      <c r="EM100" s="2" t="s">
        <v>123</v>
      </c>
      <c r="FM100" s="2" t="s">
        <v>123</v>
      </c>
      <c r="GU100" s="2" t="s">
        <v>1487</v>
      </c>
      <c r="GV100" s="2" t="s">
        <v>1488</v>
      </c>
      <c r="GW100" s="2" t="s">
        <v>1489</v>
      </c>
      <c r="GX100" s="2" t="s">
        <v>140</v>
      </c>
      <c r="GY100" s="2">
        <v>1991</v>
      </c>
      <c r="GZ100" s="2" t="s">
        <v>141</v>
      </c>
    </row>
    <row r="101" spans="1:212" x14ac:dyDescent="0.45">
      <c r="A101" s="2" t="s">
        <v>1494</v>
      </c>
      <c r="B101" s="2">
        <v>99</v>
      </c>
      <c r="C101" s="2" t="s">
        <v>1131</v>
      </c>
      <c r="D101" s="2" t="s">
        <v>118</v>
      </c>
      <c r="G101" s="2"/>
      <c r="I101" s="2" t="s">
        <v>119</v>
      </c>
      <c r="J101" s="2" t="s">
        <v>1493</v>
      </c>
      <c r="K101" s="2">
        <v>2185</v>
      </c>
      <c r="L101" s="2">
        <v>0</v>
      </c>
      <c r="M101" s="2" t="s">
        <v>122</v>
      </c>
      <c r="N101" s="2" t="s">
        <v>123</v>
      </c>
      <c r="P101" s="2"/>
      <c r="AD101" s="2" t="s">
        <v>124</v>
      </c>
      <c r="AE101" s="2" t="s">
        <v>223</v>
      </c>
      <c r="AF101" s="2">
        <v>2005</v>
      </c>
      <c r="AG101" s="2" t="s">
        <v>148</v>
      </c>
      <c r="AH101" s="2" t="s">
        <v>1495</v>
      </c>
      <c r="AI101" s="2" t="s">
        <v>150</v>
      </c>
      <c r="AJ101" s="2" t="s">
        <v>169</v>
      </c>
      <c r="AK101" s="2" t="s">
        <v>169</v>
      </c>
      <c r="AL101" s="2" t="s">
        <v>169</v>
      </c>
      <c r="AM101" s="2" t="s">
        <v>150</v>
      </c>
      <c r="AN101" s="2" t="s">
        <v>237</v>
      </c>
      <c r="AO101" s="2" t="s">
        <v>131</v>
      </c>
      <c r="AP101" s="2" t="s">
        <v>302</v>
      </c>
      <c r="AR101" s="2" t="s">
        <v>1496</v>
      </c>
      <c r="AS101" s="2" t="s">
        <v>386</v>
      </c>
      <c r="AT101" s="2" t="s">
        <v>230</v>
      </c>
      <c r="AV101" s="2" t="s">
        <v>123</v>
      </c>
      <c r="CP101" s="2" t="s">
        <v>123</v>
      </c>
      <c r="CZ101" s="2" t="s">
        <v>123</v>
      </c>
      <c r="DJ101" s="2" t="s">
        <v>123</v>
      </c>
      <c r="EM101" s="2" t="s">
        <v>123</v>
      </c>
      <c r="EN101" s="2" t="s">
        <v>178</v>
      </c>
      <c r="FM101" s="2" t="s">
        <v>123</v>
      </c>
      <c r="GU101" s="2" t="s">
        <v>1497</v>
      </c>
      <c r="GV101" s="2" t="s">
        <v>1497</v>
      </c>
      <c r="GW101" s="2" t="s">
        <v>1497</v>
      </c>
      <c r="GX101" s="2" t="s">
        <v>186</v>
      </c>
      <c r="GY101" s="2">
        <v>1981</v>
      </c>
      <c r="GZ101" s="2" t="s">
        <v>246</v>
      </c>
    </row>
    <row r="102" spans="1:212" x14ac:dyDescent="0.45">
      <c r="A102" s="2" t="s">
        <v>1502</v>
      </c>
      <c r="B102" s="2">
        <v>100</v>
      </c>
      <c r="C102" s="2" t="s">
        <v>1131</v>
      </c>
      <c r="D102" s="2" t="s">
        <v>118</v>
      </c>
      <c r="G102" s="2"/>
      <c r="I102" s="2" t="s">
        <v>119</v>
      </c>
      <c r="J102" s="2" t="s">
        <v>1501</v>
      </c>
      <c r="K102" s="2">
        <v>1485</v>
      </c>
      <c r="L102" s="2">
        <v>0</v>
      </c>
      <c r="M102" s="2" t="s">
        <v>122</v>
      </c>
      <c r="N102" s="2" t="s">
        <v>123</v>
      </c>
      <c r="P102" s="2"/>
      <c r="AD102" s="2" t="s">
        <v>124</v>
      </c>
      <c r="AE102" s="2" t="s">
        <v>1503</v>
      </c>
      <c r="AF102" s="2">
        <v>2016</v>
      </c>
      <c r="AG102" s="2" t="s">
        <v>148</v>
      </c>
      <c r="AH102" s="2" t="s">
        <v>1504</v>
      </c>
      <c r="AI102" s="2" t="s">
        <v>150</v>
      </c>
      <c r="AJ102" s="2" t="s">
        <v>151</v>
      </c>
      <c r="AK102" s="2" t="s">
        <v>162</v>
      </c>
      <c r="AL102" s="2" t="s">
        <v>150</v>
      </c>
      <c r="AM102" s="2" t="s">
        <v>169</v>
      </c>
      <c r="AN102" s="2">
        <v>4</v>
      </c>
      <c r="AO102" s="2" t="s">
        <v>302</v>
      </c>
      <c r="AP102" s="2" t="s">
        <v>153</v>
      </c>
      <c r="AQ102" s="2" t="s">
        <v>1505</v>
      </c>
      <c r="AR102" s="2" t="s">
        <v>1506</v>
      </c>
      <c r="AS102" s="2" t="s">
        <v>1507</v>
      </c>
      <c r="AT102" s="2" t="s">
        <v>157</v>
      </c>
      <c r="AV102" s="2" t="s">
        <v>123</v>
      </c>
      <c r="AW102" s="2" t="s">
        <v>132</v>
      </c>
      <c r="CP102" s="2" t="s">
        <v>123</v>
      </c>
      <c r="CZ102" s="2" t="s">
        <v>123</v>
      </c>
      <c r="DJ102" s="2" t="s">
        <v>123</v>
      </c>
      <c r="EM102" s="2" t="s">
        <v>123</v>
      </c>
      <c r="FM102" s="2" t="s">
        <v>123</v>
      </c>
      <c r="GU102" s="2" t="s">
        <v>1508</v>
      </c>
      <c r="GV102" s="2" t="s">
        <v>1509</v>
      </c>
      <c r="GW102" s="2" t="s">
        <v>1510</v>
      </c>
      <c r="GX102" s="2" t="s">
        <v>186</v>
      </c>
      <c r="GY102" s="2">
        <v>1991</v>
      </c>
      <c r="GZ102" s="2" t="s">
        <v>398</v>
      </c>
    </row>
    <row r="103" spans="1:212" x14ac:dyDescent="0.45">
      <c r="A103" s="2" t="s">
        <v>1513</v>
      </c>
      <c r="B103" s="2">
        <v>101</v>
      </c>
      <c r="C103" s="2" t="s">
        <v>1511</v>
      </c>
      <c r="D103" s="2" t="s">
        <v>118</v>
      </c>
      <c r="G103" s="2"/>
      <c r="I103" s="2" t="s">
        <v>119</v>
      </c>
      <c r="J103" s="2" t="s">
        <v>1512</v>
      </c>
      <c r="K103" s="2">
        <v>2685</v>
      </c>
      <c r="L103" s="2">
        <v>0</v>
      </c>
      <c r="M103" s="2" t="s">
        <v>122</v>
      </c>
      <c r="N103" s="2" t="s">
        <v>123</v>
      </c>
      <c r="P103" s="2"/>
      <c r="AD103" s="2" t="s">
        <v>124</v>
      </c>
      <c r="AE103" s="2" t="s">
        <v>1514</v>
      </c>
      <c r="AF103" s="2">
        <v>1996</v>
      </c>
      <c r="AG103" s="2" t="s">
        <v>148</v>
      </c>
      <c r="AH103" s="2" t="s">
        <v>1515</v>
      </c>
      <c r="AI103" s="2" t="s">
        <v>162</v>
      </c>
      <c r="AJ103" s="2" t="s">
        <v>151</v>
      </c>
      <c r="AK103" s="2" t="s">
        <v>162</v>
      </c>
      <c r="AL103" s="2" t="s">
        <v>162</v>
      </c>
      <c r="AM103" s="2" t="s">
        <v>151</v>
      </c>
      <c r="AN103" s="2" t="s">
        <v>1516</v>
      </c>
      <c r="AO103" s="2" t="s">
        <v>194</v>
      </c>
      <c r="AP103" s="2" t="s">
        <v>194</v>
      </c>
      <c r="AQ103" s="2" t="s">
        <v>1517</v>
      </c>
      <c r="AR103" s="2" t="s">
        <v>1518</v>
      </c>
      <c r="AS103" s="2" t="s">
        <v>1519</v>
      </c>
      <c r="AT103" s="2" t="s">
        <v>172</v>
      </c>
      <c r="AV103" s="2" t="s">
        <v>123</v>
      </c>
      <c r="AW103" s="2" t="s">
        <v>132</v>
      </c>
      <c r="CP103" s="2" t="s">
        <v>123</v>
      </c>
      <c r="CZ103" s="2" t="s">
        <v>123</v>
      </c>
      <c r="DJ103" s="2" t="s">
        <v>123</v>
      </c>
      <c r="EM103" s="2" t="s">
        <v>177</v>
      </c>
      <c r="EN103" s="2" t="s">
        <v>180</v>
      </c>
      <c r="EO103" s="2">
        <v>1</v>
      </c>
      <c r="EP103" s="2" t="s">
        <v>1520</v>
      </c>
      <c r="EQ103" s="2" t="s">
        <v>150</v>
      </c>
      <c r="ER103" s="2" t="s">
        <v>162</v>
      </c>
      <c r="ES103" s="2" t="s">
        <v>162</v>
      </c>
      <c r="ET103" s="2" t="s">
        <v>178</v>
      </c>
      <c r="EU103" s="2" t="s">
        <v>1521</v>
      </c>
      <c r="EV103" s="2" t="s">
        <v>1522</v>
      </c>
      <c r="EW103" s="2" t="s">
        <v>173</v>
      </c>
      <c r="FM103" s="2" t="s">
        <v>123</v>
      </c>
      <c r="GU103" s="2" t="s">
        <v>1523</v>
      </c>
      <c r="GV103" s="2" t="s">
        <v>1524</v>
      </c>
      <c r="GW103" s="2" t="s">
        <v>1525</v>
      </c>
      <c r="GX103" s="2" t="s">
        <v>186</v>
      </c>
      <c r="GY103" s="2">
        <v>1974</v>
      </c>
      <c r="GZ103" s="2" t="s">
        <v>398</v>
      </c>
      <c r="HB103" s="2" t="s">
        <v>1526</v>
      </c>
    </row>
    <row r="104" spans="1:212" x14ac:dyDescent="0.45">
      <c r="A104" s="2" t="s">
        <v>1529</v>
      </c>
      <c r="B104" s="2">
        <v>102</v>
      </c>
      <c r="C104" s="2" t="s">
        <v>1336</v>
      </c>
      <c r="D104" s="2" t="s">
        <v>118</v>
      </c>
      <c r="G104" s="2"/>
      <c r="I104" s="2" t="s">
        <v>119</v>
      </c>
      <c r="J104" s="2" t="s">
        <v>1528</v>
      </c>
      <c r="K104" s="2">
        <v>426</v>
      </c>
      <c r="L104" s="2">
        <v>0</v>
      </c>
      <c r="M104" s="2" t="s">
        <v>122</v>
      </c>
      <c r="N104" s="2" t="s">
        <v>416</v>
      </c>
      <c r="O104" s="2" t="s">
        <v>1439</v>
      </c>
      <c r="P104" s="2" t="s">
        <v>126</v>
      </c>
      <c r="Q104" s="2" t="s">
        <v>1530</v>
      </c>
      <c r="R104" s="2" t="s">
        <v>151</v>
      </c>
      <c r="S104" s="2" t="s">
        <v>162</v>
      </c>
      <c r="T104" s="2" t="s">
        <v>128</v>
      </c>
      <c r="U104" s="2" t="s">
        <v>1531</v>
      </c>
      <c r="V104" s="2" t="s">
        <v>194</v>
      </c>
      <c r="W104" s="2" t="s">
        <v>194</v>
      </c>
      <c r="X104" s="2" t="s">
        <v>1532</v>
      </c>
      <c r="Y104" s="2" t="s">
        <v>1533</v>
      </c>
      <c r="Z104" s="2" t="s">
        <v>1534</v>
      </c>
      <c r="AA104" s="2" t="s">
        <v>892</v>
      </c>
      <c r="AC104" s="2">
        <v>7</v>
      </c>
      <c r="AD104" s="2" t="s">
        <v>123</v>
      </c>
      <c r="AV104" s="2" t="s">
        <v>123</v>
      </c>
      <c r="AW104" s="2" t="s">
        <v>132</v>
      </c>
      <c r="CP104" s="2" t="s">
        <v>123</v>
      </c>
      <c r="CZ104" s="2" t="s">
        <v>123</v>
      </c>
      <c r="DJ104" s="2" t="s">
        <v>123</v>
      </c>
      <c r="EM104" s="2" t="s">
        <v>123</v>
      </c>
      <c r="EN104" s="2" t="s">
        <v>178</v>
      </c>
      <c r="EO104" s="2" t="s">
        <v>132</v>
      </c>
      <c r="FM104" s="2" t="s">
        <v>123</v>
      </c>
      <c r="GU104" s="2" t="s">
        <v>1535</v>
      </c>
      <c r="GV104" s="2" t="s">
        <v>1536</v>
      </c>
      <c r="GW104" s="2" t="s">
        <v>1537</v>
      </c>
      <c r="GX104" s="2" t="s">
        <v>140</v>
      </c>
      <c r="GY104" s="2">
        <v>1991</v>
      </c>
      <c r="GZ104" s="2" t="s">
        <v>141</v>
      </c>
      <c r="HB104" s="2" t="s">
        <v>1538</v>
      </c>
      <c r="HC104" s="2" t="s">
        <v>1539</v>
      </c>
    </row>
    <row r="105" spans="1:212" x14ac:dyDescent="0.45">
      <c r="A105" s="2" t="s">
        <v>1542</v>
      </c>
      <c r="B105" s="2">
        <v>103</v>
      </c>
      <c r="C105" s="2" t="s">
        <v>1540</v>
      </c>
      <c r="D105" s="2" t="s">
        <v>118</v>
      </c>
      <c r="G105" s="2"/>
      <c r="I105" s="2" t="s">
        <v>119</v>
      </c>
      <c r="J105" s="2" t="s">
        <v>1541</v>
      </c>
      <c r="K105" s="2">
        <v>193</v>
      </c>
      <c r="L105" s="2">
        <v>0</v>
      </c>
      <c r="M105" s="2" t="s">
        <v>122</v>
      </c>
      <c r="N105" s="2" t="s">
        <v>123</v>
      </c>
      <c r="P105" s="2"/>
      <c r="AD105" s="2" t="s">
        <v>124</v>
      </c>
      <c r="AE105" s="2" t="s">
        <v>1543</v>
      </c>
      <c r="AF105" s="2">
        <v>2013</v>
      </c>
      <c r="AG105" s="2" t="s">
        <v>126</v>
      </c>
      <c r="AH105" s="2" t="s">
        <v>1544</v>
      </c>
      <c r="AI105" s="2" t="s">
        <v>236</v>
      </c>
      <c r="AJ105" s="2" t="s">
        <v>236</v>
      </c>
      <c r="AK105" s="2" t="s">
        <v>162</v>
      </c>
      <c r="AL105" s="2" t="s">
        <v>236</v>
      </c>
      <c r="AM105" s="2" t="s">
        <v>236</v>
      </c>
      <c r="AN105" s="2">
        <v>1</v>
      </c>
      <c r="AO105" s="2" t="s">
        <v>131</v>
      </c>
      <c r="AP105" s="2" t="s">
        <v>302</v>
      </c>
      <c r="AR105" s="2" t="s">
        <v>267</v>
      </c>
      <c r="AS105" s="2" t="s">
        <v>267</v>
      </c>
      <c r="AT105" s="2" t="s">
        <v>157</v>
      </c>
      <c r="AV105" s="2" t="s">
        <v>123</v>
      </c>
      <c r="AW105" s="2" t="s">
        <v>132</v>
      </c>
      <c r="CP105" s="2" t="s">
        <v>123</v>
      </c>
      <c r="CZ105" s="2" t="s">
        <v>123</v>
      </c>
      <c r="DJ105" s="2" t="s">
        <v>123</v>
      </c>
      <c r="EM105" s="2" t="s">
        <v>123</v>
      </c>
      <c r="FM105" s="2" t="s">
        <v>123</v>
      </c>
      <c r="GU105" s="2" t="s">
        <v>267</v>
      </c>
      <c r="GV105" s="2" t="s">
        <v>267</v>
      </c>
      <c r="GW105" s="2" t="s">
        <v>267</v>
      </c>
      <c r="GX105" s="2" t="s">
        <v>186</v>
      </c>
      <c r="GY105" s="2">
        <v>1989</v>
      </c>
      <c r="GZ105" s="2" t="s">
        <v>141</v>
      </c>
      <c r="HB105" s="2" t="s">
        <v>267</v>
      </c>
      <c r="HC105" s="2" t="s">
        <v>267</v>
      </c>
      <c r="HD105" s="2" t="s">
        <v>267</v>
      </c>
    </row>
    <row r="106" spans="1:212" x14ac:dyDescent="0.45">
      <c r="A106" s="2" t="s">
        <v>1547</v>
      </c>
      <c r="B106" s="2">
        <v>104</v>
      </c>
      <c r="C106" s="2" t="s">
        <v>1545</v>
      </c>
      <c r="D106" s="2" t="s">
        <v>118</v>
      </c>
      <c r="G106" s="2"/>
      <c r="I106" s="2" t="s">
        <v>119</v>
      </c>
      <c r="J106" s="2" t="s">
        <v>1546</v>
      </c>
      <c r="K106" s="2">
        <v>1556</v>
      </c>
      <c r="L106" s="2">
        <v>0</v>
      </c>
      <c r="M106" s="2" t="s">
        <v>122</v>
      </c>
      <c r="N106" s="2" t="s">
        <v>123</v>
      </c>
      <c r="P106" s="2"/>
      <c r="AD106" s="2" t="s">
        <v>124</v>
      </c>
      <c r="AE106" s="2" t="s">
        <v>191</v>
      </c>
      <c r="AF106" s="2">
        <v>2018</v>
      </c>
      <c r="AG106" s="2" t="s">
        <v>126</v>
      </c>
      <c r="AH106" s="2" t="s">
        <v>192</v>
      </c>
      <c r="AI106" s="2" t="s">
        <v>150</v>
      </c>
      <c r="AJ106" s="2" t="s">
        <v>162</v>
      </c>
      <c r="AK106" s="2" t="s">
        <v>150</v>
      </c>
      <c r="AL106" s="2" t="s">
        <v>162</v>
      </c>
      <c r="AM106" s="2" t="s">
        <v>169</v>
      </c>
      <c r="AN106" s="2" t="s">
        <v>237</v>
      </c>
      <c r="AO106" s="2" t="s">
        <v>153</v>
      </c>
      <c r="AP106" s="2" t="s">
        <v>209</v>
      </c>
      <c r="AQ106" s="2" t="s">
        <v>1548</v>
      </c>
      <c r="AR106" s="2" t="s">
        <v>1549</v>
      </c>
      <c r="AS106" s="2" t="s">
        <v>1550</v>
      </c>
      <c r="AT106" s="2" t="s">
        <v>230</v>
      </c>
      <c r="AV106" s="2" t="s">
        <v>123</v>
      </c>
      <c r="CP106" s="2" t="s">
        <v>123</v>
      </c>
      <c r="CZ106" s="2" t="s">
        <v>123</v>
      </c>
      <c r="DJ106" s="2" t="s">
        <v>123</v>
      </c>
      <c r="EM106" s="2" t="s">
        <v>123</v>
      </c>
      <c r="FM106" s="2" t="s">
        <v>123</v>
      </c>
      <c r="GU106" s="2" t="s">
        <v>1551</v>
      </c>
      <c r="GV106" s="2" t="s">
        <v>1552</v>
      </c>
      <c r="GW106" s="2" t="s">
        <v>1553</v>
      </c>
      <c r="GX106" s="2" t="s">
        <v>186</v>
      </c>
      <c r="GY106" s="2">
        <v>1994</v>
      </c>
      <c r="GZ106" s="2" t="s">
        <v>483</v>
      </c>
      <c r="HB106" s="2" t="s">
        <v>1554</v>
      </c>
    </row>
    <row r="107" spans="1:212" x14ac:dyDescent="0.45">
      <c r="A107" s="2" t="s">
        <v>1557</v>
      </c>
      <c r="B107" s="2">
        <v>105</v>
      </c>
      <c r="C107" s="2" t="s">
        <v>1555</v>
      </c>
      <c r="D107" s="2" t="s">
        <v>118</v>
      </c>
      <c r="G107" s="2"/>
      <c r="I107" s="2" t="s">
        <v>119</v>
      </c>
      <c r="J107" s="2" t="s">
        <v>1556</v>
      </c>
      <c r="K107" s="2">
        <v>1119</v>
      </c>
      <c r="L107" s="2">
        <v>0</v>
      </c>
      <c r="M107" s="2" t="s">
        <v>122</v>
      </c>
      <c r="N107" s="2" t="s">
        <v>123</v>
      </c>
      <c r="P107" s="2"/>
      <c r="AD107" s="2" t="s">
        <v>124</v>
      </c>
      <c r="AE107" s="2" t="s">
        <v>191</v>
      </c>
      <c r="AF107" s="2">
        <v>1997</v>
      </c>
      <c r="AG107" s="2" t="s">
        <v>126</v>
      </c>
      <c r="AH107" s="2" t="s">
        <v>1558</v>
      </c>
      <c r="AI107" s="2" t="s">
        <v>150</v>
      </c>
      <c r="AJ107" s="2" t="s">
        <v>150</v>
      </c>
      <c r="AK107" s="2" t="s">
        <v>150</v>
      </c>
      <c r="AL107" s="2" t="s">
        <v>150</v>
      </c>
      <c r="AM107" s="2" t="s">
        <v>150</v>
      </c>
      <c r="AN107" s="2" t="s">
        <v>1559</v>
      </c>
      <c r="AO107" s="2" t="s">
        <v>132</v>
      </c>
      <c r="AP107" s="2" t="s">
        <v>132</v>
      </c>
      <c r="AQ107" s="2" t="s">
        <v>1560</v>
      </c>
      <c r="AR107" s="2" t="s">
        <v>1561</v>
      </c>
      <c r="AS107" s="2" t="s">
        <v>1562</v>
      </c>
      <c r="AT107" s="2" t="s">
        <v>172</v>
      </c>
      <c r="AV107" s="2" t="s">
        <v>123</v>
      </c>
      <c r="AW107" s="2" t="s">
        <v>132</v>
      </c>
      <c r="CP107" s="2" t="s">
        <v>123</v>
      </c>
      <c r="CZ107" s="2" t="s">
        <v>123</v>
      </c>
      <c r="DJ107" s="2" t="s">
        <v>123</v>
      </c>
      <c r="EM107" s="2" t="s">
        <v>123</v>
      </c>
      <c r="FM107" s="2" t="s">
        <v>123</v>
      </c>
      <c r="GU107" s="2" t="s">
        <v>1563</v>
      </c>
      <c r="GV107" s="2" t="s">
        <v>1564</v>
      </c>
      <c r="GW107" s="2" t="s">
        <v>1565</v>
      </c>
      <c r="GX107" s="2" t="s">
        <v>186</v>
      </c>
      <c r="GY107" s="2">
        <v>1972</v>
      </c>
      <c r="GZ107" s="2" t="s">
        <v>483</v>
      </c>
      <c r="HB107" s="2" t="s">
        <v>1566</v>
      </c>
      <c r="HC107" s="2" t="s">
        <v>142</v>
      </c>
    </row>
    <row r="108" spans="1:212" x14ac:dyDescent="0.45">
      <c r="A108" s="2" t="s">
        <v>1576</v>
      </c>
      <c r="B108" s="2">
        <v>106</v>
      </c>
      <c r="C108" s="2" t="s">
        <v>1574</v>
      </c>
      <c r="D108" s="2" t="s">
        <v>118</v>
      </c>
      <c r="G108" s="2"/>
      <c r="I108" s="2" t="s">
        <v>119</v>
      </c>
      <c r="J108" s="2" t="s">
        <v>1575</v>
      </c>
      <c r="K108" s="2">
        <v>701</v>
      </c>
      <c r="L108" s="2">
        <v>0</v>
      </c>
      <c r="M108" s="2" t="s">
        <v>122</v>
      </c>
      <c r="N108" s="2" t="s">
        <v>123</v>
      </c>
      <c r="P108" s="2"/>
      <c r="AD108" s="2" t="s">
        <v>124</v>
      </c>
      <c r="AE108" s="2" t="s">
        <v>191</v>
      </c>
      <c r="AF108" s="2" t="s">
        <v>1577</v>
      </c>
      <c r="AG108" s="2" t="s">
        <v>126</v>
      </c>
      <c r="AH108" s="2" t="s">
        <v>1578</v>
      </c>
      <c r="AI108" s="2" t="s">
        <v>162</v>
      </c>
      <c r="AJ108" s="2" t="s">
        <v>162</v>
      </c>
      <c r="AK108" s="2" t="s">
        <v>151</v>
      </c>
      <c r="AL108" s="2" t="s">
        <v>162</v>
      </c>
      <c r="AM108" s="2" t="s">
        <v>151</v>
      </c>
      <c r="AN108" s="2" t="s">
        <v>530</v>
      </c>
      <c r="AO108" s="2" t="s">
        <v>302</v>
      </c>
      <c r="AP108" s="2" t="s">
        <v>302</v>
      </c>
      <c r="AR108" s="2" t="s">
        <v>1579</v>
      </c>
      <c r="AS108" s="2" t="s">
        <v>1580</v>
      </c>
      <c r="AT108" s="2" t="s">
        <v>157</v>
      </c>
      <c r="AU108" s="2" t="s">
        <v>1581</v>
      </c>
      <c r="AV108" s="2" t="s">
        <v>123</v>
      </c>
      <c r="CP108" s="2" t="s">
        <v>123</v>
      </c>
      <c r="CZ108" s="2" t="s">
        <v>123</v>
      </c>
      <c r="DJ108" s="2" t="s">
        <v>123</v>
      </c>
      <c r="EM108" s="2" t="s">
        <v>123</v>
      </c>
      <c r="FM108" s="2" t="s">
        <v>123</v>
      </c>
      <c r="GU108" s="2" t="s">
        <v>1582</v>
      </c>
      <c r="GV108" s="2" t="s">
        <v>1583</v>
      </c>
      <c r="GW108" s="2" t="s">
        <v>1584</v>
      </c>
      <c r="GX108" s="2" t="s">
        <v>140</v>
      </c>
      <c r="GY108" s="2">
        <v>1985</v>
      </c>
      <c r="GZ108" s="2" t="s">
        <v>220</v>
      </c>
      <c r="HB108" s="2" t="s">
        <v>1585</v>
      </c>
      <c r="HC108" s="2" t="s">
        <v>1586</v>
      </c>
    </row>
    <row r="109" spans="1:212" x14ac:dyDescent="0.45">
      <c r="A109" s="2" t="s">
        <v>1589</v>
      </c>
      <c r="B109" s="2">
        <v>107</v>
      </c>
      <c r="C109" s="2" t="s">
        <v>1587</v>
      </c>
      <c r="D109" s="2" t="s">
        <v>118</v>
      </c>
      <c r="G109" s="2"/>
      <c r="I109" s="2" t="s">
        <v>119</v>
      </c>
      <c r="J109" s="2" t="s">
        <v>1588</v>
      </c>
      <c r="K109" s="2">
        <v>1788</v>
      </c>
      <c r="L109" s="2">
        <v>0</v>
      </c>
      <c r="M109" s="2" t="s">
        <v>122</v>
      </c>
      <c r="N109" s="2" t="s">
        <v>123</v>
      </c>
      <c r="P109" s="2"/>
      <c r="AD109" s="2" t="s">
        <v>124</v>
      </c>
      <c r="AE109" s="2" t="s">
        <v>747</v>
      </c>
      <c r="AF109" s="2">
        <v>1983</v>
      </c>
      <c r="AG109" s="2" t="s">
        <v>126</v>
      </c>
      <c r="AH109" s="2" t="s">
        <v>1590</v>
      </c>
      <c r="AI109" s="2" t="s">
        <v>150</v>
      </c>
      <c r="AJ109" s="2" t="s">
        <v>150</v>
      </c>
      <c r="AK109" s="2" t="s">
        <v>236</v>
      </c>
      <c r="AL109" s="2" t="s">
        <v>129</v>
      </c>
      <c r="AM109" s="2" t="s">
        <v>162</v>
      </c>
      <c r="AN109" s="2">
        <v>36</v>
      </c>
      <c r="AO109" s="2" t="s">
        <v>132</v>
      </c>
      <c r="AP109" s="2" t="s">
        <v>132</v>
      </c>
      <c r="AQ109" s="2" t="s">
        <v>1591</v>
      </c>
      <c r="AR109" s="2" t="s">
        <v>1592</v>
      </c>
      <c r="AS109" s="2" t="s">
        <v>1593</v>
      </c>
      <c r="AT109" s="2" t="s">
        <v>172</v>
      </c>
      <c r="AV109" s="2" t="s">
        <v>159</v>
      </c>
      <c r="AW109" s="2">
        <v>3</v>
      </c>
      <c r="AX109" s="2" t="s">
        <v>747</v>
      </c>
      <c r="AY109" s="2">
        <v>2019</v>
      </c>
      <c r="AZ109" s="2" t="s">
        <v>126</v>
      </c>
      <c r="BA109" s="2" t="s">
        <v>1594</v>
      </c>
      <c r="BB109" s="2" t="s">
        <v>236</v>
      </c>
      <c r="BC109" s="2" t="s">
        <v>128</v>
      </c>
      <c r="BD109" s="2" t="s">
        <v>162</v>
      </c>
      <c r="BE109" s="2" t="s">
        <v>151</v>
      </c>
      <c r="BF109" s="2" t="s">
        <v>132</v>
      </c>
      <c r="BG109" s="2" t="s">
        <v>1595</v>
      </c>
      <c r="BH109" s="2" t="s">
        <v>1596</v>
      </c>
      <c r="BI109" s="2" t="s">
        <v>157</v>
      </c>
      <c r="BL109" s="2" t="s">
        <v>173</v>
      </c>
      <c r="CP109" s="2" t="s">
        <v>123</v>
      </c>
      <c r="CZ109" s="2" t="s">
        <v>123</v>
      </c>
      <c r="DJ109" s="2" t="s">
        <v>123</v>
      </c>
      <c r="EM109" s="2" t="s">
        <v>177</v>
      </c>
      <c r="EN109" s="2" t="s">
        <v>178</v>
      </c>
      <c r="EO109" s="2">
        <v>2</v>
      </c>
      <c r="EP109" s="2" t="s">
        <v>747</v>
      </c>
      <c r="EQ109" s="2" t="s">
        <v>236</v>
      </c>
      <c r="ER109" s="2" t="s">
        <v>236</v>
      </c>
      <c r="ES109" s="2" t="s">
        <v>128</v>
      </c>
      <c r="ET109" s="2" t="s">
        <v>178</v>
      </c>
      <c r="EU109" s="2" t="s">
        <v>1597</v>
      </c>
      <c r="EV109" s="2" t="s">
        <v>1598</v>
      </c>
      <c r="EW109" s="2" t="s">
        <v>1206</v>
      </c>
      <c r="EX109" s="2" t="s">
        <v>1599</v>
      </c>
      <c r="EY109" s="2" t="s">
        <v>129</v>
      </c>
      <c r="EZ109" s="2" t="s">
        <v>129</v>
      </c>
      <c r="FA109" s="2" t="s">
        <v>236</v>
      </c>
      <c r="FB109" s="2" t="s">
        <v>178</v>
      </c>
      <c r="FC109" s="2" t="s">
        <v>1600</v>
      </c>
      <c r="FD109" s="2" t="s">
        <v>1601</v>
      </c>
      <c r="FE109" s="2" t="s">
        <v>173</v>
      </c>
      <c r="FM109" s="2" t="s">
        <v>123</v>
      </c>
      <c r="GU109" s="2" t="s">
        <v>1602</v>
      </c>
      <c r="GV109" s="2" t="s">
        <v>1603</v>
      </c>
      <c r="GW109" s="2" t="s">
        <v>1604</v>
      </c>
      <c r="GX109" s="2" t="s">
        <v>186</v>
      </c>
      <c r="GY109" s="2">
        <v>1959</v>
      </c>
      <c r="GZ109" s="2" t="s">
        <v>483</v>
      </c>
      <c r="HB109" s="2" t="s">
        <v>1605</v>
      </c>
      <c r="HC109" s="2" t="s">
        <v>1606</v>
      </c>
      <c r="HD109" s="2" t="s">
        <v>1607</v>
      </c>
    </row>
    <row r="110" spans="1:212" x14ac:dyDescent="0.45">
      <c r="A110" s="2" t="s">
        <v>1609</v>
      </c>
      <c r="B110" s="2">
        <v>108</v>
      </c>
      <c r="C110" s="2" t="s">
        <v>1352</v>
      </c>
      <c r="D110" s="2" t="s">
        <v>118</v>
      </c>
      <c r="G110" s="2"/>
      <c r="I110" s="2" t="s">
        <v>119</v>
      </c>
      <c r="J110" s="2" t="s">
        <v>1608</v>
      </c>
      <c r="K110" s="2">
        <v>4906</v>
      </c>
      <c r="L110" s="2">
        <v>0</v>
      </c>
      <c r="M110" s="2" t="s">
        <v>122</v>
      </c>
      <c r="N110" s="2" t="s">
        <v>123</v>
      </c>
      <c r="P110" s="2"/>
      <c r="AD110" s="2" t="s">
        <v>124</v>
      </c>
      <c r="AE110" s="2" t="s">
        <v>223</v>
      </c>
      <c r="AF110" s="2">
        <v>2009</v>
      </c>
      <c r="AG110" s="2" t="s">
        <v>148</v>
      </c>
      <c r="AH110" s="2" t="s">
        <v>554</v>
      </c>
      <c r="AI110" s="2" t="s">
        <v>162</v>
      </c>
      <c r="AJ110" s="2" t="s">
        <v>162</v>
      </c>
      <c r="AK110" s="2" t="s">
        <v>162</v>
      </c>
      <c r="AL110" s="2" t="s">
        <v>162</v>
      </c>
      <c r="AM110" s="2" t="s">
        <v>162</v>
      </c>
      <c r="AN110" s="2" t="s">
        <v>1610</v>
      </c>
      <c r="AO110" s="2" t="s">
        <v>302</v>
      </c>
      <c r="AP110" s="2" t="s">
        <v>153</v>
      </c>
      <c r="AR110" s="2" t="s">
        <v>1611</v>
      </c>
      <c r="AS110" s="2" t="s">
        <v>1612</v>
      </c>
      <c r="AU110" s="2" t="s">
        <v>1613</v>
      </c>
      <c r="AV110" s="2" t="s">
        <v>123</v>
      </c>
      <c r="AW110" s="2" t="s">
        <v>132</v>
      </c>
      <c r="CP110" s="2" t="s">
        <v>123</v>
      </c>
      <c r="CZ110" s="2" t="s">
        <v>123</v>
      </c>
      <c r="DJ110" s="2" t="s">
        <v>123</v>
      </c>
      <c r="EM110" s="2" t="s">
        <v>123</v>
      </c>
      <c r="EN110" s="2" t="s">
        <v>180</v>
      </c>
      <c r="EO110" s="2" t="s">
        <v>132</v>
      </c>
      <c r="FM110" s="2" t="s">
        <v>123</v>
      </c>
      <c r="GU110" s="2" t="s">
        <v>1614</v>
      </c>
      <c r="GV110" s="2" t="s">
        <v>1247</v>
      </c>
      <c r="GW110" s="2" t="s">
        <v>1247</v>
      </c>
      <c r="GX110" s="2" t="s">
        <v>140</v>
      </c>
      <c r="GY110" s="2">
        <v>1983</v>
      </c>
      <c r="GZ110" s="2" t="s">
        <v>220</v>
      </c>
      <c r="HB110" s="2" t="s">
        <v>1615</v>
      </c>
      <c r="HC110" s="2" t="s">
        <v>1615</v>
      </c>
    </row>
    <row r="111" spans="1:212" x14ac:dyDescent="0.45">
      <c r="A111" s="2" t="s">
        <v>1620</v>
      </c>
      <c r="B111" s="2">
        <v>109</v>
      </c>
      <c r="C111" s="2" t="s">
        <v>1618</v>
      </c>
      <c r="D111" s="2" t="s">
        <v>118</v>
      </c>
      <c r="G111" s="2"/>
      <c r="I111" s="2" t="s">
        <v>119</v>
      </c>
      <c r="J111" s="2" t="s">
        <v>1619</v>
      </c>
      <c r="K111" s="2">
        <v>1891</v>
      </c>
      <c r="L111" s="2">
        <v>0</v>
      </c>
      <c r="M111" s="2" t="s">
        <v>122</v>
      </c>
      <c r="N111" s="2" t="s">
        <v>123</v>
      </c>
      <c r="P111" s="2"/>
      <c r="AD111" s="2" t="s">
        <v>124</v>
      </c>
      <c r="AE111" s="2" t="s">
        <v>1621</v>
      </c>
      <c r="AF111" s="2">
        <v>2000</v>
      </c>
      <c r="AG111" s="2" t="s">
        <v>148</v>
      </c>
      <c r="AH111" s="2" t="s">
        <v>1622</v>
      </c>
      <c r="AI111" s="2" t="s">
        <v>150</v>
      </c>
      <c r="AJ111" s="2" t="s">
        <v>150</v>
      </c>
      <c r="AK111" s="2" t="s">
        <v>150</v>
      </c>
      <c r="AL111" s="2" t="s">
        <v>236</v>
      </c>
      <c r="AM111" s="2" t="s">
        <v>162</v>
      </c>
      <c r="AN111" s="2" t="s">
        <v>1623</v>
      </c>
      <c r="AO111" s="2" t="s">
        <v>132</v>
      </c>
      <c r="AP111" s="2" t="s">
        <v>302</v>
      </c>
      <c r="AQ111" s="2" t="s">
        <v>1624</v>
      </c>
      <c r="AR111" s="2" t="s">
        <v>1625</v>
      </c>
      <c r="AS111" s="2" t="s">
        <v>1626</v>
      </c>
      <c r="AT111" s="2" t="s">
        <v>172</v>
      </c>
      <c r="AV111" s="2" t="s">
        <v>123</v>
      </c>
      <c r="AW111" s="2" t="s">
        <v>132</v>
      </c>
      <c r="CP111" s="2" t="s">
        <v>123</v>
      </c>
      <c r="CZ111" s="2" t="s">
        <v>123</v>
      </c>
      <c r="DJ111" s="2" t="s">
        <v>123</v>
      </c>
      <c r="EM111" s="2" t="s">
        <v>123</v>
      </c>
      <c r="FM111" s="2" t="s">
        <v>123</v>
      </c>
      <c r="GU111" s="2" t="s">
        <v>1627</v>
      </c>
      <c r="GV111" s="2" t="s">
        <v>1628</v>
      </c>
      <c r="GW111" s="2" t="s">
        <v>1629</v>
      </c>
      <c r="GX111" s="2" t="s">
        <v>186</v>
      </c>
      <c r="GY111" s="2">
        <v>72</v>
      </c>
      <c r="GZ111" s="2" t="s">
        <v>1630</v>
      </c>
      <c r="HC111" s="2" t="s">
        <v>1631</v>
      </c>
    </row>
    <row r="112" spans="1:212" x14ac:dyDescent="0.45">
      <c r="A112" s="2" t="s">
        <v>1635</v>
      </c>
      <c r="B112" s="2">
        <v>110</v>
      </c>
      <c r="C112" s="2" t="s">
        <v>1131</v>
      </c>
      <c r="D112" s="2" t="s">
        <v>118</v>
      </c>
      <c r="G112" s="2"/>
      <c r="I112" s="2" t="s">
        <v>119</v>
      </c>
      <c r="J112" s="2" t="s">
        <v>1634</v>
      </c>
      <c r="K112" s="2">
        <v>545</v>
      </c>
      <c r="L112" s="2">
        <v>0</v>
      </c>
      <c r="M112" s="2" t="s">
        <v>122</v>
      </c>
      <c r="N112" s="2" t="s">
        <v>123</v>
      </c>
      <c r="P112" s="2"/>
      <c r="AD112" s="2" t="s">
        <v>124</v>
      </c>
      <c r="AE112" s="2" t="s">
        <v>1636</v>
      </c>
      <c r="AF112" s="2">
        <v>2001</v>
      </c>
      <c r="AG112" s="2" t="s">
        <v>148</v>
      </c>
      <c r="AH112" s="2" t="s">
        <v>1637</v>
      </c>
      <c r="AI112" s="2" t="s">
        <v>150</v>
      </c>
      <c r="AJ112" s="2" t="s">
        <v>150</v>
      </c>
      <c r="AK112" s="2" t="s">
        <v>169</v>
      </c>
      <c r="AL112" s="2" t="s">
        <v>150</v>
      </c>
      <c r="AM112" s="2" t="s">
        <v>169</v>
      </c>
      <c r="AN112" s="2" t="s">
        <v>1638</v>
      </c>
      <c r="AO112" s="2" t="s">
        <v>152</v>
      </c>
      <c r="AP112" s="2" t="s">
        <v>153</v>
      </c>
      <c r="AQ112" s="2" t="s">
        <v>1639</v>
      </c>
      <c r="AR112" s="2" t="s">
        <v>1640</v>
      </c>
      <c r="AS112" s="2" t="s">
        <v>386</v>
      </c>
      <c r="AT112" s="2" t="s">
        <v>157</v>
      </c>
      <c r="AV112" s="2" t="s">
        <v>123</v>
      </c>
      <c r="AW112" s="2" t="s">
        <v>132</v>
      </c>
      <c r="CP112" s="2" t="s">
        <v>123</v>
      </c>
      <c r="CZ112" s="2" t="s">
        <v>123</v>
      </c>
      <c r="DJ112" s="2" t="s">
        <v>123</v>
      </c>
      <c r="EM112" s="2" t="s">
        <v>123</v>
      </c>
      <c r="FM112" s="2" t="s">
        <v>123</v>
      </c>
      <c r="GU112" s="2" t="s">
        <v>1641</v>
      </c>
      <c r="GV112" s="2" t="s">
        <v>1642</v>
      </c>
      <c r="GW112" s="2" t="s">
        <v>1643</v>
      </c>
      <c r="GX112" s="2" t="s">
        <v>140</v>
      </c>
      <c r="GY112" s="2">
        <v>1977</v>
      </c>
      <c r="GZ112" s="2" t="s">
        <v>141</v>
      </c>
      <c r="HA112" s="2" t="s">
        <v>1644</v>
      </c>
      <c r="HB112" s="2" t="s">
        <v>1645</v>
      </c>
    </row>
    <row r="113" spans="1:212" x14ac:dyDescent="0.45">
      <c r="A113" s="2" t="s">
        <v>1651</v>
      </c>
      <c r="B113" s="2">
        <v>111</v>
      </c>
      <c r="C113" s="2" t="s">
        <v>1649</v>
      </c>
      <c r="D113" s="2" t="s">
        <v>118</v>
      </c>
      <c r="E113" s="2" t="s">
        <v>359</v>
      </c>
      <c r="G113" s="2"/>
      <c r="I113" s="2" t="s">
        <v>119</v>
      </c>
      <c r="J113" s="2" t="s">
        <v>1650</v>
      </c>
      <c r="K113" s="2">
        <v>386</v>
      </c>
      <c r="L113" s="2">
        <v>0</v>
      </c>
      <c r="M113" s="2" t="s">
        <v>122</v>
      </c>
      <c r="N113" s="2" t="s">
        <v>123</v>
      </c>
      <c r="P113" s="2"/>
      <c r="AD113" s="2" t="s">
        <v>124</v>
      </c>
      <c r="AE113" s="2" t="s">
        <v>191</v>
      </c>
      <c r="AF113" s="2">
        <v>2016</v>
      </c>
      <c r="AG113" s="2" t="s">
        <v>126</v>
      </c>
      <c r="AH113" s="2" t="s">
        <v>1652</v>
      </c>
      <c r="AI113" s="2" t="s">
        <v>162</v>
      </c>
      <c r="AJ113" s="2" t="s">
        <v>151</v>
      </c>
      <c r="AK113" s="2" t="s">
        <v>162</v>
      </c>
      <c r="AL113" s="2" t="s">
        <v>150</v>
      </c>
      <c r="AM113" s="2" t="s">
        <v>236</v>
      </c>
      <c r="AN113" s="2" t="s">
        <v>530</v>
      </c>
      <c r="AO113" s="2" t="s">
        <v>153</v>
      </c>
      <c r="AP113" s="2" t="s">
        <v>153</v>
      </c>
      <c r="AQ113" s="2" t="s">
        <v>1653</v>
      </c>
      <c r="AR113" s="2" t="s">
        <v>1654</v>
      </c>
      <c r="AS113" s="2" t="s">
        <v>1655</v>
      </c>
      <c r="AT113" s="2" t="s">
        <v>172</v>
      </c>
      <c r="AV113" s="2" t="s">
        <v>123</v>
      </c>
      <c r="CP113" s="2" t="s">
        <v>123</v>
      </c>
      <c r="CZ113" s="2" t="s">
        <v>123</v>
      </c>
      <c r="DJ113" s="2" t="s">
        <v>123</v>
      </c>
      <c r="EM113" s="2" t="s">
        <v>123</v>
      </c>
      <c r="EN113" s="2" t="s">
        <v>178</v>
      </c>
      <c r="FM113" s="2" t="s">
        <v>123</v>
      </c>
      <c r="GU113" s="2" t="s">
        <v>1656</v>
      </c>
      <c r="GV113" s="2" t="s">
        <v>1657</v>
      </c>
      <c r="GW113" s="2" t="s">
        <v>1658</v>
      </c>
      <c r="GX113" s="2" t="s">
        <v>140</v>
      </c>
      <c r="GY113" s="2">
        <v>1993</v>
      </c>
      <c r="GZ113" s="2" t="s">
        <v>220</v>
      </c>
    </row>
    <row r="114" spans="1:212" x14ac:dyDescent="0.45">
      <c r="A114" s="2" t="s">
        <v>1661</v>
      </c>
      <c r="B114" s="2">
        <v>112</v>
      </c>
      <c r="C114" s="2" t="s">
        <v>1659</v>
      </c>
      <c r="D114" s="2" t="s">
        <v>118</v>
      </c>
      <c r="G114" s="2"/>
      <c r="I114" s="2" t="s">
        <v>119</v>
      </c>
      <c r="J114" s="2" t="s">
        <v>1660</v>
      </c>
      <c r="K114" s="2">
        <v>614</v>
      </c>
      <c r="L114" s="2">
        <v>0</v>
      </c>
      <c r="M114" s="2" t="s">
        <v>122</v>
      </c>
      <c r="N114" s="2" t="s">
        <v>123</v>
      </c>
      <c r="P114" s="2"/>
      <c r="AD114" s="2" t="s">
        <v>124</v>
      </c>
      <c r="AE114" s="2" t="s">
        <v>191</v>
      </c>
      <c r="AF114" s="2">
        <v>1991</v>
      </c>
      <c r="AG114" s="2" t="s">
        <v>126</v>
      </c>
      <c r="AH114" s="2" t="s">
        <v>1662</v>
      </c>
      <c r="AI114" s="2" t="s">
        <v>150</v>
      </c>
      <c r="AJ114" s="2" t="s">
        <v>150</v>
      </c>
      <c r="AK114" s="2" t="s">
        <v>150</v>
      </c>
      <c r="AL114" s="2" t="s">
        <v>132</v>
      </c>
      <c r="AM114" s="2" t="s">
        <v>132</v>
      </c>
      <c r="AN114" s="2" t="s">
        <v>718</v>
      </c>
      <c r="AO114" s="2" t="s">
        <v>132</v>
      </c>
      <c r="AP114" s="2" t="s">
        <v>132</v>
      </c>
      <c r="AQ114" s="2" t="s">
        <v>1663</v>
      </c>
      <c r="AR114" s="2" t="s">
        <v>1664</v>
      </c>
      <c r="AS114" s="2" t="s">
        <v>1665</v>
      </c>
      <c r="AT114" s="2" t="s">
        <v>172</v>
      </c>
      <c r="AV114" s="2" t="s">
        <v>159</v>
      </c>
      <c r="AW114" s="2">
        <v>1</v>
      </c>
      <c r="AX114" s="2" t="s">
        <v>191</v>
      </c>
      <c r="AY114" s="2">
        <v>2018</v>
      </c>
      <c r="AZ114" s="2" t="s">
        <v>126</v>
      </c>
      <c r="BA114" s="2" t="s">
        <v>1666</v>
      </c>
      <c r="BB114" s="2" t="s">
        <v>151</v>
      </c>
      <c r="BC114" s="2" t="s">
        <v>151</v>
      </c>
      <c r="BD114" s="2" t="s">
        <v>151</v>
      </c>
      <c r="BE114" s="2" t="s">
        <v>151</v>
      </c>
      <c r="BF114" s="2" t="s">
        <v>151</v>
      </c>
      <c r="BG114" s="2">
        <v>1</v>
      </c>
      <c r="BI114" s="2" t="s">
        <v>172</v>
      </c>
      <c r="BL114" s="2" t="s">
        <v>173</v>
      </c>
      <c r="CP114" s="2" t="s">
        <v>123</v>
      </c>
      <c r="CZ114" s="2" t="s">
        <v>123</v>
      </c>
      <c r="DJ114" s="2" t="s">
        <v>123</v>
      </c>
      <c r="EM114" s="2" t="s">
        <v>177</v>
      </c>
      <c r="EN114" s="2" t="s">
        <v>178</v>
      </c>
      <c r="EO114" s="2">
        <v>1</v>
      </c>
      <c r="EP114" s="2" t="s">
        <v>191</v>
      </c>
      <c r="EQ114" s="2" t="s">
        <v>169</v>
      </c>
      <c r="ER114" s="2" t="s">
        <v>169</v>
      </c>
      <c r="ES114" s="2" t="s">
        <v>151</v>
      </c>
      <c r="ET114" s="2" t="s">
        <v>178</v>
      </c>
      <c r="EU114" s="2" t="s">
        <v>1667</v>
      </c>
      <c r="EV114" s="2" t="s">
        <v>1668</v>
      </c>
      <c r="EW114" s="2" t="s">
        <v>173</v>
      </c>
      <c r="FM114" s="2" t="s">
        <v>123</v>
      </c>
      <c r="GU114" s="2" t="s">
        <v>1669</v>
      </c>
      <c r="GV114" s="2" t="s">
        <v>1670</v>
      </c>
      <c r="GW114" s="2" t="s">
        <v>1671</v>
      </c>
      <c r="GX114" s="2" t="s">
        <v>186</v>
      </c>
      <c r="GY114" s="2">
        <v>1966</v>
      </c>
      <c r="GZ114" s="2" t="s">
        <v>141</v>
      </c>
    </row>
    <row r="115" spans="1:212" x14ac:dyDescent="0.45">
      <c r="A115" s="2" t="s">
        <v>1676</v>
      </c>
      <c r="B115" s="2">
        <v>113</v>
      </c>
      <c r="C115" s="2" t="s">
        <v>1674</v>
      </c>
      <c r="D115" s="2" t="s">
        <v>118</v>
      </c>
      <c r="G115" s="2"/>
      <c r="I115" s="2" t="s">
        <v>119</v>
      </c>
      <c r="J115" s="2" t="s">
        <v>1675</v>
      </c>
      <c r="K115" s="2">
        <v>445</v>
      </c>
      <c r="L115" s="2">
        <v>0</v>
      </c>
      <c r="M115" s="2" t="s">
        <v>122</v>
      </c>
      <c r="N115" s="2" t="s">
        <v>123</v>
      </c>
      <c r="P115" s="2"/>
      <c r="AD115" s="2" t="s">
        <v>124</v>
      </c>
      <c r="AE115" s="2" t="s">
        <v>191</v>
      </c>
      <c r="AF115" s="2">
        <v>2014</v>
      </c>
      <c r="AG115" s="2" t="s">
        <v>126</v>
      </c>
      <c r="AH115" s="2" t="s">
        <v>192</v>
      </c>
      <c r="AI115" s="2" t="s">
        <v>169</v>
      </c>
      <c r="AJ115" s="2" t="s">
        <v>169</v>
      </c>
      <c r="AK115" s="2" t="s">
        <v>162</v>
      </c>
      <c r="AL115" s="2" t="s">
        <v>151</v>
      </c>
      <c r="AM115" s="2" t="s">
        <v>151</v>
      </c>
      <c r="AN115" s="2" t="s">
        <v>237</v>
      </c>
      <c r="AO115" s="2" t="s">
        <v>226</v>
      </c>
      <c r="AP115" s="2" t="s">
        <v>1428</v>
      </c>
      <c r="AQ115" s="2" t="s">
        <v>1677</v>
      </c>
      <c r="AR115" s="2" t="s">
        <v>1678</v>
      </c>
      <c r="AS115" s="2" t="s">
        <v>1679</v>
      </c>
      <c r="AT115" s="2" t="s">
        <v>157</v>
      </c>
      <c r="AV115" s="2" t="s">
        <v>123</v>
      </c>
      <c r="CP115" s="2" t="s">
        <v>123</v>
      </c>
      <c r="CZ115" s="2" t="s">
        <v>123</v>
      </c>
      <c r="DJ115" s="2" t="s">
        <v>123</v>
      </c>
      <c r="EM115" s="2" t="s">
        <v>123</v>
      </c>
      <c r="FM115" s="2" t="s">
        <v>123</v>
      </c>
      <c r="GU115" s="2" t="s">
        <v>532</v>
      </c>
      <c r="GV115" s="2" t="s">
        <v>1680</v>
      </c>
      <c r="GW115" s="2" t="s">
        <v>1681</v>
      </c>
      <c r="GX115" s="2" t="s">
        <v>186</v>
      </c>
      <c r="GY115" s="2">
        <v>1984</v>
      </c>
      <c r="GZ115" s="2" t="s">
        <v>398</v>
      </c>
    </row>
    <row r="116" spans="1:212" x14ac:dyDescent="0.45">
      <c r="A116" s="2" t="s">
        <v>1711</v>
      </c>
      <c r="B116" s="2">
        <v>114</v>
      </c>
      <c r="C116" s="2" t="s">
        <v>1709</v>
      </c>
      <c r="D116" s="2" t="s">
        <v>118</v>
      </c>
      <c r="G116" s="2"/>
      <c r="I116" s="2" t="s">
        <v>119</v>
      </c>
      <c r="J116" s="2" t="s">
        <v>1710</v>
      </c>
      <c r="K116" s="2">
        <v>588</v>
      </c>
      <c r="L116" s="2">
        <v>0</v>
      </c>
      <c r="M116" s="2" t="s">
        <v>122</v>
      </c>
      <c r="N116" s="2" t="s">
        <v>123</v>
      </c>
      <c r="P116" s="2"/>
      <c r="AD116" s="2" t="s">
        <v>124</v>
      </c>
      <c r="AE116" s="2" t="s">
        <v>1712</v>
      </c>
      <c r="AF116" s="2">
        <v>2012</v>
      </c>
      <c r="AG116" s="2" t="s">
        <v>148</v>
      </c>
      <c r="AH116" s="2" t="s">
        <v>1713</v>
      </c>
      <c r="AI116" s="2" t="s">
        <v>162</v>
      </c>
      <c r="AJ116" s="2" t="s">
        <v>162</v>
      </c>
      <c r="AK116" s="2" t="s">
        <v>169</v>
      </c>
      <c r="AL116" s="2" t="s">
        <v>129</v>
      </c>
      <c r="AM116" s="2" t="s">
        <v>129</v>
      </c>
      <c r="AN116" s="2" t="s">
        <v>1714</v>
      </c>
      <c r="AO116" s="2" t="s">
        <v>131</v>
      </c>
      <c r="AP116" s="2" t="s">
        <v>131</v>
      </c>
      <c r="AQ116" s="2" t="s">
        <v>1715</v>
      </c>
      <c r="AR116" s="2" t="s">
        <v>1716</v>
      </c>
      <c r="AS116" s="2" t="s">
        <v>1717</v>
      </c>
      <c r="AT116" s="2" t="s">
        <v>157</v>
      </c>
      <c r="AV116" s="2" t="s">
        <v>123</v>
      </c>
      <c r="CP116" s="2" t="s">
        <v>123</v>
      </c>
      <c r="CZ116" s="2" t="s">
        <v>123</v>
      </c>
      <c r="DJ116" s="2" t="s">
        <v>123</v>
      </c>
      <c r="EM116" s="2" t="s">
        <v>123</v>
      </c>
      <c r="FM116" s="2" t="s">
        <v>123</v>
      </c>
      <c r="GU116" s="2" t="s">
        <v>1718</v>
      </c>
      <c r="GV116" s="2" t="s">
        <v>1719</v>
      </c>
      <c r="GW116" s="2" t="s">
        <v>1720</v>
      </c>
      <c r="GX116" s="2" t="s">
        <v>140</v>
      </c>
      <c r="GY116" s="2">
        <v>1985</v>
      </c>
      <c r="GZ116" s="2" t="s">
        <v>246</v>
      </c>
      <c r="HB116" s="2" t="s">
        <v>1721</v>
      </c>
      <c r="HC116" s="2" t="s">
        <v>532</v>
      </c>
    </row>
    <row r="117" spans="1:212" x14ac:dyDescent="0.45">
      <c r="A117" s="2" t="s">
        <v>1739</v>
      </c>
      <c r="B117" s="2">
        <v>115</v>
      </c>
      <c r="C117" s="2" t="s">
        <v>1572</v>
      </c>
      <c r="D117" s="2" t="s">
        <v>118</v>
      </c>
      <c r="G117" s="2"/>
      <c r="I117" s="2" t="s">
        <v>119</v>
      </c>
      <c r="J117" s="2" t="s">
        <v>1738</v>
      </c>
      <c r="K117" s="2">
        <v>1112</v>
      </c>
      <c r="L117" s="2">
        <v>0</v>
      </c>
      <c r="M117" s="2" t="s">
        <v>122</v>
      </c>
      <c r="N117" s="2" t="s">
        <v>123</v>
      </c>
      <c r="P117" s="2"/>
      <c r="AD117" s="2" t="s">
        <v>124</v>
      </c>
      <c r="AE117" s="2" t="s">
        <v>125</v>
      </c>
      <c r="AF117" s="2">
        <v>2001</v>
      </c>
      <c r="AG117" s="2" t="s">
        <v>126</v>
      </c>
      <c r="AH117" s="2" t="s">
        <v>1339</v>
      </c>
      <c r="AI117" s="2" t="s">
        <v>150</v>
      </c>
      <c r="AJ117" s="2" t="s">
        <v>150</v>
      </c>
      <c r="AK117" s="2" t="s">
        <v>150</v>
      </c>
      <c r="AL117" s="2" t="s">
        <v>162</v>
      </c>
      <c r="AM117" s="2" t="s">
        <v>162</v>
      </c>
      <c r="AN117" s="2" t="s">
        <v>1740</v>
      </c>
      <c r="AO117" s="2" t="s">
        <v>131</v>
      </c>
      <c r="AP117" s="2" t="s">
        <v>302</v>
      </c>
      <c r="AQ117" s="2" t="s">
        <v>1741</v>
      </c>
      <c r="AR117" s="2" t="s">
        <v>1742</v>
      </c>
      <c r="AS117" s="2" t="s">
        <v>1743</v>
      </c>
      <c r="AT117" s="2" t="s">
        <v>157</v>
      </c>
      <c r="AU117" s="2" t="s">
        <v>1744</v>
      </c>
      <c r="AV117" s="2" t="s">
        <v>123</v>
      </c>
      <c r="AW117" s="2" t="s">
        <v>132</v>
      </c>
      <c r="CP117" s="2" t="s">
        <v>123</v>
      </c>
      <c r="CZ117" s="2" t="s">
        <v>123</v>
      </c>
      <c r="DJ117" s="2" t="s">
        <v>123</v>
      </c>
      <c r="EM117" s="2" t="s">
        <v>123</v>
      </c>
      <c r="FM117" s="2" t="s">
        <v>123</v>
      </c>
      <c r="GU117" s="2" t="s">
        <v>1745</v>
      </c>
      <c r="GV117" s="2" t="s">
        <v>1746</v>
      </c>
      <c r="GW117" s="2" t="s">
        <v>1747</v>
      </c>
      <c r="GX117" s="2" t="s">
        <v>186</v>
      </c>
      <c r="GY117" s="2">
        <v>1976</v>
      </c>
      <c r="GZ117" s="2" t="s">
        <v>141</v>
      </c>
      <c r="HB117" s="2" t="s">
        <v>1748</v>
      </c>
      <c r="HC117" s="2" t="s">
        <v>1749</v>
      </c>
      <c r="HD117" s="2" t="s">
        <v>1750</v>
      </c>
    </row>
    <row r="118" spans="1:212" x14ac:dyDescent="0.45">
      <c r="A118" s="2" t="s">
        <v>1753</v>
      </c>
      <c r="B118" s="2">
        <v>116</v>
      </c>
      <c r="C118" s="2" t="s">
        <v>1751</v>
      </c>
      <c r="D118" s="2" t="s">
        <v>118</v>
      </c>
      <c r="G118" s="2"/>
      <c r="I118" s="2" t="s">
        <v>119</v>
      </c>
      <c r="J118" s="2" t="s">
        <v>1752</v>
      </c>
      <c r="K118" s="2">
        <v>625</v>
      </c>
      <c r="L118" s="2">
        <v>0</v>
      </c>
      <c r="M118" s="2" t="s">
        <v>122</v>
      </c>
      <c r="N118" s="2" t="s">
        <v>123</v>
      </c>
      <c r="P118" s="2"/>
      <c r="AD118" s="2" t="s">
        <v>124</v>
      </c>
      <c r="AE118" s="2" t="s">
        <v>191</v>
      </c>
      <c r="AF118" s="2">
        <v>2009</v>
      </c>
      <c r="AG118" s="2" t="s">
        <v>126</v>
      </c>
      <c r="AH118" s="2" t="s">
        <v>192</v>
      </c>
      <c r="AI118" s="2" t="s">
        <v>162</v>
      </c>
      <c r="AJ118" s="2" t="s">
        <v>150</v>
      </c>
      <c r="AK118" s="2" t="s">
        <v>169</v>
      </c>
      <c r="AL118" s="2" t="s">
        <v>169</v>
      </c>
      <c r="AM118" s="2" t="s">
        <v>169</v>
      </c>
      <c r="AN118" s="2" t="s">
        <v>530</v>
      </c>
      <c r="AO118" s="2" t="s">
        <v>226</v>
      </c>
      <c r="AP118" s="2" t="s">
        <v>759</v>
      </c>
      <c r="AR118" s="2" t="s">
        <v>1754</v>
      </c>
      <c r="AS118" s="2" t="s">
        <v>1755</v>
      </c>
      <c r="AU118" s="2" t="s">
        <v>1756</v>
      </c>
      <c r="AV118" s="2" t="s">
        <v>123</v>
      </c>
      <c r="CP118" s="2" t="s">
        <v>123</v>
      </c>
      <c r="CZ118" s="2" t="s">
        <v>123</v>
      </c>
      <c r="DJ118" s="2" t="s">
        <v>123</v>
      </c>
      <c r="EM118" s="2" t="s">
        <v>123</v>
      </c>
      <c r="FM118" s="2" t="s">
        <v>123</v>
      </c>
      <c r="GU118" s="2" t="s">
        <v>1757</v>
      </c>
      <c r="GV118" s="2" t="s">
        <v>1758</v>
      </c>
      <c r="GW118" s="2" t="s">
        <v>1759</v>
      </c>
      <c r="GX118" s="2" t="s">
        <v>186</v>
      </c>
      <c r="GY118" s="2">
        <v>1984</v>
      </c>
      <c r="GZ118" s="2" t="s">
        <v>141</v>
      </c>
    </row>
    <row r="119" spans="1:212" x14ac:dyDescent="0.45">
      <c r="A119" s="2" t="s">
        <v>1764</v>
      </c>
      <c r="B119" s="2">
        <v>117</v>
      </c>
      <c r="C119" s="2" t="s">
        <v>1762</v>
      </c>
      <c r="D119" s="2" t="s">
        <v>118</v>
      </c>
      <c r="G119" s="2"/>
      <c r="I119" s="2" t="s">
        <v>119</v>
      </c>
      <c r="J119" s="2" t="s">
        <v>1763</v>
      </c>
      <c r="K119" s="2">
        <v>336</v>
      </c>
      <c r="L119" s="2">
        <v>0</v>
      </c>
      <c r="M119" s="2" t="s">
        <v>122</v>
      </c>
      <c r="N119" s="2" t="s">
        <v>123</v>
      </c>
      <c r="P119" s="2"/>
      <c r="AD119" s="2" t="s">
        <v>124</v>
      </c>
      <c r="AE119" s="2" t="s">
        <v>747</v>
      </c>
      <c r="AF119" s="2">
        <v>2002</v>
      </c>
      <c r="AG119" s="2" t="s">
        <v>126</v>
      </c>
      <c r="AH119" s="2" t="s">
        <v>1176</v>
      </c>
      <c r="AI119" s="2" t="s">
        <v>129</v>
      </c>
      <c r="AJ119" s="2" t="s">
        <v>129</v>
      </c>
      <c r="AK119" s="2" t="s">
        <v>129</v>
      </c>
      <c r="AL119" s="2" t="s">
        <v>129</v>
      </c>
      <c r="AM119" s="2" t="s">
        <v>129</v>
      </c>
      <c r="AN119" s="2" t="s">
        <v>1765</v>
      </c>
      <c r="AO119" s="2" t="s">
        <v>302</v>
      </c>
      <c r="AP119" s="2" t="s">
        <v>226</v>
      </c>
      <c r="AR119" s="2" t="s">
        <v>1766</v>
      </c>
      <c r="AS119" s="2" t="s">
        <v>386</v>
      </c>
      <c r="AT119" s="2" t="s">
        <v>157</v>
      </c>
      <c r="AU119" s="2" t="s">
        <v>1767</v>
      </c>
      <c r="AV119" s="2" t="s">
        <v>123</v>
      </c>
      <c r="CP119" s="2" t="s">
        <v>123</v>
      </c>
      <c r="CZ119" s="2" t="s">
        <v>123</v>
      </c>
      <c r="DJ119" s="2" t="s">
        <v>123</v>
      </c>
      <c r="EM119" s="2" t="s">
        <v>123</v>
      </c>
      <c r="FM119" s="2" t="s">
        <v>123</v>
      </c>
      <c r="GU119" s="2" t="s">
        <v>1768</v>
      </c>
      <c r="GV119" s="2" t="s">
        <v>1769</v>
      </c>
      <c r="GW119" s="2" t="s">
        <v>1769</v>
      </c>
      <c r="GX119" s="2" t="s">
        <v>186</v>
      </c>
      <c r="GY119" s="2">
        <v>1977</v>
      </c>
      <c r="GZ119" s="2" t="s">
        <v>141</v>
      </c>
      <c r="HB119" s="2" t="s">
        <v>386</v>
      </c>
      <c r="HC119" s="2" t="s">
        <v>386</v>
      </c>
    </row>
    <row r="120" spans="1:212" x14ac:dyDescent="0.45">
      <c r="A120" s="2" t="s">
        <v>1771</v>
      </c>
      <c r="B120" s="2">
        <v>118</v>
      </c>
      <c r="C120" s="2" t="s">
        <v>1131</v>
      </c>
      <c r="D120" s="2" t="s">
        <v>118</v>
      </c>
      <c r="G120" s="2"/>
      <c r="I120" s="2" t="s">
        <v>119</v>
      </c>
      <c r="J120" s="2" t="s">
        <v>1770</v>
      </c>
      <c r="K120" s="2">
        <v>1129</v>
      </c>
      <c r="L120" s="2">
        <v>0</v>
      </c>
      <c r="M120" s="2" t="s">
        <v>122</v>
      </c>
      <c r="N120" s="2" t="s">
        <v>123</v>
      </c>
      <c r="P120" s="2" t="s">
        <v>148</v>
      </c>
      <c r="AD120" s="2" t="s">
        <v>124</v>
      </c>
      <c r="AE120" s="2" t="s">
        <v>191</v>
      </c>
      <c r="AF120" s="2">
        <v>2014</v>
      </c>
      <c r="AG120" s="2" t="s">
        <v>126</v>
      </c>
      <c r="AH120" s="2" t="s">
        <v>1186</v>
      </c>
      <c r="AI120" s="2" t="s">
        <v>162</v>
      </c>
      <c r="AJ120" s="2" t="s">
        <v>150</v>
      </c>
      <c r="AK120" s="2" t="s">
        <v>162</v>
      </c>
      <c r="AL120" s="2" t="s">
        <v>162</v>
      </c>
      <c r="AM120" s="2" t="s">
        <v>150</v>
      </c>
      <c r="AN120" s="2">
        <v>1</v>
      </c>
      <c r="AO120" s="2" t="s">
        <v>131</v>
      </c>
      <c r="AP120" s="2" t="s">
        <v>153</v>
      </c>
      <c r="AR120" s="2" t="s">
        <v>766</v>
      </c>
      <c r="AS120" s="2" t="s">
        <v>1772</v>
      </c>
      <c r="AT120" s="2" t="s">
        <v>172</v>
      </c>
      <c r="AV120" s="2" t="s">
        <v>123</v>
      </c>
      <c r="CP120" s="2" t="s">
        <v>123</v>
      </c>
      <c r="CZ120" s="2" t="s">
        <v>123</v>
      </c>
      <c r="DJ120" s="2" t="s">
        <v>123</v>
      </c>
      <c r="EM120" s="2" t="s">
        <v>123</v>
      </c>
      <c r="FM120" s="2" t="s">
        <v>123</v>
      </c>
      <c r="GU120" s="2" t="s">
        <v>1773</v>
      </c>
      <c r="GV120" s="2" t="s">
        <v>1774</v>
      </c>
      <c r="GW120" s="2" t="s">
        <v>1775</v>
      </c>
      <c r="GX120" s="2" t="s">
        <v>140</v>
      </c>
      <c r="GY120" s="2">
        <v>1990</v>
      </c>
      <c r="GZ120" s="2" t="s">
        <v>141</v>
      </c>
      <c r="HB120" s="2" t="s">
        <v>1776</v>
      </c>
      <c r="HC120" s="2" t="s">
        <v>1777</v>
      </c>
    </row>
    <row r="121" spans="1:212" x14ac:dyDescent="0.45">
      <c r="A121" s="2" t="s">
        <v>1783</v>
      </c>
      <c r="B121" s="2">
        <v>119</v>
      </c>
      <c r="C121" s="2" t="s">
        <v>1780</v>
      </c>
      <c r="D121" s="2" t="s">
        <v>118</v>
      </c>
      <c r="E121" s="2" t="s">
        <v>1781</v>
      </c>
      <c r="G121" s="2"/>
      <c r="I121" s="2" t="s">
        <v>119</v>
      </c>
      <c r="J121" s="2" t="s">
        <v>1782</v>
      </c>
      <c r="K121" s="2">
        <v>968</v>
      </c>
      <c r="L121" s="2">
        <v>0</v>
      </c>
      <c r="M121" s="2" t="s">
        <v>122</v>
      </c>
      <c r="N121" s="2" t="s">
        <v>123</v>
      </c>
      <c r="P121" s="2"/>
      <c r="AD121" s="2" t="s">
        <v>124</v>
      </c>
      <c r="AE121" s="2" t="s">
        <v>223</v>
      </c>
      <c r="AF121" s="2">
        <v>2011</v>
      </c>
      <c r="AG121" s="2" t="s">
        <v>148</v>
      </c>
      <c r="AH121" s="2" t="s">
        <v>1784</v>
      </c>
      <c r="AI121" s="2" t="s">
        <v>150</v>
      </c>
      <c r="AJ121" s="2" t="s">
        <v>162</v>
      </c>
      <c r="AK121" s="2" t="s">
        <v>169</v>
      </c>
      <c r="AL121" s="2" t="s">
        <v>150</v>
      </c>
      <c r="AM121" s="2" t="s">
        <v>150</v>
      </c>
      <c r="AN121" s="2">
        <v>2</v>
      </c>
      <c r="AO121" s="2" t="s">
        <v>302</v>
      </c>
      <c r="AP121" s="2" t="s">
        <v>153</v>
      </c>
      <c r="AQ121" s="2" t="s">
        <v>1785</v>
      </c>
      <c r="AR121" s="2" t="s">
        <v>1786</v>
      </c>
      <c r="AS121" s="2" t="s">
        <v>1787</v>
      </c>
      <c r="AT121" s="2" t="s">
        <v>157</v>
      </c>
      <c r="AV121" s="2" t="s">
        <v>123</v>
      </c>
      <c r="AW121" s="2" t="s">
        <v>132</v>
      </c>
      <c r="CP121" s="2" t="s">
        <v>123</v>
      </c>
      <c r="CZ121" s="2" t="s">
        <v>123</v>
      </c>
      <c r="DJ121" s="2" t="s">
        <v>123</v>
      </c>
      <c r="EM121" s="2" t="s">
        <v>123</v>
      </c>
      <c r="FM121" s="2" t="s">
        <v>123</v>
      </c>
      <c r="GU121" s="2" t="s">
        <v>1788</v>
      </c>
      <c r="GV121" s="2" t="s">
        <v>1789</v>
      </c>
      <c r="GW121" s="2" t="s">
        <v>1790</v>
      </c>
      <c r="GX121" s="2" t="s">
        <v>140</v>
      </c>
      <c r="GY121" s="2">
        <v>1986</v>
      </c>
      <c r="GZ121" s="2" t="s">
        <v>398</v>
      </c>
      <c r="HB121" s="2" t="s">
        <v>1791</v>
      </c>
    </row>
    <row r="122" spans="1:212" x14ac:dyDescent="0.45">
      <c r="A122" s="2" t="s">
        <v>1794</v>
      </c>
      <c r="B122" s="2">
        <v>120</v>
      </c>
      <c r="C122" s="2" t="s">
        <v>1792</v>
      </c>
      <c r="D122" s="2" t="s">
        <v>118</v>
      </c>
      <c r="E122" s="2" t="s">
        <v>359</v>
      </c>
      <c r="G122" s="2"/>
      <c r="I122" s="2" t="s">
        <v>119</v>
      </c>
      <c r="J122" s="2" t="s">
        <v>1793</v>
      </c>
      <c r="K122" s="2">
        <v>465</v>
      </c>
      <c r="L122" s="2">
        <v>0</v>
      </c>
      <c r="M122" s="2" t="s">
        <v>122</v>
      </c>
      <c r="N122" s="2" t="s">
        <v>123</v>
      </c>
      <c r="P122" s="2"/>
      <c r="AD122" s="2" t="s">
        <v>124</v>
      </c>
      <c r="AE122" s="2" t="s">
        <v>191</v>
      </c>
      <c r="AF122" s="2">
        <v>2016</v>
      </c>
      <c r="AG122" s="2" t="s">
        <v>126</v>
      </c>
      <c r="AH122" s="2" t="s">
        <v>1795</v>
      </c>
      <c r="AI122" s="2" t="s">
        <v>236</v>
      </c>
      <c r="AJ122" s="2" t="s">
        <v>236</v>
      </c>
      <c r="AK122" s="2" t="s">
        <v>129</v>
      </c>
      <c r="AL122" s="2" t="s">
        <v>129</v>
      </c>
      <c r="AM122" s="2" t="s">
        <v>129</v>
      </c>
      <c r="AN122" s="2">
        <v>34</v>
      </c>
      <c r="AO122" s="2" t="s">
        <v>152</v>
      </c>
      <c r="AP122" s="2" t="s">
        <v>152</v>
      </c>
      <c r="AQ122" s="2" t="s">
        <v>1796</v>
      </c>
      <c r="AR122" s="2" t="s">
        <v>1797</v>
      </c>
      <c r="AS122" s="2" t="s">
        <v>1798</v>
      </c>
      <c r="AT122" s="2" t="s">
        <v>157</v>
      </c>
      <c r="AV122" s="2" t="s">
        <v>123</v>
      </c>
      <c r="AW122" s="2" t="s">
        <v>132</v>
      </c>
      <c r="CP122" s="2" t="s">
        <v>123</v>
      </c>
      <c r="CZ122" s="2" t="s">
        <v>123</v>
      </c>
      <c r="DJ122" s="2" t="s">
        <v>123</v>
      </c>
      <c r="EM122" s="2" t="s">
        <v>123</v>
      </c>
      <c r="FM122" s="2" t="s">
        <v>123</v>
      </c>
      <c r="GU122" s="2" t="s">
        <v>1799</v>
      </c>
      <c r="GV122" s="2" t="s">
        <v>1800</v>
      </c>
      <c r="GW122" s="2" t="s">
        <v>1801</v>
      </c>
      <c r="GX122" s="2" t="s">
        <v>140</v>
      </c>
      <c r="GY122" s="2">
        <v>2006</v>
      </c>
      <c r="GZ122" s="2" t="s">
        <v>483</v>
      </c>
    </row>
    <row r="123" spans="1:212" x14ac:dyDescent="0.45">
      <c r="A123" s="2" t="s">
        <v>1809</v>
      </c>
      <c r="B123" s="2">
        <v>121</v>
      </c>
      <c r="C123" s="2" t="s">
        <v>1336</v>
      </c>
      <c r="D123" s="2" t="s">
        <v>118</v>
      </c>
      <c r="G123" s="2"/>
      <c r="I123" s="2" t="s">
        <v>119</v>
      </c>
      <c r="J123" s="2" t="s">
        <v>1808</v>
      </c>
      <c r="K123" s="2">
        <v>2379</v>
      </c>
      <c r="L123" s="2">
        <v>0</v>
      </c>
      <c r="M123" s="2" t="s">
        <v>122</v>
      </c>
      <c r="N123" s="2" t="s">
        <v>123</v>
      </c>
      <c r="P123" s="2"/>
      <c r="AD123" s="2" t="s">
        <v>124</v>
      </c>
      <c r="AE123" s="2" t="s">
        <v>223</v>
      </c>
      <c r="AF123" s="2">
        <v>2012</v>
      </c>
      <c r="AG123" s="2" t="s">
        <v>148</v>
      </c>
      <c r="AH123" s="2" t="s">
        <v>1810</v>
      </c>
      <c r="AI123" s="2" t="s">
        <v>150</v>
      </c>
      <c r="AJ123" s="2" t="s">
        <v>162</v>
      </c>
      <c r="AK123" s="2" t="s">
        <v>150</v>
      </c>
      <c r="AL123" s="2" t="s">
        <v>162</v>
      </c>
      <c r="AM123" s="2" t="s">
        <v>150</v>
      </c>
      <c r="AN123" s="2" t="s">
        <v>237</v>
      </c>
      <c r="AO123" s="2" t="s">
        <v>132</v>
      </c>
      <c r="AP123" s="2" t="s">
        <v>132</v>
      </c>
      <c r="AQ123" s="2" t="s">
        <v>1811</v>
      </c>
      <c r="AR123" s="2" t="s">
        <v>1812</v>
      </c>
      <c r="AS123" s="2" t="s">
        <v>1813</v>
      </c>
      <c r="AT123" s="2" t="s">
        <v>230</v>
      </c>
      <c r="AU123" s="2" t="s">
        <v>1814</v>
      </c>
      <c r="AV123" s="2" t="s">
        <v>123</v>
      </c>
      <c r="CP123" s="2" t="s">
        <v>123</v>
      </c>
      <c r="CZ123" s="2" t="s">
        <v>123</v>
      </c>
      <c r="DJ123" s="2" t="s">
        <v>123</v>
      </c>
      <c r="EM123" s="2" t="s">
        <v>123</v>
      </c>
      <c r="FM123" s="2" t="s">
        <v>123</v>
      </c>
      <c r="GU123" s="2" t="s">
        <v>1815</v>
      </c>
      <c r="GV123" s="2" t="s">
        <v>1816</v>
      </c>
      <c r="GW123" s="2" t="s">
        <v>1817</v>
      </c>
      <c r="GX123" s="2" t="s">
        <v>140</v>
      </c>
      <c r="GY123" s="2">
        <v>1986</v>
      </c>
      <c r="GZ123" s="2" t="s">
        <v>246</v>
      </c>
      <c r="HB123" s="2" t="s">
        <v>1818</v>
      </c>
      <c r="HC123" s="2" t="s">
        <v>1819</v>
      </c>
    </row>
    <row r="124" spans="1:212" x14ac:dyDescent="0.45">
      <c r="A124" s="2" t="s">
        <v>1829</v>
      </c>
      <c r="B124" s="2">
        <v>122</v>
      </c>
      <c r="C124" s="2" t="s">
        <v>1827</v>
      </c>
      <c r="D124" s="2" t="s">
        <v>118</v>
      </c>
      <c r="G124" s="2"/>
      <c r="I124" s="2" t="s">
        <v>119</v>
      </c>
      <c r="J124" s="2" t="s">
        <v>1828</v>
      </c>
      <c r="K124" s="2">
        <v>673</v>
      </c>
      <c r="L124" s="2">
        <v>0</v>
      </c>
      <c r="M124" s="2" t="s">
        <v>122</v>
      </c>
      <c r="N124" s="2" t="s">
        <v>123</v>
      </c>
      <c r="P124" s="2"/>
      <c r="AD124" s="2" t="s">
        <v>124</v>
      </c>
      <c r="AE124" s="2" t="s">
        <v>1830</v>
      </c>
      <c r="AF124" s="2">
        <v>2005</v>
      </c>
      <c r="AG124" s="2" t="s">
        <v>148</v>
      </c>
      <c r="AH124" s="2" t="s">
        <v>1831</v>
      </c>
      <c r="AI124" s="2" t="s">
        <v>162</v>
      </c>
      <c r="AJ124" s="2" t="s">
        <v>169</v>
      </c>
      <c r="AK124" s="2" t="s">
        <v>169</v>
      </c>
      <c r="AL124" s="2" t="s">
        <v>128</v>
      </c>
      <c r="AM124" s="2" t="s">
        <v>162</v>
      </c>
      <c r="AN124" s="2" t="s">
        <v>237</v>
      </c>
      <c r="AO124" s="2" t="s">
        <v>302</v>
      </c>
      <c r="AP124" s="2" t="s">
        <v>153</v>
      </c>
      <c r="AQ124" s="2" t="s">
        <v>1832</v>
      </c>
      <c r="AR124" s="2" t="s">
        <v>1833</v>
      </c>
      <c r="AS124" s="2" t="s">
        <v>1834</v>
      </c>
      <c r="AU124" s="2" t="s">
        <v>158</v>
      </c>
      <c r="AV124" s="2" t="s">
        <v>123</v>
      </c>
      <c r="CP124" s="2" t="s">
        <v>123</v>
      </c>
      <c r="CZ124" s="2" t="s">
        <v>214</v>
      </c>
      <c r="DA124" s="2" t="s">
        <v>191</v>
      </c>
      <c r="DB124" s="2" t="s">
        <v>1835</v>
      </c>
      <c r="DC124" s="2" t="s">
        <v>150</v>
      </c>
      <c r="DD124" s="2" t="s">
        <v>150</v>
      </c>
      <c r="DE124" s="2" t="s">
        <v>151</v>
      </c>
      <c r="DF124" s="2" t="s">
        <v>150</v>
      </c>
      <c r="DG124" s="2" t="s">
        <v>169</v>
      </c>
      <c r="DH124" s="2" t="s">
        <v>169</v>
      </c>
      <c r="DI124" s="2" t="s">
        <v>1836</v>
      </c>
      <c r="DJ124" s="2" t="s">
        <v>123</v>
      </c>
      <c r="EM124" s="2" t="s">
        <v>123</v>
      </c>
      <c r="FM124" s="2" t="s">
        <v>123</v>
      </c>
      <c r="GU124" s="2" t="s">
        <v>1837</v>
      </c>
      <c r="GV124" s="2" t="s">
        <v>1838</v>
      </c>
      <c r="GW124" s="2" t="s">
        <v>1839</v>
      </c>
      <c r="GX124" s="2" t="s">
        <v>140</v>
      </c>
      <c r="GY124" s="2">
        <v>1981</v>
      </c>
      <c r="GZ124" s="2" t="s">
        <v>141</v>
      </c>
      <c r="HB124" s="2" t="s">
        <v>1840</v>
      </c>
    </row>
    <row r="125" spans="1:212" x14ac:dyDescent="0.45">
      <c r="A125" s="2" t="s">
        <v>1847</v>
      </c>
      <c r="B125" s="2">
        <v>123</v>
      </c>
      <c r="C125" s="2" t="s">
        <v>1845</v>
      </c>
      <c r="D125" s="2" t="s">
        <v>118</v>
      </c>
      <c r="G125" s="2"/>
      <c r="I125" s="2" t="s">
        <v>119</v>
      </c>
      <c r="J125" s="2" t="s">
        <v>1846</v>
      </c>
      <c r="K125" s="2">
        <v>790</v>
      </c>
      <c r="L125" s="2">
        <v>0</v>
      </c>
      <c r="M125" s="2" t="s">
        <v>122</v>
      </c>
      <c r="N125" s="2" t="s">
        <v>123</v>
      </c>
      <c r="P125" s="2"/>
      <c r="AD125" s="2" t="s">
        <v>124</v>
      </c>
      <c r="AE125" s="2" t="s">
        <v>223</v>
      </c>
      <c r="AF125" s="2">
        <v>2018</v>
      </c>
      <c r="AG125" s="2" t="s">
        <v>148</v>
      </c>
      <c r="AH125" s="2" t="s">
        <v>461</v>
      </c>
      <c r="AI125" s="2" t="s">
        <v>162</v>
      </c>
      <c r="AJ125" s="2" t="s">
        <v>162</v>
      </c>
      <c r="AK125" s="2" t="s">
        <v>150</v>
      </c>
      <c r="AL125" s="2" t="s">
        <v>169</v>
      </c>
      <c r="AM125" s="2" t="s">
        <v>132</v>
      </c>
      <c r="AN125" s="2" t="s">
        <v>1848</v>
      </c>
      <c r="AO125" s="2" t="s">
        <v>302</v>
      </c>
      <c r="AP125" s="2" t="s">
        <v>132</v>
      </c>
      <c r="AQ125" s="2" t="s">
        <v>1849</v>
      </c>
      <c r="AR125" s="2" t="s">
        <v>1850</v>
      </c>
      <c r="AS125" s="2" t="s">
        <v>1851</v>
      </c>
      <c r="AT125" s="2" t="s">
        <v>157</v>
      </c>
      <c r="AV125" s="2" t="s">
        <v>123</v>
      </c>
      <c r="CP125" s="2" t="s">
        <v>123</v>
      </c>
      <c r="CZ125" s="2" t="s">
        <v>123</v>
      </c>
      <c r="DJ125" s="2" t="s">
        <v>123</v>
      </c>
      <c r="EM125" s="2" t="s">
        <v>123</v>
      </c>
      <c r="FM125" s="2" t="s">
        <v>123</v>
      </c>
      <c r="GU125" s="2" t="s">
        <v>1852</v>
      </c>
      <c r="GV125" s="2" t="s">
        <v>1853</v>
      </c>
      <c r="GW125" s="2" t="s">
        <v>1854</v>
      </c>
      <c r="GX125" s="2" t="s">
        <v>140</v>
      </c>
      <c r="GY125" s="2">
        <v>1994</v>
      </c>
      <c r="GZ125" s="2" t="s">
        <v>141</v>
      </c>
      <c r="HA125" s="2" t="s">
        <v>1855</v>
      </c>
      <c r="HB125" s="2" t="s">
        <v>1856</v>
      </c>
    </row>
    <row r="126" spans="1:212" x14ac:dyDescent="0.45">
      <c r="A126" s="2" t="s">
        <v>1866</v>
      </c>
      <c r="B126" s="2">
        <v>124</v>
      </c>
      <c r="C126" s="2" t="s">
        <v>1864</v>
      </c>
      <c r="D126" s="2" t="s">
        <v>118</v>
      </c>
      <c r="E126" s="2" t="s">
        <v>359</v>
      </c>
      <c r="G126" s="2"/>
      <c r="I126" s="2" t="s">
        <v>119</v>
      </c>
      <c r="J126" s="2" t="s">
        <v>1865</v>
      </c>
      <c r="K126" s="2">
        <v>607</v>
      </c>
      <c r="L126" s="2">
        <v>0</v>
      </c>
      <c r="M126" s="2" t="s">
        <v>122</v>
      </c>
      <c r="N126" s="2" t="s">
        <v>123</v>
      </c>
      <c r="P126" s="2"/>
      <c r="AD126" s="2" t="s">
        <v>124</v>
      </c>
      <c r="AE126" s="2" t="s">
        <v>191</v>
      </c>
      <c r="AF126" s="2">
        <v>2015</v>
      </c>
      <c r="AG126" s="2" t="s">
        <v>148</v>
      </c>
      <c r="AH126" s="2" t="s">
        <v>1867</v>
      </c>
      <c r="AI126" s="2" t="s">
        <v>162</v>
      </c>
      <c r="AJ126" s="2" t="s">
        <v>150</v>
      </c>
      <c r="AK126" s="2" t="s">
        <v>169</v>
      </c>
      <c r="AL126" s="2" t="s">
        <v>151</v>
      </c>
      <c r="AM126" s="2" t="s">
        <v>162</v>
      </c>
      <c r="AN126" s="2" t="s">
        <v>1868</v>
      </c>
      <c r="AO126" s="2" t="s">
        <v>153</v>
      </c>
      <c r="AP126" s="2" t="s">
        <v>226</v>
      </c>
      <c r="AQ126" s="2" t="s">
        <v>1869</v>
      </c>
      <c r="AR126" s="2" t="s">
        <v>1870</v>
      </c>
      <c r="AS126" s="2" t="s">
        <v>1871</v>
      </c>
      <c r="AT126" s="2" t="s">
        <v>172</v>
      </c>
      <c r="AV126" s="2" t="s">
        <v>123</v>
      </c>
      <c r="AW126" s="2" t="s">
        <v>132</v>
      </c>
      <c r="CP126" s="2" t="s">
        <v>123</v>
      </c>
      <c r="CZ126" s="2" t="s">
        <v>123</v>
      </c>
      <c r="DJ126" s="2" t="s">
        <v>123</v>
      </c>
      <c r="EM126" s="2" t="s">
        <v>123</v>
      </c>
      <c r="FM126" s="2" t="s">
        <v>123</v>
      </c>
      <c r="GU126" s="2" t="s">
        <v>276</v>
      </c>
      <c r="GV126" s="2" t="s">
        <v>1872</v>
      </c>
      <c r="GW126" s="2" t="s">
        <v>1873</v>
      </c>
      <c r="GX126" s="2" t="s">
        <v>186</v>
      </c>
      <c r="GY126" s="2">
        <v>1991</v>
      </c>
      <c r="GZ126" s="2" t="s">
        <v>398</v>
      </c>
    </row>
    <row r="127" spans="1:212" x14ac:dyDescent="0.45">
      <c r="A127" s="2" t="s">
        <v>1882</v>
      </c>
      <c r="B127" s="2">
        <v>125</v>
      </c>
      <c r="C127" s="2" t="s">
        <v>1880</v>
      </c>
      <c r="D127" s="2" t="s">
        <v>118</v>
      </c>
      <c r="E127" s="2" t="s">
        <v>359</v>
      </c>
      <c r="G127" s="2"/>
      <c r="I127" s="2" t="s">
        <v>119</v>
      </c>
      <c r="J127" s="2" t="s">
        <v>1881</v>
      </c>
      <c r="K127" s="2">
        <v>627</v>
      </c>
      <c r="L127" s="2">
        <v>0</v>
      </c>
      <c r="M127" s="2" t="s">
        <v>122</v>
      </c>
      <c r="N127" s="2" t="s">
        <v>123</v>
      </c>
      <c r="P127" s="2"/>
      <c r="AD127" s="2" t="s">
        <v>124</v>
      </c>
      <c r="AE127" s="2" t="s">
        <v>125</v>
      </c>
      <c r="AF127" s="2">
        <v>2011</v>
      </c>
      <c r="AG127" s="2" t="s">
        <v>126</v>
      </c>
      <c r="AH127" s="2" t="s">
        <v>1883</v>
      </c>
      <c r="AI127" s="2" t="s">
        <v>169</v>
      </c>
      <c r="AJ127" s="2" t="s">
        <v>169</v>
      </c>
      <c r="AK127" s="2" t="s">
        <v>169</v>
      </c>
      <c r="AL127" s="2" t="s">
        <v>151</v>
      </c>
      <c r="AM127" s="2" t="s">
        <v>150</v>
      </c>
      <c r="AN127" s="2" t="s">
        <v>1884</v>
      </c>
      <c r="AO127" s="2" t="s">
        <v>131</v>
      </c>
      <c r="AP127" s="2" t="s">
        <v>153</v>
      </c>
      <c r="AQ127" s="2" t="s">
        <v>1885</v>
      </c>
      <c r="AR127" s="2" t="s">
        <v>1886</v>
      </c>
      <c r="AS127" s="2" t="s">
        <v>1887</v>
      </c>
      <c r="AT127" s="2" t="s">
        <v>157</v>
      </c>
      <c r="AU127" s="2" t="s">
        <v>1888</v>
      </c>
      <c r="AV127" s="2" t="s">
        <v>123</v>
      </c>
      <c r="AW127" s="2" t="s">
        <v>132</v>
      </c>
      <c r="CP127" s="2" t="s">
        <v>123</v>
      </c>
      <c r="CZ127" s="2" t="s">
        <v>123</v>
      </c>
      <c r="DJ127" s="2" t="s">
        <v>123</v>
      </c>
      <c r="EM127" s="2" t="s">
        <v>177</v>
      </c>
      <c r="EN127" s="2" t="s">
        <v>180</v>
      </c>
      <c r="EO127" s="2" t="s">
        <v>132</v>
      </c>
      <c r="EP127" s="2" t="s">
        <v>1889</v>
      </c>
      <c r="EQ127" s="2" t="s">
        <v>132</v>
      </c>
      <c r="ER127" s="2" t="s">
        <v>132</v>
      </c>
      <c r="ES127" s="2" t="s">
        <v>132</v>
      </c>
      <c r="ET127" s="2" t="s">
        <v>180</v>
      </c>
      <c r="EU127" s="2" t="s">
        <v>1889</v>
      </c>
      <c r="EV127" s="2" t="s">
        <v>1889</v>
      </c>
      <c r="EW127" s="2" t="s">
        <v>173</v>
      </c>
      <c r="FM127" s="2" t="s">
        <v>123</v>
      </c>
      <c r="GU127" s="2" t="s">
        <v>1889</v>
      </c>
      <c r="GV127" s="2" t="s">
        <v>1889</v>
      </c>
      <c r="GW127" s="2" t="s">
        <v>1889</v>
      </c>
      <c r="GX127" s="2" t="s">
        <v>140</v>
      </c>
      <c r="GY127" s="2">
        <v>1987</v>
      </c>
      <c r="GZ127" s="2" t="s">
        <v>220</v>
      </c>
      <c r="HB127" s="2" t="s">
        <v>1889</v>
      </c>
      <c r="HC127" s="2" t="s">
        <v>1889</v>
      </c>
    </row>
    <row r="128" spans="1:212" x14ac:dyDescent="0.45">
      <c r="A128" s="2" t="s">
        <v>1892</v>
      </c>
      <c r="B128" s="2">
        <v>126</v>
      </c>
      <c r="C128" s="2" t="s">
        <v>1890</v>
      </c>
      <c r="D128" s="2" t="s">
        <v>118</v>
      </c>
      <c r="G128" s="2"/>
      <c r="I128" s="2" t="s">
        <v>119</v>
      </c>
      <c r="J128" s="2" t="s">
        <v>1891</v>
      </c>
      <c r="K128" s="2">
        <v>680</v>
      </c>
      <c r="L128" s="2">
        <v>0</v>
      </c>
      <c r="M128" s="2" t="s">
        <v>122</v>
      </c>
      <c r="N128" s="2" t="s">
        <v>123</v>
      </c>
      <c r="P128" s="2"/>
      <c r="AD128" s="2" t="s">
        <v>124</v>
      </c>
      <c r="AE128" s="2" t="s">
        <v>191</v>
      </c>
      <c r="AF128" s="2">
        <v>2016</v>
      </c>
      <c r="AG128" s="2" t="s">
        <v>126</v>
      </c>
      <c r="AH128" s="2" t="s">
        <v>1893</v>
      </c>
      <c r="AI128" s="2" t="s">
        <v>150</v>
      </c>
      <c r="AJ128" s="2" t="s">
        <v>150</v>
      </c>
      <c r="AK128" s="2" t="s">
        <v>150</v>
      </c>
      <c r="AL128" s="2" t="s">
        <v>128</v>
      </c>
      <c r="AM128" s="2" t="s">
        <v>150</v>
      </c>
      <c r="AN128" s="2" t="s">
        <v>530</v>
      </c>
      <c r="AO128" s="2" t="s">
        <v>302</v>
      </c>
      <c r="AP128" s="2" t="s">
        <v>226</v>
      </c>
      <c r="AR128" s="2" t="s">
        <v>1894</v>
      </c>
      <c r="AS128" s="2" t="s">
        <v>1895</v>
      </c>
      <c r="AT128" s="2" t="s">
        <v>157</v>
      </c>
      <c r="AV128" s="2" t="s">
        <v>123</v>
      </c>
      <c r="AW128" s="2" t="s">
        <v>132</v>
      </c>
      <c r="CP128" s="2" t="s">
        <v>123</v>
      </c>
      <c r="CZ128" s="2" t="s">
        <v>123</v>
      </c>
      <c r="DJ128" s="2" t="s">
        <v>123</v>
      </c>
      <c r="EM128" s="2" t="s">
        <v>123</v>
      </c>
      <c r="FM128" s="2" t="s">
        <v>123</v>
      </c>
      <c r="GU128" s="2" t="s">
        <v>1896</v>
      </c>
      <c r="GV128" s="2" t="s">
        <v>1897</v>
      </c>
      <c r="GW128" s="2" t="s">
        <v>1898</v>
      </c>
      <c r="GX128" s="2" t="s">
        <v>140</v>
      </c>
      <c r="GY128" s="2">
        <v>1991</v>
      </c>
      <c r="GZ128" s="2" t="s">
        <v>398</v>
      </c>
    </row>
    <row r="129" spans="1:212" x14ac:dyDescent="0.45">
      <c r="A129" s="2" t="s">
        <v>1901</v>
      </c>
      <c r="B129" s="2">
        <v>127</v>
      </c>
      <c r="C129" s="2" t="s">
        <v>1899</v>
      </c>
      <c r="D129" s="2" t="s">
        <v>118</v>
      </c>
      <c r="E129" s="2" t="s">
        <v>359</v>
      </c>
      <c r="G129" s="2"/>
      <c r="I129" s="2" t="s">
        <v>119</v>
      </c>
      <c r="J129" s="2" t="s">
        <v>1900</v>
      </c>
      <c r="K129" s="2">
        <v>650</v>
      </c>
      <c r="L129" s="2">
        <v>0</v>
      </c>
      <c r="M129" s="2" t="s">
        <v>122</v>
      </c>
      <c r="N129" s="2" t="s">
        <v>123</v>
      </c>
      <c r="P129" s="2"/>
      <c r="AD129" s="2" t="s">
        <v>124</v>
      </c>
      <c r="AE129" s="2" t="s">
        <v>742</v>
      </c>
      <c r="AF129" s="2">
        <v>2009</v>
      </c>
      <c r="AG129" s="2" t="s">
        <v>148</v>
      </c>
      <c r="AH129" s="2" t="s">
        <v>1666</v>
      </c>
      <c r="AI129" s="2" t="s">
        <v>162</v>
      </c>
      <c r="AJ129" s="2" t="s">
        <v>151</v>
      </c>
      <c r="AK129" s="2" t="s">
        <v>236</v>
      </c>
      <c r="AL129" s="2" t="s">
        <v>236</v>
      </c>
      <c r="AM129" s="2" t="s">
        <v>128</v>
      </c>
      <c r="AN129" s="2">
        <v>9</v>
      </c>
      <c r="AO129" s="2" t="s">
        <v>131</v>
      </c>
      <c r="AP129" s="2" t="s">
        <v>153</v>
      </c>
      <c r="AQ129" s="2" t="s">
        <v>1902</v>
      </c>
      <c r="AR129" s="2" t="s">
        <v>1903</v>
      </c>
      <c r="AS129" s="2" t="s">
        <v>1904</v>
      </c>
      <c r="AU129" s="2" t="s">
        <v>1905</v>
      </c>
      <c r="AV129" s="2" t="s">
        <v>123</v>
      </c>
      <c r="AW129" s="2" t="s">
        <v>132</v>
      </c>
      <c r="CP129" s="2" t="s">
        <v>123</v>
      </c>
      <c r="CZ129" s="2" t="s">
        <v>123</v>
      </c>
      <c r="DJ129" s="2" t="s">
        <v>123</v>
      </c>
      <c r="EM129" s="2" t="s">
        <v>123</v>
      </c>
      <c r="FM129" s="2" t="s">
        <v>123</v>
      </c>
      <c r="GU129" s="2" t="s">
        <v>1906</v>
      </c>
      <c r="GV129" s="2" t="s">
        <v>1907</v>
      </c>
      <c r="GW129" s="2" t="s">
        <v>1908</v>
      </c>
      <c r="GX129" s="2" t="s">
        <v>140</v>
      </c>
      <c r="GY129" s="2">
        <v>1985</v>
      </c>
      <c r="GZ129" s="2" t="s">
        <v>141</v>
      </c>
      <c r="HB129" s="2" t="s">
        <v>142</v>
      </c>
      <c r="HC129" s="2" t="s">
        <v>1909</v>
      </c>
    </row>
    <row r="130" spans="1:212" x14ac:dyDescent="0.45">
      <c r="A130" s="2" t="s">
        <v>1913</v>
      </c>
      <c r="B130" s="2">
        <v>128</v>
      </c>
      <c r="C130" s="2" t="s">
        <v>1910</v>
      </c>
      <c r="D130" s="2" t="s">
        <v>118</v>
      </c>
      <c r="E130" s="2" t="s">
        <v>1911</v>
      </c>
      <c r="G130" s="2"/>
      <c r="I130" s="2" t="s">
        <v>119</v>
      </c>
      <c r="J130" s="2" t="s">
        <v>1912</v>
      </c>
      <c r="K130" s="2">
        <v>1026</v>
      </c>
      <c r="L130" s="2">
        <v>0</v>
      </c>
      <c r="M130" s="2" t="s">
        <v>122</v>
      </c>
      <c r="N130" s="2" t="s">
        <v>123</v>
      </c>
      <c r="P130" s="2"/>
      <c r="AD130" s="2" t="s">
        <v>124</v>
      </c>
      <c r="AE130" s="2" t="s">
        <v>191</v>
      </c>
      <c r="AF130" s="2">
        <v>2011</v>
      </c>
      <c r="AG130" s="2" t="s">
        <v>126</v>
      </c>
      <c r="AH130" s="2" t="s">
        <v>1914</v>
      </c>
      <c r="AI130" s="2" t="s">
        <v>150</v>
      </c>
      <c r="AJ130" s="2" t="s">
        <v>162</v>
      </c>
      <c r="AK130" s="2" t="s">
        <v>150</v>
      </c>
      <c r="AL130" s="2" t="s">
        <v>151</v>
      </c>
      <c r="AM130" s="2" t="s">
        <v>169</v>
      </c>
      <c r="AN130" s="2" t="s">
        <v>1362</v>
      </c>
      <c r="AO130" s="2" t="s">
        <v>131</v>
      </c>
      <c r="AP130" s="2" t="s">
        <v>759</v>
      </c>
      <c r="AQ130" s="2" t="s">
        <v>1915</v>
      </c>
      <c r="AR130" s="2" t="s">
        <v>1916</v>
      </c>
      <c r="AS130" s="2" t="s">
        <v>1917</v>
      </c>
      <c r="AU130" s="2" t="s">
        <v>1918</v>
      </c>
      <c r="AV130" s="2" t="s">
        <v>123</v>
      </c>
      <c r="CP130" s="2" t="s">
        <v>123</v>
      </c>
      <c r="CZ130" s="2" t="s">
        <v>123</v>
      </c>
      <c r="DJ130" s="2" t="s">
        <v>123</v>
      </c>
      <c r="EM130" s="2" t="s">
        <v>123</v>
      </c>
      <c r="FM130" s="2" t="s">
        <v>123</v>
      </c>
      <c r="GU130" s="2" t="s">
        <v>1919</v>
      </c>
      <c r="GV130" s="2" t="s">
        <v>1920</v>
      </c>
      <c r="GW130" s="2" t="s">
        <v>1921</v>
      </c>
      <c r="GX130" s="2" t="s">
        <v>140</v>
      </c>
      <c r="GY130" s="2">
        <v>1987</v>
      </c>
      <c r="GZ130" s="2" t="s">
        <v>220</v>
      </c>
      <c r="HB130" s="2" t="s">
        <v>1922</v>
      </c>
      <c r="HC130" s="2" t="s">
        <v>1923</v>
      </c>
      <c r="HD130" s="2" t="s">
        <v>1924</v>
      </c>
    </row>
    <row r="131" spans="1:212" x14ac:dyDescent="0.45">
      <c r="A131" s="2" t="s">
        <v>1929</v>
      </c>
      <c r="B131" s="2">
        <v>129</v>
      </c>
      <c r="C131" s="2" t="s">
        <v>1142</v>
      </c>
      <c r="D131" s="2" t="s">
        <v>118</v>
      </c>
      <c r="E131" s="2" t="s">
        <v>1927</v>
      </c>
      <c r="G131" s="2"/>
      <c r="I131" s="2" t="s">
        <v>119</v>
      </c>
      <c r="J131" s="2" t="s">
        <v>1928</v>
      </c>
      <c r="K131" s="2">
        <v>1449</v>
      </c>
      <c r="L131" s="2">
        <v>0</v>
      </c>
      <c r="M131" s="2" t="s">
        <v>122</v>
      </c>
      <c r="N131" s="2" t="s">
        <v>123</v>
      </c>
      <c r="P131" s="2"/>
      <c r="AD131" s="2" t="s">
        <v>124</v>
      </c>
      <c r="AE131" s="2" t="s">
        <v>1930</v>
      </c>
      <c r="AF131" s="2">
        <v>2007</v>
      </c>
      <c r="AG131" s="2" t="s">
        <v>126</v>
      </c>
      <c r="AH131" s="2" t="s">
        <v>1931</v>
      </c>
      <c r="AI131" s="2" t="s">
        <v>162</v>
      </c>
      <c r="AJ131" s="2" t="s">
        <v>162</v>
      </c>
      <c r="AK131" s="2" t="s">
        <v>169</v>
      </c>
      <c r="AL131" s="2" t="s">
        <v>169</v>
      </c>
      <c r="AM131" s="2" t="s">
        <v>169</v>
      </c>
      <c r="AN131" s="2" t="s">
        <v>1932</v>
      </c>
      <c r="AO131" s="2" t="s">
        <v>302</v>
      </c>
      <c r="AP131" s="2" t="s">
        <v>153</v>
      </c>
      <c r="AQ131" s="2" t="s">
        <v>1933</v>
      </c>
      <c r="AR131" s="2" t="s">
        <v>1934</v>
      </c>
      <c r="AS131" s="2" t="s">
        <v>1935</v>
      </c>
      <c r="AU131" s="2" t="s">
        <v>1936</v>
      </c>
      <c r="AV131" s="2" t="s">
        <v>123</v>
      </c>
      <c r="CP131" s="2" t="s">
        <v>123</v>
      </c>
      <c r="CZ131" s="2" t="s">
        <v>123</v>
      </c>
      <c r="DJ131" s="2" t="s">
        <v>123</v>
      </c>
      <c r="EM131" s="2" t="s">
        <v>123</v>
      </c>
      <c r="FM131" s="2" t="s">
        <v>123</v>
      </c>
      <c r="GU131" s="2" t="s">
        <v>1937</v>
      </c>
      <c r="GV131" s="2" t="s">
        <v>1938</v>
      </c>
      <c r="GW131" s="2" t="s">
        <v>1939</v>
      </c>
      <c r="GX131" s="2" t="s">
        <v>186</v>
      </c>
      <c r="GY131" s="2">
        <v>2007</v>
      </c>
      <c r="GZ131" s="2" t="s">
        <v>398</v>
      </c>
      <c r="HB131" s="2" t="s">
        <v>1940</v>
      </c>
    </row>
    <row r="132" spans="1:212" x14ac:dyDescent="0.45">
      <c r="A132" s="2" t="s">
        <v>1953</v>
      </c>
      <c r="B132" s="2">
        <v>130</v>
      </c>
      <c r="C132" s="2" t="s">
        <v>1951</v>
      </c>
      <c r="D132" s="2" t="s">
        <v>118</v>
      </c>
      <c r="G132" s="2"/>
      <c r="I132" s="2" t="s">
        <v>119</v>
      </c>
      <c r="J132" s="2" t="s">
        <v>1952</v>
      </c>
      <c r="K132" s="2">
        <v>942</v>
      </c>
      <c r="L132" s="2">
        <v>0</v>
      </c>
      <c r="M132" s="2" t="s">
        <v>122</v>
      </c>
      <c r="N132" s="2" t="s">
        <v>123</v>
      </c>
      <c r="P132" s="2"/>
      <c r="AD132" s="2" t="s">
        <v>124</v>
      </c>
      <c r="AE132" s="2" t="s">
        <v>1954</v>
      </c>
      <c r="AF132" s="2">
        <v>2012</v>
      </c>
      <c r="AG132" s="2" t="s">
        <v>148</v>
      </c>
      <c r="AH132" s="2" t="s">
        <v>161</v>
      </c>
      <c r="AI132" s="2" t="s">
        <v>128</v>
      </c>
      <c r="AJ132" s="2" t="s">
        <v>162</v>
      </c>
      <c r="AK132" s="2" t="s">
        <v>128</v>
      </c>
      <c r="AL132" s="2" t="s">
        <v>128</v>
      </c>
      <c r="AM132" s="2" t="s">
        <v>236</v>
      </c>
      <c r="AN132" s="2" t="s">
        <v>530</v>
      </c>
      <c r="AO132" s="2" t="s">
        <v>302</v>
      </c>
      <c r="AP132" s="2" t="s">
        <v>131</v>
      </c>
      <c r="AQ132" s="2" t="s">
        <v>1955</v>
      </c>
      <c r="AR132" s="2" t="s">
        <v>1956</v>
      </c>
      <c r="AS132" s="2" t="s">
        <v>1957</v>
      </c>
      <c r="AT132" s="2" t="s">
        <v>157</v>
      </c>
      <c r="AV132" s="2" t="s">
        <v>123</v>
      </c>
      <c r="AW132" s="2" t="s">
        <v>132</v>
      </c>
      <c r="CP132" s="2" t="s">
        <v>123</v>
      </c>
      <c r="CZ132" s="2" t="s">
        <v>123</v>
      </c>
      <c r="DJ132" s="2" t="s">
        <v>123</v>
      </c>
      <c r="EM132" s="2" t="s">
        <v>123</v>
      </c>
      <c r="FM132" s="2" t="s">
        <v>123</v>
      </c>
      <c r="GU132" s="2" t="s">
        <v>1958</v>
      </c>
      <c r="GV132" s="2" t="s">
        <v>1959</v>
      </c>
      <c r="GW132" s="2" t="s">
        <v>1960</v>
      </c>
      <c r="GX132" s="2" t="s">
        <v>140</v>
      </c>
      <c r="GY132" s="2">
        <v>1986</v>
      </c>
      <c r="GZ132" s="2" t="s">
        <v>1630</v>
      </c>
      <c r="HB132" s="2" t="s">
        <v>1961</v>
      </c>
      <c r="HC132" s="2" t="s">
        <v>142</v>
      </c>
    </row>
    <row r="133" spans="1:212" x14ac:dyDescent="0.45">
      <c r="A133" s="2" t="s">
        <v>1968</v>
      </c>
      <c r="B133" s="2">
        <v>131</v>
      </c>
      <c r="C133" s="2" t="s">
        <v>1965</v>
      </c>
      <c r="D133" s="2" t="s">
        <v>118</v>
      </c>
      <c r="E133" s="2" t="s">
        <v>1966</v>
      </c>
      <c r="G133" s="2"/>
      <c r="I133" s="2" t="s">
        <v>119</v>
      </c>
      <c r="J133" s="2" t="s">
        <v>1967</v>
      </c>
      <c r="K133" s="2">
        <v>504</v>
      </c>
      <c r="L133" s="2">
        <v>0</v>
      </c>
      <c r="M133" s="2" t="s">
        <v>122</v>
      </c>
      <c r="N133" s="2" t="s">
        <v>123</v>
      </c>
      <c r="P133" s="2"/>
      <c r="AD133" s="2" t="s">
        <v>124</v>
      </c>
      <c r="AE133" s="2" t="s">
        <v>191</v>
      </c>
      <c r="AF133" s="2">
        <v>2003</v>
      </c>
      <c r="AG133" s="2" t="s">
        <v>126</v>
      </c>
      <c r="AH133" s="2" t="s">
        <v>127</v>
      </c>
      <c r="AI133" s="2" t="s">
        <v>150</v>
      </c>
      <c r="AJ133" s="2" t="s">
        <v>150</v>
      </c>
      <c r="AK133" s="2" t="s">
        <v>162</v>
      </c>
      <c r="AL133" s="2" t="s">
        <v>151</v>
      </c>
      <c r="AM133" s="2" t="s">
        <v>151</v>
      </c>
      <c r="AN133" s="2" t="s">
        <v>237</v>
      </c>
      <c r="AO133" s="2" t="s">
        <v>152</v>
      </c>
      <c r="AP133" s="2" t="s">
        <v>131</v>
      </c>
      <c r="AQ133" s="2" t="s">
        <v>1969</v>
      </c>
      <c r="AR133" s="2" t="s">
        <v>1970</v>
      </c>
      <c r="AS133" s="2" t="s">
        <v>1971</v>
      </c>
      <c r="AT133" s="2" t="s">
        <v>157</v>
      </c>
      <c r="AU133" s="2" t="s">
        <v>1972</v>
      </c>
      <c r="AV133" s="2" t="s">
        <v>123</v>
      </c>
      <c r="CP133" s="2" t="s">
        <v>123</v>
      </c>
      <c r="CZ133" s="2" t="s">
        <v>123</v>
      </c>
      <c r="DJ133" s="2" t="s">
        <v>123</v>
      </c>
      <c r="EM133" s="2" t="s">
        <v>123</v>
      </c>
      <c r="FM133" s="2" t="s">
        <v>123</v>
      </c>
      <c r="GU133" s="2" t="s">
        <v>1973</v>
      </c>
      <c r="GV133" s="2" t="s">
        <v>1363</v>
      </c>
      <c r="GW133" s="2" t="s">
        <v>1974</v>
      </c>
      <c r="GX133" s="2" t="s">
        <v>140</v>
      </c>
      <c r="GY133" s="2">
        <v>1979</v>
      </c>
      <c r="GZ133" s="2" t="s">
        <v>141</v>
      </c>
    </row>
    <row r="134" spans="1:212" x14ac:dyDescent="0.45">
      <c r="A134" s="2" t="s">
        <v>1977</v>
      </c>
      <c r="B134" s="2">
        <v>132</v>
      </c>
      <c r="C134" s="2" t="s">
        <v>1975</v>
      </c>
      <c r="D134" s="2" t="s">
        <v>118</v>
      </c>
      <c r="E134" s="2" t="s">
        <v>1736</v>
      </c>
      <c r="G134" s="2"/>
      <c r="I134" s="2" t="s">
        <v>119</v>
      </c>
      <c r="J134" s="2" t="s">
        <v>1976</v>
      </c>
      <c r="K134" s="2">
        <v>70</v>
      </c>
      <c r="L134" s="2">
        <v>0</v>
      </c>
      <c r="M134" s="2" t="s">
        <v>344</v>
      </c>
      <c r="N134" s="2" t="s">
        <v>416</v>
      </c>
      <c r="P134" s="2"/>
    </row>
    <row r="135" spans="1:212" x14ac:dyDescent="0.45">
      <c r="A135" s="2" t="s">
        <v>1980</v>
      </c>
      <c r="B135" s="2">
        <v>133</v>
      </c>
      <c r="C135" s="2" t="s">
        <v>1142</v>
      </c>
      <c r="D135" s="2" t="s">
        <v>118</v>
      </c>
      <c r="G135" s="2"/>
      <c r="I135" s="2" t="s">
        <v>119</v>
      </c>
      <c r="J135" s="2" t="s">
        <v>1979</v>
      </c>
      <c r="K135" s="2">
        <v>1026</v>
      </c>
      <c r="L135" s="2">
        <v>0</v>
      </c>
      <c r="M135" s="2" t="s">
        <v>122</v>
      </c>
      <c r="N135" s="2" t="s">
        <v>416</v>
      </c>
      <c r="O135" s="2" t="s">
        <v>1981</v>
      </c>
      <c r="P135" s="2" t="s">
        <v>148</v>
      </c>
      <c r="Q135" s="2" t="s">
        <v>1982</v>
      </c>
      <c r="R135" s="2" t="s">
        <v>162</v>
      </c>
      <c r="S135" s="2" t="s">
        <v>162</v>
      </c>
      <c r="T135" s="2" t="s">
        <v>150</v>
      </c>
      <c r="U135" s="2" t="s">
        <v>1983</v>
      </c>
      <c r="V135" s="2" t="s">
        <v>1984</v>
      </c>
      <c r="W135" s="2" t="s">
        <v>194</v>
      </c>
      <c r="X135" s="2" t="s">
        <v>1985</v>
      </c>
      <c r="Y135" s="2" t="s">
        <v>1986</v>
      </c>
      <c r="Z135" s="2" t="s">
        <v>1987</v>
      </c>
      <c r="AA135" s="2" t="s">
        <v>157</v>
      </c>
      <c r="AC135" s="2">
        <v>4</v>
      </c>
      <c r="AD135" s="2" t="s">
        <v>123</v>
      </c>
      <c r="AV135" s="2" t="s">
        <v>123</v>
      </c>
      <c r="CP135" s="2" t="s">
        <v>123</v>
      </c>
      <c r="CZ135" s="2" t="s">
        <v>123</v>
      </c>
      <c r="DJ135" s="2" t="s">
        <v>123</v>
      </c>
      <c r="EM135" s="2" t="s">
        <v>123</v>
      </c>
      <c r="FM135" s="2" t="s">
        <v>123</v>
      </c>
      <c r="GU135" s="2" t="s">
        <v>1988</v>
      </c>
      <c r="GV135" s="2" t="s">
        <v>1989</v>
      </c>
      <c r="GW135" s="2" t="s">
        <v>1990</v>
      </c>
      <c r="GX135" s="2" t="s">
        <v>186</v>
      </c>
      <c r="GY135" s="2">
        <v>1992</v>
      </c>
      <c r="GZ135" s="2" t="s">
        <v>246</v>
      </c>
      <c r="HB135" s="2" t="s">
        <v>1991</v>
      </c>
    </row>
    <row r="136" spans="1:212" x14ac:dyDescent="0.45">
      <c r="A136" s="2" t="s">
        <v>2016</v>
      </c>
      <c r="B136" s="2">
        <v>134</v>
      </c>
      <c r="C136" s="2" t="s">
        <v>2014</v>
      </c>
      <c r="D136" s="2" t="s">
        <v>118</v>
      </c>
      <c r="G136" s="2"/>
      <c r="I136" s="2" t="s">
        <v>119</v>
      </c>
      <c r="J136" s="2" t="s">
        <v>2015</v>
      </c>
      <c r="K136" s="2">
        <v>1430</v>
      </c>
      <c r="L136" s="2">
        <v>0</v>
      </c>
      <c r="M136" s="2" t="s">
        <v>122</v>
      </c>
      <c r="N136" s="2" t="s">
        <v>123</v>
      </c>
      <c r="P136" s="2"/>
      <c r="AD136" s="2" t="s">
        <v>124</v>
      </c>
      <c r="AE136" s="2" t="s">
        <v>191</v>
      </c>
      <c r="AF136" s="2">
        <v>1989</v>
      </c>
      <c r="AG136" s="2" t="s">
        <v>126</v>
      </c>
      <c r="AH136" s="2" t="s">
        <v>2017</v>
      </c>
      <c r="AI136" s="2" t="s">
        <v>150</v>
      </c>
      <c r="AJ136" s="2" t="s">
        <v>150</v>
      </c>
      <c r="AK136" s="2" t="s">
        <v>162</v>
      </c>
      <c r="AL136" s="2" t="s">
        <v>162</v>
      </c>
      <c r="AM136" s="2" t="s">
        <v>162</v>
      </c>
      <c r="AN136" s="2">
        <v>0</v>
      </c>
      <c r="AO136" s="2" t="s">
        <v>226</v>
      </c>
      <c r="AP136" s="2" t="s">
        <v>226</v>
      </c>
      <c r="AQ136" s="2" t="s">
        <v>2018</v>
      </c>
      <c r="AR136" s="2" t="s">
        <v>1229</v>
      </c>
      <c r="AS136" s="2" t="s">
        <v>1229</v>
      </c>
      <c r="AT136" s="2" t="s">
        <v>157</v>
      </c>
      <c r="AU136" s="2" t="s">
        <v>1271</v>
      </c>
      <c r="AV136" s="2" t="s">
        <v>159</v>
      </c>
      <c r="AW136" s="2">
        <v>1</v>
      </c>
      <c r="AX136" s="2" t="s">
        <v>191</v>
      </c>
      <c r="AY136" s="2">
        <v>2016</v>
      </c>
      <c r="AZ136" s="2" t="s">
        <v>126</v>
      </c>
      <c r="BA136" s="2" t="s">
        <v>2019</v>
      </c>
      <c r="BB136" s="2" t="s">
        <v>150</v>
      </c>
      <c r="BC136" s="2" t="s">
        <v>150</v>
      </c>
      <c r="BD136" s="2" t="s">
        <v>151</v>
      </c>
      <c r="BE136" s="2" t="s">
        <v>128</v>
      </c>
      <c r="BF136" s="2" t="s">
        <v>162</v>
      </c>
      <c r="BG136" s="2" t="s">
        <v>2020</v>
      </c>
      <c r="BH136" s="2" t="s">
        <v>2021</v>
      </c>
      <c r="BI136" s="2" t="s">
        <v>157</v>
      </c>
      <c r="BL136" s="2" t="s">
        <v>173</v>
      </c>
      <c r="CP136" s="2" t="s">
        <v>123</v>
      </c>
      <c r="CZ136" s="2" t="s">
        <v>123</v>
      </c>
      <c r="DJ136" s="2" t="s">
        <v>123</v>
      </c>
      <c r="EM136" s="2" t="s">
        <v>123</v>
      </c>
      <c r="FM136" s="2" t="s">
        <v>2022</v>
      </c>
      <c r="FN136" s="2" t="s">
        <v>2023</v>
      </c>
      <c r="FO136" s="2" t="s">
        <v>2024</v>
      </c>
      <c r="FP136" s="2">
        <v>1</v>
      </c>
      <c r="FQ136" s="2" t="s">
        <v>191</v>
      </c>
      <c r="FR136" s="2" t="s">
        <v>150</v>
      </c>
      <c r="FS136" s="2" t="s">
        <v>150</v>
      </c>
      <c r="FT136" s="2" t="s">
        <v>150</v>
      </c>
      <c r="FU136" s="2" t="s">
        <v>150</v>
      </c>
      <c r="FV136" s="2" t="s">
        <v>150</v>
      </c>
      <c r="FW136" s="2" t="s">
        <v>150</v>
      </c>
      <c r="FX136" s="2" t="s">
        <v>150</v>
      </c>
      <c r="FZ136" s="2" t="s">
        <v>2025</v>
      </c>
      <c r="GA136" s="2" t="s">
        <v>173</v>
      </c>
      <c r="GU136" s="2" t="s">
        <v>1229</v>
      </c>
      <c r="GV136" s="2" t="s">
        <v>1229</v>
      </c>
      <c r="GW136" s="2" t="s">
        <v>1229</v>
      </c>
      <c r="GX136" s="2" t="s">
        <v>186</v>
      </c>
      <c r="GY136" s="2">
        <v>1965</v>
      </c>
      <c r="GZ136" s="2" t="s">
        <v>220</v>
      </c>
      <c r="HB136" s="2" t="s">
        <v>2026</v>
      </c>
      <c r="HD136" s="2" t="s">
        <v>2027</v>
      </c>
    </row>
    <row r="137" spans="1:212" x14ac:dyDescent="0.45">
      <c r="A137" s="2" t="s">
        <v>2029</v>
      </c>
      <c r="B137" s="2">
        <v>135</v>
      </c>
      <c r="C137" s="2" t="s">
        <v>2014</v>
      </c>
      <c r="D137" s="2" t="s">
        <v>118</v>
      </c>
      <c r="G137" s="2"/>
      <c r="I137" s="2" t="s">
        <v>119</v>
      </c>
      <c r="J137" s="2" t="s">
        <v>2028</v>
      </c>
      <c r="K137" s="2">
        <v>721</v>
      </c>
      <c r="L137" s="2">
        <v>0</v>
      </c>
      <c r="M137" s="2" t="s">
        <v>122</v>
      </c>
      <c r="N137" s="2" t="s">
        <v>123</v>
      </c>
      <c r="P137" s="2"/>
      <c r="AD137" s="2" t="s">
        <v>124</v>
      </c>
      <c r="AE137" s="2" t="s">
        <v>234</v>
      </c>
      <c r="AF137" s="2">
        <v>1985</v>
      </c>
      <c r="AG137" s="2" t="s">
        <v>148</v>
      </c>
      <c r="AH137" s="2" t="s">
        <v>2030</v>
      </c>
      <c r="AI137" s="2" t="s">
        <v>169</v>
      </c>
      <c r="AJ137" s="2" t="s">
        <v>169</v>
      </c>
      <c r="AK137" s="2" t="s">
        <v>150</v>
      </c>
      <c r="AL137" s="2" t="s">
        <v>128</v>
      </c>
      <c r="AM137" s="2" t="s">
        <v>128</v>
      </c>
      <c r="AN137" s="2">
        <v>4</v>
      </c>
      <c r="AO137" s="2" t="s">
        <v>131</v>
      </c>
      <c r="AP137" s="2" t="s">
        <v>131</v>
      </c>
      <c r="AQ137" s="2" t="s">
        <v>2031</v>
      </c>
      <c r="AR137" s="2" t="s">
        <v>1229</v>
      </c>
      <c r="AS137" s="2" t="s">
        <v>1229</v>
      </c>
      <c r="AT137" s="2" t="s">
        <v>157</v>
      </c>
      <c r="AU137" s="2" t="s">
        <v>2032</v>
      </c>
      <c r="AV137" s="2" t="s">
        <v>123</v>
      </c>
      <c r="CP137" s="2" t="s">
        <v>123</v>
      </c>
      <c r="CZ137" s="2" t="s">
        <v>123</v>
      </c>
      <c r="DJ137" s="2" t="s">
        <v>174</v>
      </c>
      <c r="DK137" s="2" t="s">
        <v>394</v>
      </c>
      <c r="DO137" s="2" t="s">
        <v>234</v>
      </c>
      <c r="DP137" s="2" t="s">
        <v>162</v>
      </c>
      <c r="DQ137" s="2" t="s">
        <v>162</v>
      </c>
      <c r="DR137" s="2" t="s">
        <v>162</v>
      </c>
      <c r="DS137" s="2" t="s">
        <v>132</v>
      </c>
      <c r="DT137" s="2" t="s">
        <v>132</v>
      </c>
      <c r="DU137" s="2" t="s">
        <v>132</v>
      </c>
      <c r="DV137" s="2" t="s">
        <v>162</v>
      </c>
      <c r="DW137" s="2">
        <v>20</v>
      </c>
      <c r="DX137" s="2">
        <v>60</v>
      </c>
      <c r="DY137" s="2">
        <v>0</v>
      </c>
      <c r="DZ137" s="2">
        <v>0</v>
      </c>
      <c r="EA137" s="2">
        <v>0</v>
      </c>
      <c r="EB137" s="2">
        <v>20</v>
      </c>
      <c r="EC137" s="2">
        <v>0</v>
      </c>
      <c r="EE137" s="2">
        <v>20</v>
      </c>
      <c r="EF137" s="2">
        <v>60</v>
      </c>
      <c r="EG137" s="2">
        <v>0</v>
      </c>
      <c r="EH137" s="2">
        <v>0</v>
      </c>
      <c r="EI137" s="2">
        <v>0</v>
      </c>
      <c r="EJ137" s="2">
        <v>20</v>
      </c>
      <c r="EK137" s="2">
        <v>0</v>
      </c>
      <c r="EM137" s="2" t="s">
        <v>123</v>
      </c>
      <c r="FM137" s="2" t="s">
        <v>123</v>
      </c>
      <c r="GU137" s="2" t="s">
        <v>2033</v>
      </c>
      <c r="GV137" s="2" t="s">
        <v>1229</v>
      </c>
      <c r="GW137" s="2" t="s">
        <v>1229</v>
      </c>
      <c r="GX137" s="2" t="s">
        <v>186</v>
      </c>
      <c r="GY137" s="2">
        <v>1961</v>
      </c>
      <c r="GZ137" s="2" t="s">
        <v>141</v>
      </c>
    </row>
    <row r="138" spans="1:212" x14ac:dyDescent="0.45">
      <c r="A138" s="2" t="s">
        <v>2035</v>
      </c>
      <c r="B138" s="2">
        <v>136</v>
      </c>
      <c r="C138" s="2" t="s">
        <v>2014</v>
      </c>
      <c r="D138" s="2" t="s">
        <v>118</v>
      </c>
      <c r="G138" s="2"/>
      <c r="I138" s="2" t="s">
        <v>119</v>
      </c>
      <c r="J138" s="2" t="s">
        <v>2034</v>
      </c>
      <c r="K138" s="2">
        <v>1151</v>
      </c>
      <c r="L138" s="2">
        <v>0</v>
      </c>
      <c r="M138" s="2" t="s">
        <v>122</v>
      </c>
      <c r="N138" s="2" t="s">
        <v>123</v>
      </c>
      <c r="P138" s="2"/>
      <c r="AD138" s="2" t="s">
        <v>124</v>
      </c>
      <c r="AE138" s="2" t="s">
        <v>223</v>
      </c>
      <c r="AF138" s="2">
        <v>1987</v>
      </c>
      <c r="AG138" s="2" t="s">
        <v>148</v>
      </c>
      <c r="AH138" s="2" t="s">
        <v>554</v>
      </c>
      <c r="AI138" s="2" t="s">
        <v>132</v>
      </c>
      <c r="AJ138" s="2" t="s">
        <v>132</v>
      </c>
      <c r="AK138" s="2" t="s">
        <v>132</v>
      </c>
      <c r="AL138" s="2" t="s">
        <v>132</v>
      </c>
      <c r="AM138" s="2" t="s">
        <v>132</v>
      </c>
      <c r="AN138" s="2" t="s">
        <v>2036</v>
      </c>
      <c r="AO138" s="2" t="s">
        <v>132</v>
      </c>
      <c r="AP138" s="2" t="s">
        <v>132</v>
      </c>
      <c r="AR138" s="2" t="s">
        <v>1229</v>
      </c>
      <c r="AS138" s="2" t="s">
        <v>1229</v>
      </c>
      <c r="AT138" s="2" t="s">
        <v>157</v>
      </c>
      <c r="AU138" s="2" t="s">
        <v>2037</v>
      </c>
      <c r="AV138" s="2" t="s">
        <v>159</v>
      </c>
      <c r="AW138" s="2">
        <v>3</v>
      </c>
      <c r="AX138" s="2" t="s">
        <v>191</v>
      </c>
      <c r="AY138" s="2">
        <v>2020</v>
      </c>
      <c r="AZ138" s="2" t="s">
        <v>126</v>
      </c>
      <c r="BA138" s="2" t="s">
        <v>2038</v>
      </c>
      <c r="BB138" s="2" t="s">
        <v>150</v>
      </c>
      <c r="BC138" s="2" t="s">
        <v>162</v>
      </c>
      <c r="BD138" s="2" t="s">
        <v>169</v>
      </c>
      <c r="BE138" s="2" t="s">
        <v>150</v>
      </c>
      <c r="BF138" s="2" t="s">
        <v>132</v>
      </c>
      <c r="BG138" s="2" t="s">
        <v>2039</v>
      </c>
      <c r="BH138" s="2" t="s">
        <v>2040</v>
      </c>
      <c r="BI138" s="2" t="s">
        <v>157</v>
      </c>
      <c r="BL138" s="2" t="s">
        <v>166</v>
      </c>
      <c r="BM138" s="2" t="s">
        <v>191</v>
      </c>
      <c r="BN138" s="2">
        <v>2013</v>
      </c>
      <c r="BO138" s="2" t="s">
        <v>126</v>
      </c>
      <c r="BP138" s="2" t="s">
        <v>1867</v>
      </c>
      <c r="BQ138" s="2" t="s">
        <v>162</v>
      </c>
      <c r="BR138" s="2" t="s">
        <v>150</v>
      </c>
      <c r="BS138" s="2" t="s">
        <v>162</v>
      </c>
      <c r="BT138" s="2" t="s">
        <v>162</v>
      </c>
      <c r="BU138" s="2" t="s">
        <v>162</v>
      </c>
      <c r="BV138" s="2" t="s">
        <v>237</v>
      </c>
      <c r="BX138" s="2" t="s">
        <v>157</v>
      </c>
      <c r="BZ138" s="2" t="s">
        <v>2041</v>
      </c>
      <c r="CA138" s="2" t="s">
        <v>238</v>
      </c>
      <c r="CB138" s="2" t="s">
        <v>191</v>
      </c>
      <c r="CC138" s="2">
        <v>2016</v>
      </c>
      <c r="CD138" s="2" t="s">
        <v>126</v>
      </c>
      <c r="CE138" s="2" t="s">
        <v>2042</v>
      </c>
      <c r="CF138" s="2" t="s">
        <v>151</v>
      </c>
      <c r="CG138" s="2" t="s">
        <v>162</v>
      </c>
      <c r="CH138" s="2" t="s">
        <v>150</v>
      </c>
      <c r="CI138" s="2" t="s">
        <v>169</v>
      </c>
      <c r="CJ138" s="2" t="s">
        <v>150</v>
      </c>
      <c r="CK138" s="2" t="s">
        <v>237</v>
      </c>
      <c r="CL138" s="2" t="s">
        <v>2043</v>
      </c>
      <c r="CM138" s="2" t="s">
        <v>157</v>
      </c>
      <c r="CP138" s="2" t="s">
        <v>123</v>
      </c>
      <c r="CZ138" s="2" t="s">
        <v>123</v>
      </c>
      <c r="DJ138" s="2" t="s">
        <v>123</v>
      </c>
      <c r="EM138" s="2" t="s">
        <v>123</v>
      </c>
      <c r="FM138" s="2" t="s">
        <v>123</v>
      </c>
      <c r="GU138" s="2" t="s">
        <v>1229</v>
      </c>
      <c r="GV138" s="2" t="s">
        <v>1229</v>
      </c>
      <c r="GW138" s="2" t="s">
        <v>1229</v>
      </c>
      <c r="GX138" s="2" t="s">
        <v>186</v>
      </c>
      <c r="GY138" s="2">
        <v>1962</v>
      </c>
      <c r="GZ138" s="2" t="s">
        <v>141</v>
      </c>
      <c r="HC138" s="2" t="s">
        <v>2044</v>
      </c>
      <c r="HD138" s="2" t="s">
        <v>2045</v>
      </c>
    </row>
    <row r="139" spans="1:212" x14ac:dyDescent="0.45">
      <c r="A139" s="2" t="s">
        <v>2047</v>
      </c>
      <c r="B139" s="2">
        <v>137</v>
      </c>
      <c r="C139" s="2" t="s">
        <v>2014</v>
      </c>
      <c r="D139" s="2" t="s">
        <v>118</v>
      </c>
      <c r="G139" s="2"/>
      <c r="I139" s="2" t="s">
        <v>119</v>
      </c>
      <c r="J139" s="2" t="s">
        <v>2046</v>
      </c>
      <c r="K139" s="2">
        <v>707</v>
      </c>
      <c r="L139" s="2">
        <v>0</v>
      </c>
      <c r="M139" s="2" t="s">
        <v>122</v>
      </c>
      <c r="N139" s="2" t="s">
        <v>123</v>
      </c>
      <c r="P139" s="2"/>
      <c r="AD139" s="2" t="s">
        <v>124</v>
      </c>
      <c r="AE139" s="2" t="s">
        <v>191</v>
      </c>
      <c r="AF139" s="2">
        <v>1985</v>
      </c>
      <c r="AG139" s="2" t="s">
        <v>126</v>
      </c>
      <c r="AH139" s="2" t="s">
        <v>2017</v>
      </c>
      <c r="AI139" s="2" t="s">
        <v>150</v>
      </c>
      <c r="AJ139" s="2" t="s">
        <v>150</v>
      </c>
      <c r="AK139" s="2" t="s">
        <v>151</v>
      </c>
      <c r="AL139" s="2" t="s">
        <v>236</v>
      </c>
      <c r="AM139" s="2" t="s">
        <v>150</v>
      </c>
      <c r="AN139" s="2" t="s">
        <v>237</v>
      </c>
      <c r="AO139" s="2" t="s">
        <v>152</v>
      </c>
      <c r="AP139" s="2" t="s">
        <v>759</v>
      </c>
      <c r="AQ139" s="2" t="s">
        <v>2048</v>
      </c>
      <c r="AR139" s="2" t="s">
        <v>1229</v>
      </c>
      <c r="AS139" s="2" t="s">
        <v>1229</v>
      </c>
      <c r="AT139" s="2" t="s">
        <v>157</v>
      </c>
      <c r="AU139" s="2" t="s">
        <v>2032</v>
      </c>
      <c r="AV139" s="2" t="s">
        <v>159</v>
      </c>
      <c r="AW139" s="2">
        <v>1</v>
      </c>
      <c r="AX139" s="2" t="s">
        <v>191</v>
      </c>
      <c r="AY139" s="2">
        <v>2018</v>
      </c>
      <c r="AZ139" s="2" t="s">
        <v>126</v>
      </c>
      <c r="BA139" s="2" t="s">
        <v>2049</v>
      </c>
      <c r="BB139" s="2" t="s">
        <v>151</v>
      </c>
      <c r="BC139" s="2" t="s">
        <v>151</v>
      </c>
      <c r="BD139" s="2" t="s">
        <v>128</v>
      </c>
      <c r="BE139" s="2" t="s">
        <v>162</v>
      </c>
      <c r="BF139" s="2" t="s">
        <v>132</v>
      </c>
      <c r="BG139" s="2">
        <v>12</v>
      </c>
      <c r="BH139" s="2" t="s">
        <v>2050</v>
      </c>
      <c r="BI139" s="2" t="s">
        <v>157</v>
      </c>
      <c r="BL139" s="2" t="s">
        <v>173</v>
      </c>
      <c r="CP139" s="2" t="s">
        <v>123</v>
      </c>
      <c r="CZ139" s="2" t="s">
        <v>123</v>
      </c>
      <c r="DJ139" s="2" t="s">
        <v>123</v>
      </c>
      <c r="EM139" s="2" t="s">
        <v>177</v>
      </c>
      <c r="EN139" s="2" t="s">
        <v>178</v>
      </c>
      <c r="EO139" s="2">
        <v>2</v>
      </c>
      <c r="EP139" s="2" t="s">
        <v>191</v>
      </c>
      <c r="EQ139" s="2" t="s">
        <v>151</v>
      </c>
      <c r="ER139" s="2" t="s">
        <v>162</v>
      </c>
      <c r="ES139" s="2" t="s">
        <v>151</v>
      </c>
      <c r="ET139" s="2" t="s">
        <v>178</v>
      </c>
      <c r="EU139" s="2" t="s">
        <v>2051</v>
      </c>
      <c r="EV139" s="2" t="s">
        <v>2052</v>
      </c>
      <c r="EW139" s="2" t="s">
        <v>1206</v>
      </c>
      <c r="EX139" s="2" t="s">
        <v>223</v>
      </c>
      <c r="EY139" s="2" t="s">
        <v>162</v>
      </c>
      <c r="EZ139" s="2" t="s">
        <v>162</v>
      </c>
      <c r="FA139" s="2" t="s">
        <v>151</v>
      </c>
      <c r="FB139" s="2" t="s">
        <v>178</v>
      </c>
      <c r="FC139" s="2" t="s">
        <v>2053</v>
      </c>
      <c r="FD139" s="2" t="s">
        <v>2054</v>
      </c>
      <c r="FE139" s="2" t="s">
        <v>173</v>
      </c>
      <c r="FM139" s="2" t="s">
        <v>123</v>
      </c>
      <c r="GU139" s="2" t="s">
        <v>1229</v>
      </c>
      <c r="GV139" s="2" t="s">
        <v>1229</v>
      </c>
      <c r="GW139" s="2" t="s">
        <v>1229</v>
      </c>
      <c r="GX139" s="2" t="s">
        <v>186</v>
      </c>
      <c r="GY139" s="2">
        <v>1959</v>
      </c>
      <c r="GZ139" s="2" t="s">
        <v>141</v>
      </c>
      <c r="HB139" s="2" t="s">
        <v>2055</v>
      </c>
      <c r="HD139" s="2" t="s">
        <v>2056</v>
      </c>
    </row>
    <row r="140" spans="1:212" x14ac:dyDescent="0.45">
      <c r="A140" s="2" t="s">
        <v>2058</v>
      </c>
      <c r="B140" s="2">
        <v>138</v>
      </c>
      <c r="C140" s="2" t="s">
        <v>2014</v>
      </c>
      <c r="D140" s="2" t="s">
        <v>118</v>
      </c>
      <c r="G140" s="2"/>
      <c r="I140" s="2" t="s">
        <v>119</v>
      </c>
      <c r="J140" s="2" t="s">
        <v>2057</v>
      </c>
      <c r="K140" s="2">
        <v>616</v>
      </c>
      <c r="L140" s="2">
        <v>0</v>
      </c>
      <c r="M140" s="2" t="s">
        <v>122</v>
      </c>
      <c r="N140" s="2" t="s">
        <v>123</v>
      </c>
      <c r="P140" s="2"/>
      <c r="AD140" s="2" t="s">
        <v>124</v>
      </c>
      <c r="AE140" s="2" t="s">
        <v>223</v>
      </c>
      <c r="AF140" s="2">
        <v>1992</v>
      </c>
      <c r="AG140" s="2" t="s">
        <v>148</v>
      </c>
      <c r="AH140" s="2" t="s">
        <v>2059</v>
      </c>
      <c r="AI140" s="2" t="s">
        <v>150</v>
      </c>
      <c r="AJ140" s="2" t="s">
        <v>169</v>
      </c>
      <c r="AK140" s="2" t="s">
        <v>150</v>
      </c>
      <c r="AL140" s="2" t="s">
        <v>151</v>
      </c>
      <c r="AM140" s="2" t="s">
        <v>162</v>
      </c>
      <c r="AN140" s="2">
        <v>0</v>
      </c>
      <c r="AO140" s="2" t="s">
        <v>131</v>
      </c>
      <c r="AP140" s="2" t="s">
        <v>302</v>
      </c>
      <c r="AQ140" s="2" t="s">
        <v>2060</v>
      </c>
      <c r="AR140" s="2" t="s">
        <v>1229</v>
      </c>
      <c r="AS140" s="2" t="s">
        <v>1229</v>
      </c>
      <c r="AT140" s="2" t="s">
        <v>157</v>
      </c>
      <c r="AU140" s="2" t="s">
        <v>2032</v>
      </c>
      <c r="AV140" s="2" t="s">
        <v>159</v>
      </c>
      <c r="AW140" s="2">
        <v>1</v>
      </c>
      <c r="AX140" s="2" t="s">
        <v>445</v>
      </c>
      <c r="AY140" s="2">
        <v>2019</v>
      </c>
      <c r="AZ140" s="2" t="s">
        <v>148</v>
      </c>
      <c r="BA140" s="2" t="s">
        <v>461</v>
      </c>
      <c r="BB140" s="2" t="s">
        <v>169</v>
      </c>
      <c r="BC140" s="2" t="s">
        <v>169</v>
      </c>
      <c r="BD140" s="2" t="s">
        <v>169</v>
      </c>
      <c r="BE140" s="2" t="s">
        <v>169</v>
      </c>
      <c r="BF140" s="2" t="s">
        <v>132</v>
      </c>
      <c r="BG140" s="2" t="s">
        <v>2020</v>
      </c>
      <c r="BH140" s="2" t="s">
        <v>2061</v>
      </c>
      <c r="BI140" s="2" t="s">
        <v>157</v>
      </c>
      <c r="BK140" s="2" t="s">
        <v>2062</v>
      </c>
      <c r="BL140" s="2" t="s">
        <v>173</v>
      </c>
      <c r="CP140" s="2" t="s">
        <v>123</v>
      </c>
      <c r="CZ140" s="2" t="s">
        <v>123</v>
      </c>
      <c r="DJ140" s="2" t="s">
        <v>123</v>
      </c>
      <c r="EM140" s="2" t="s">
        <v>123</v>
      </c>
      <c r="FM140" s="2" t="s">
        <v>2022</v>
      </c>
      <c r="FN140" s="2" t="s">
        <v>2023</v>
      </c>
      <c r="FO140" s="2" t="s">
        <v>2063</v>
      </c>
      <c r="FP140" s="2">
        <v>1</v>
      </c>
      <c r="FQ140" s="2" t="s">
        <v>191</v>
      </c>
      <c r="FR140" s="2" t="s">
        <v>150</v>
      </c>
      <c r="FS140" s="2" t="s">
        <v>150</v>
      </c>
      <c r="FT140" s="2" t="s">
        <v>169</v>
      </c>
      <c r="FU140" s="2" t="s">
        <v>169</v>
      </c>
      <c r="FV140" s="2" t="s">
        <v>132</v>
      </c>
      <c r="FW140" s="2" t="s">
        <v>132</v>
      </c>
      <c r="FX140" s="2" t="s">
        <v>169</v>
      </c>
      <c r="GA140" s="2" t="s">
        <v>173</v>
      </c>
      <c r="GU140" s="2" t="s">
        <v>1229</v>
      </c>
      <c r="GV140" s="2" t="s">
        <v>1229</v>
      </c>
      <c r="GW140" s="2" t="s">
        <v>1229</v>
      </c>
      <c r="GX140" s="2" t="s">
        <v>186</v>
      </c>
      <c r="GY140" s="2">
        <v>1968</v>
      </c>
      <c r="GZ140" s="2" t="s">
        <v>220</v>
      </c>
      <c r="HB140" s="2" t="s">
        <v>2055</v>
      </c>
      <c r="HD140" s="2" t="s">
        <v>2064</v>
      </c>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7989-50F5-4CE4-9AAF-CCF334716A94}">
  <dimension ref="A4:U671"/>
  <sheetViews>
    <sheetView topLeftCell="A646" workbookViewId="0">
      <selection activeCell="A667" sqref="A667:B667"/>
    </sheetView>
  </sheetViews>
  <sheetFormatPr defaultRowHeight="14.25" x14ac:dyDescent="0.45"/>
  <cols>
    <col min="1" max="1" width="51" bestFit="1" customWidth="1"/>
    <col min="2" max="2" width="20.9296875" customWidth="1"/>
    <col min="4" max="4" width="23.53125" customWidth="1"/>
  </cols>
  <sheetData>
    <row r="4" spans="1:3" x14ac:dyDescent="0.45">
      <c r="A4">
        <v>259</v>
      </c>
      <c r="B4" t="s">
        <v>2336</v>
      </c>
    </row>
    <row r="5" spans="1:3" x14ac:dyDescent="0.45">
      <c r="A5">
        <v>138</v>
      </c>
      <c r="B5" t="s">
        <v>2337</v>
      </c>
    </row>
    <row r="6" spans="1:3" x14ac:dyDescent="0.45">
      <c r="A6" s="30">
        <f>A5/A4</f>
        <v>0.53281853281853286</v>
      </c>
      <c r="B6" t="s">
        <v>2340</v>
      </c>
      <c r="C6" s="30"/>
    </row>
    <row r="7" spans="1:3" x14ac:dyDescent="0.45">
      <c r="A7">
        <v>249</v>
      </c>
      <c r="B7" t="s">
        <v>2339</v>
      </c>
    </row>
    <row r="8" spans="1:3" x14ac:dyDescent="0.45">
      <c r="A8">
        <v>133</v>
      </c>
      <c r="B8" t="s">
        <v>2338</v>
      </c>
    </row>
    <row r="9" spans="1:3" x14ac:dyDescent="0.45">
      <c r="A9" s="30">
        <f>A8/A7</f>
        <v>0.53413654618473894</v>
      </c>
      <c r="B9" t="s">
        <v>2340</v>
      </c>
      <c r="C9" s="30"/>
    </row>
    <row r="16" spans="1:3" x14ac:dyDescent="0.45">
      <c r="A16" s="20" t="s">
        <v>2332</v>
      </c>
      <c r="C16" s="20" t="s">
        <v>2305</v>
      </c>
    </row>
    <row r="17" spans="1:4" x14ac:dyDescent="0.45">
      <c r="A17">
        <f>COUNTIFS(AnalizaCzyste[Czy jesteś studentem uczelni wyższej?],"*"&amp;"Tak"&amp;"*")</f>
        <v>2</v>
      </c>
      <c r="B17" s="20" t="s">
        <v>2296</v>
      </c>
      <c r="C17" s="30" t="e">
        <f>A17/$A$25</f>
        <v>#REF!</v>
      </c>
      <c r="D17" s="20" t="s">
        <v>2283</v>
      </c>
    </row>
    <row r="18" spans="1:4" x14ac:dyDescent="0.45">
      <c r="A18">
        <f>COUNTIFS(AnalizaCzyste[Czy jesteś absolwentem uczelni wyższej?],"*"&amp;"Tak"&amp;"*")</f>
        <v>33</v>
      </c>
      <c r="B18" t="s">
        <v>2297</v>
      </c>
      <c r="C18" s="30" t="e">
        <f t="shared" ref="C18:C24" si="0">A18/$A$25</f>
        <v>#REF!</v>
      </c>
      <c r="D18" t="s">
        <v>2281</v>
      </c>
    </row>
    <row r="19" spans="1:4" x14ac:dyDescent="0.45">
      <c r="A19">
        <f>COUNTIF(AnalizaCzyste[Czy jesteś rodzicem / opiekunem absolwenta uczelni wyższej?],"*"&amp;"Tak"&amp;"*")</f>
        <v>12</v>
      </c>
      <c r="B19" t="s">
        <v>2298</v>
      </c>
      <c r="C19" s="30" t="e">
        <f t="shared" si="0"/>
        <v>#REF!</v>
      </c>
      <c r="D19" t="s">
        <v>2284</v>
      </c>
    </row>
    <row r="20" spans="1:4" x14ac:dyDescent="0.45">
      <c r="A20">
        <f>COUNTIF(AnalizaCzyste[Czy jesteś aktualnie pracownikiem administracyjnym uczelni wyższej?],"*"&amp;"Tak"&amp;"*")</f>
        <v>4</v>
      </c>
      <c r="B20" t="s">
        <v>2299</v>
      </c>
      <c r="C20" s="30" t="e">
        <f t="shared" si="0"/>
        <v>#REF!</v>
      </c>
      <c r="D20" t="s">
        <v>2285</v>
      </c>
    </row>
    <row r="21" spans="1:4" x14ac:dyDescent="0.45">
      <c r="A21">
        <f>COUNTIF(AnalizaCzyste[Czy jesteś aktualnie pracownikiem naukowym lub dydaktycznym uczelni wyższej?],"*"&amp;"Tak"&amp;"*")</f>
        <v>12</v>
      </c>
      <c r="B21" t="s">
        <v>2300</v>
      </c>
      <c r="C21" s="30" t="e">
        <f t="shared" si="0"/>
        <v>#REF!</v>
      </c>
      <c r="D21" t="s">
        <v>2286</v>
      </c>
    </row>
    <row r="22" spans="1:4" x14ac:dyDescent="0.45">
      <c r="A22">
        <f>COUNTIF(AnalizaCzyste[Czy jesteś przedstawicielem władz uczelni z grupy rektorów, prorektorów, dziekanów, prodziekanów, członków senatu lub członków rady uczelni?],"*"&amp;"Tak"&amp;"*")</f>
        <v>6</v>
      </c>
      <c r="B22" t="s">
        <v>2301</v>
      </c>
      <c r="C22" s="30" t="e">
        <f t="shared" si="0"/>
        <v>#REF!</v>
      </c>
      <c r="D22" t="s">
        <v>2289</v>
      </c>
    </row>
    <row r="23" spans="1:4" x14ac:dyDescent="0.45">
      <c r="A23">
        <f>COUNTIF(AnalizaCzyste[Czy jesteś przedstawicielem firmy, w której są zatrudniani absolwenci uczelni wyższych (tytuł licencjata, magistra lub wyższy)?],"*"&amp;"Tak"&amp;"*")</f>
        <v>10</v>
      </c>
      <c r="B23" t="s">
        <v>2302</v>
      </c>
      <c r="C23" s="30" t="e">
        <f t="shared" si="0"/>
        <v>#REF!</v>
      </c>
      <c r="D23" t="s">
        <v>2291</v>
      </c>
    </row>
    <row r="24" spans="1:4" x14ac:dyDescent="0.45">
      <c r="A24">
        <f>COUNTIF(AnalizaCzyste[Czy jesteś przedstawicielem władz samorządowych lub centralnych Rzeczypospolitej Polskiej?],"*"&amp;"Tak"&amp;"*")</f>
        <v>3</v>
      </c>
      <c r="B24" t="s">
        <v>2303</v>
      </c>
      <c r="C24" s="30" t="e">
        <f t="shared" si="0"/>
        <v>#REF!</v>
      </c>
      <c r="D24" t="s">
        <v>2290</v>
      </c>
    </row>
    <row r="25" spans="1:4" x14ac:dyDescent="0.45">
      <c r="A25" s="29" t="e">
        <f>COUNTIF(#REF!,"*"&amp;"Tak"&amp;"*")</f>
        <v>#REF!</v>
      </c>
      <c r="B25" s="29" t="s">
        <v>2304</v>
      </c>
      <c r="C25" s="31" t="e">
        <f>SUM(C17:C24)</f>
        <v>#REF!</v>
      </c>
      <c r="D25" s="32" t="s">
        <v>2306</v>
      </c>
    </row>
    <row r="26" spans="1:4" x14ac:dyDescent="0.45">
      <c r="C26" s="20" t="s">
        <v>2309</v>
      </c>
    </row>
    <row r="28" spans="1:4" x14ac:dyDescent="0.45">
      <c r="A28" s="29" t="s">
        <v>2334</v>
      </c>
      <c r="C28" s="29" t="s">
        <v>2317</v>
      </c>
    </row>
    <row r="29" spans="1:4" x14ac:dyDescent="0.45">
      <c r="A29" s="43" t="e">
        <f>COUNTIFS(AnalizaCzyste[Płeć],"*"&amp;B29&amp;"*",#REF!,"*"&amp;"Tak"&amp;"*")</f>
        <v>#REF!</v>
      </c>
      <c r="B29" t="s">
        <v>140</v>
      </c>
      <c r="C29" s="30" t="e">
        <f>A29/$A$31</f>
        <v>#REF!</v>
      </c>
    </row>
    <row r="30" spans="1:4" x14ac:dyDescent="0.45">
      <c r="A30" s="43" t="e">
        <f>COUNTIFS(AnalizaCzyste[Płeć],"*"&amp;B30&amp;"*",#REF!,"*"&amp;"Tak"&amp;"*")</f>
        <v>#REF!</v>
      </c>
      <c r="B30" t="s">
        <v>186</v>
      </c>
      <c r="C30" s="30" t="e">
        <f>A30/$A$31</f>
        <v>#REF!</v>
      </c>
    </row>
    <row r="31" spans="1:4" x14ac:dyDescent="0.45">
      <c r="A31" s="29" t="e">
        <f>SUM(A29:A30)</f>
        <v>#REF!</v>
      </c>
      <c r="C31" s="33"/>
    </row>
    <row r="33" spans="1:3" x14ac:dyDescent="0.45">
      <c r="A33" s="29" t="s">
        <v>2335</v>
      </c>
    </row>
    <row r="34" spans="1:3" x14ac:dyDescent="0.45">
      <c r="C34" s="29" t="s">
        <v>2317</v>
      </c>
    </row>
    <row r="35" spans="1:3" x14ac:dyDescent="0.45">
      <c r="A35" t="e">
        <f>COUNTIFS(AnalizaCzyste[GrupaWiekowa],B35,#REF!,"*"&amp;"Tak"&amp;"*")</f>
        <v>#REF!</v>
      </c>
      <c r="B35" t="s">
        <v>2314</v>
      </c>
      <c r="C35" s="33" t="e">
        <f>A35/$A$42</f>
        <v>#REF!</v>
      </c>
    </row>
    <row r="36" spans="1:3" x14ac:dyDescent="0.45">
      <c r="A36" t="e">
        <f>COUNTIFS(AnalizaCzyste[GrupaWiekowa],B36,#REF!,"*"&amp;"Tak"&amp;"*")</f>
        <v>#REF!</v>
      </c>
      <c r="B36" s="20" t="s">
        <v>2449</v>
      </c>
      <c r="C36" s="33" t="e">
        <f t="shared" ref="C36:C41" si="1">A36/$A$42</f>
        <v>#REF!</v>
      </c>
    </row>
    <row r="37" spans="1:3" x14ac:dyDescent="0.45">
      <c r="A37" t="e">
        <f>COUNTIFS(AnalizaCzyste[GrupaWiekowa],B37,#REF!,"*"&amp;"Tak"&amp;"*")</f>
        <v>#REF!</v>
      </c>
      <c r="B37" s="20" t="s">
        <v>2450</v>
      </c>
      <c r="C37" s="33" t="e">
        <f t="shared" si="1"/>
        <v>#REF!</v>
      </c>
    </row>
    <row r="38" spans="1:3" x14ac:dyDescent="0.45">
      <c r="A38" t="e">
        <f>COUNTIFS(AnalizaCzyste[GrupaWiekowa],B38,#REF!,"*"&amp;"Tak"&amp;"*")</f>
        <v>#REF!</v>
      </c>
      <c r="B38" s="20" t="s">
        <v>2451</v>
      </c>
      <c r="C38" s="33" t="e">
        <f t="shared" si="1"/>
        <v>#REF!</v>
      </c>
    </row>
    <row r="39" spans="1:3" x14ac:dyDescent="0.45">
      <c r="A39" t="e">
        <f>COUNTIFS(AnalizaCzyste[GrupaWiekowa],B39,#REF!,"*"&amp;"Tak"&amp;"*")</f>
        <v>#REF!</v>
      </c>
      <c r="B39" s="20" t="s">
        <v>2452</v>
      </c>
      <c r="C39" s="33" t="e">
        <f t="shared" si="1"/>
        <v>#REF!</v>
      </c>
    </row>
    <row r="40" spans="1:3" x14ac:dyDescent="0.45">
      <c r="A40" t="e">
        <f>COUNTIFS(AnalizaCzyste[GrupaWiekowa],B40,#REF!,"*"&amp;"Tak"&amp;"*")</f>
        <v>#REF!</v>
      </c>
      <c r="B40" t="s">
        <v>2313</v>
      </c>
      <c r="C40" s="33" t="e">
        <f t="shared" si="1"/>
        <v>#REF!</v>
      </c>
    </row>
    <row r="41" spans="1:3" x14ac:dyDescent="0.45">
      <c r="A41" t="e">
        <f>COUNTIFS(AnalizaCzyste[GrupaWiekowa],"#N/D",#REF!,"*"&amp;"Tak"&amp;"*")</f>
        <v>#REF!</v>
      </c>
      <c r="B41" s="20" t="s">
        <v>2448</v>
      </c>
      <c r="C41" s="33" t="e">
        <f t="shared" si="1"/>
        <v>#REF!</v>
      </c>
    </row>
    <row r="42" spans="1:3" x14ac:dyDescent="0.45">
      <c r="A42" s="29" t="e">
        <f>SUM(A35:A41)</f>
        <v>#REF!</v>
      </c>
    </row>
    <row r="44" spans="1:3" x14ac:dyDescent="0.45">
      <c r="A44" s="29" t="s">
        <v>2341</v>
      </c>
    </row>
    <row r="45" spans="1:3" x14ac:dyDescent="0.45">
      <c r="C45" s="29" t="s">
        <v>2317</v>
      </c>
    </row>
    <row r="46" spans="1:3" x14ac:dyDescent="0.45">
      <c r="A46" t="e">
        <f>COUNTIFS(AnalizaCzyste[Z jakiej wielkości miejscowości pochodzisz? (dotyczy miejscowości, w której się wychowałaś/eś],B46,#REF!,"*"&amp;"Tak"&amp;"*")</f>
        <v>#REF!</v>
      </c>
      <c r="B46" t="s">
        <v>141</v>
      </c>
      <c r="C46" s="33" t="e">
        <f t="shared" ref="C46:C51" si="2">A46/$A$52</f>
        <v>#REF!</v>
      </c>
    </row>
    <row r="47" spans="1:3" x14ac:dyDescent="0.45">
      <c r="A47" t="e">
        <f>COUNTIFS(AnalizaCzyste[Z jakiej wielkości miejscowości pochodzisz? (dotyczy miejscowości, w której się wychowałaś/eś],B47,#REF!,"*"&amp;"Tak"&amp;"*")</f>
        <v>#REF!</v>
      </c>
      <c r="B47" t="s">
        <v>398</v>
      </c>
      <c r="C47" s="33" t="e">
        <f t="shared" si="2"/>
        <v>#REF!</v>
      </c>
    </row>
    <row r="48" spans="1:3" x14ac:dyDescent="0.45">
      <c r="A48" t="e">
        <f>COUNTIFS(AnalizaCzyste[Z jakiej wielkości miejscowości pochodzisz? (dotyczy miejscowości, w której się wychowałaś/eś],B48,#REF!,"*"&amp;"Tak"&amp;"*")</f>
        <v>#REF!</v>
      </c>
      <c r="B48" t="s">
        <v>246</v>
      </c>
      <c r="C48" s="33" t="e">
        <f t="shared" si="2"/>
        <v>#REF!</v>
      </c>
    </row>
    <row r="49" spans="1:5" x14ac:dyDescent="0.45">
      <c r="A49" t="e">
        <f>COUNTIFS(AnalizaCzyste[Z jakiej wielkości miejscowości pochodzisz? (dotyczy miejscowości, w której się wychowałaś/eś],B49,#REF!,"*"&amp;"Tak"&amp;"*")</f>
        <v>#REF!</v>
      </c>
      <c r="B49" t="s">
        <v>220</v>
      </c>
      <c r="C49" s="33" t="e">
        <f t="shared" si="2"/>
        <v>#REF!</v>
      </c>
    </row>
    <row r="50" spans="1:5" x14ac:dyDescent="0.45">
      <c r="A50" t="e">
        <f>COUNTIFS(AnalizaCzyste[Z jakiej wielkości miejscowości pochodzisz? (dotyczy miejscowości, w której się wychowałaś/eś],B50,#REF!,"*"&amp;"Tak"&amp;"*")</f>
        <v>#REF!</v>
      </c>
      <c r="B50" t="s">
        <v>1630</v>
      </c>
      <c r="C50" s="33" t="e">
        <f t="shared" si="2"/>
        <v>#REF!</v>
      </c>
    </row>
    <row r="51" spans="1:5" x14ac:dyDescent="0.45">
      <c r="A51" t="e">
        <f>COUNTIFS(AnalizaCzyste[Z jakiej wielkości miejscowości pochodzisz? (dotyczy miejscowości, w której się wychowałaś/eś],B51,#REF!,"*"&amp;"Tak"&amp;"*")</f>
        <v>#REF!</v>
      </c>
      <c r="B51" t="s">
        <v>483</v>
      </c>
      <c r="C51" s="33" t="e">
        <f t="shared" si="2"/>
        <v>#REF!</v>
      </c>
    </row>
    <row r="52" spans="1:5" x14ac:dyDescent="0.45">
      <c r="A52" s="29" t="e">
        <f>SUM(A46:A51)</f>
        <v>#REF!</v>
      </c>
    </row>
    <row r="57" spans="1:5" x14ac:dyDescent="0.45">
      <c r="A57" s="20"/>
    </row>
    <row r="58" spans="1:5" x14ac:dyDescent="0.45">
      <c r="A58" s="29" t="s">
        <v>2295</v>
      </c>
      <c r="B58" s="20"/>
      <c r="C58" t="s">
        <v>2346</v>
      </c>
      <c r="D58" t="s">
        <v>2308</v>
      </c>
    </row>
    <row r="59" spans="1:5" x14ac:dyDescent="0.45">
      <c r="A59" s="30">
        <f t="shared" ref="A59:A66" si="3">B59/$B$67</f>
        <v>1.6666666666666666E-2</v>
      </c>
      <c r="B59" s="34">
        <f>COUNTIFS(AnalizaCzyste[Czy jesteś studentem uczelni wyższej?],"*"&amp;"Tak"&amp;"*",AnalizaCzyste[Czy jesteś absolwentem uczelni wyższej?],"*"&amp;"Tak"&amp;"*")</f>
        <v>2</v>
      </c>
      <c r="C59" s="33">
        <f t="shared" ref="C59:C66" si="4">$B59/$A17</f>
        <v>1</v>
      </c>
      <c r="D59" s="20" t="s">
        <v>2296</v>
      </c>
      <c r="E59" s="20" t="s">
        <v>2283</v>
      </c>
    </row>
    <row r="60" spans="1:5" x14ac:dyDescent="0.45">
      <c r="A60" s="30">
        <f t="shared" si="3"/>
        <v>0</v>
      </c>
      <c r="B60" s="34"/>
      <c r="C60" s="33">
        <f t="shared" si="4"/>
        <v>0</v>
      </c>
      <c r="D60" t="s">
        <v>2297</v>
      </c>
      <c r="E60" t="s">
        <v>2281</v>
      </c>
    </row>
    <row r="61" spans="1:5" x14ac:dyDescent="0.45">
      <c r="A61" s="30">
        <f t="shared" si="3"/>
        <v>0.1</v>
      </c>
      <c r="B61" s="34">
        <f>COUNTIFS(AnalizaCzyste[Czy jesteś rodzicem / opiekunem absolwenta uczelni wyższej?],"*"&amp;"Tak"&amp;"*",AnalizaCzyste[Czy jesteś absolwentem uczelni wyższej?],"*"&amp;"Tak"&amp;"*")</f>
        <v>12</v>
      </c>
      <c r="C61" s="33">
        <f t="shared" si="4"/>
        <v>1</v>
      </c>
      <c r="D61" t="s">
        <v>2298</v>
      </c>
      <c r="E61" t="s">
        <v>2284</v>
      </c>
    </row>
    <row r="62" spans="1:5" x14ac:dyDescent="0.45">
      <c r="A62" s="30">
        <f t="shared" si="3"/>
        <v>3.3333333333333333E-2</v>
      </c>
      <c r="B62" s="34">
        <f>COUNTIFS(AnalizaCzyste[Czy jesteś aktualnie pracownikiem administracyjnym uczelni wyższej?],"*"&amp;"Tak"&amp;"*",AnalizaCzyste[Czy jesteś absolwentem uczelni wyższej?],"*"&amp;"Tak"&amp;"*")</f>
        <v>4</v>
      </c>
      <c r="C62" s="33">
        <f t="shared" si="4"/>
        <v>1</v>
      </c>
      <c r="D62" t="s">
        <v>2299</v>
      </c>
      <c r="E62" t="s">
        <v>2285</v>
      </c>
    </row>
    <row r="63" spans="1:5" x14ac:dyDescent="0.45">
      <c r="A63" s="30">
        <f t="shared" si="3"/>
        <v>0.1</v>
      </c>
      <c r="B63" s="34">
        <f>COUNTIFS(AnalizaCzyste[Czy jesteś aktualnie pracownikiem naukowym lub dydaktycznym uczelni wyższej?],"*"&amp;"Tak"&amp;"*",AnalizaCzyste[Czy jesteś absolwentem uczelni wyższej?],"*"&amp;"Tak"&amp;"*")</f>
        <v>12</v>
      </c>
      <c r="C63" s="33">
        <f t="shared" si="4"/>
        <v>1</v>
      </c>
      <c r="D63" t="s">
        <v>2300</v>
      </c>
      <c r="E63" t="s">
        <v>2286</v>
      </c>
    </row>
    <row r="64" spans="1:5" x14ac:dyDescent="0.45">
      <c r="A64" s="30">
        <f t="shared" si="3"/>
        <v>0.05</v>
      </c>
      <c r="B64" s="34">
        <f>COUNTIFS(AnalizaCzyste[Czy jesteś przedstawicielem władz uczelni z grupy rektorów, prorektorów, dziekanów, prodziekanów, członków senatu lub członków rady uczelni?],"*"&amp;"Tak"&amp;"*",AnalizaCzyste[Czy jesteś absolwentem uczelni wyższej?],"*"&amp;"Tak"&amp;"*")</f>
        <v>6</v>
      </c>
      <c r="C64" s="33">
        <f t="shared" si="4"/>
        <v>1</v>
      </c>
      <c r="D64" t="s">
        <v>2301</v>
      </c>
      <c r="E64" t="s">
        <v>2289</v>
      </c>
    </row>
    <row r="65" spans="1:5" x14ac:dyDescent="0.45">
      <c r="A65" s="30">
        <f t="shared" si="3"/>
        <v>8.3333333333333329E-2</v>
      </c>
      <c r="B65" s="34">
        <f>COUNTIFS(AnalizaCzyste[Czy jesteś przedstawicielem firmy, w której są zatrudniani absolwenci uczelni wyższych (tytuł licencjata, magistra lub wyższy)?],"*"&amp;"Tak"&amp;"*",AnalizaCzyste[Czy jesteś absolwentem uczelni wyższej?],"*"&amp;"Tak"&amp;"*")</f>
        <v>10</v>
      </c>
      <c r="C65" s="33">
        <f t="shared" si="4"/>
        <v>1</v>
      </c>
      <c r="D65" t="s">
        <v>2302</v>
      </c>
      <c r="E65" t="s">
        <v>2291</v>
      </c>
    </row>
    <row r="66" spans="1:5" x14ac:dyDescent="0.45">
      <c r="A66" s="30">
        <f t="shared" si="3"/>
        <v>2.5000000000000001E-2</v>
      </c>
      <c r="B66" s="34">
        <f>COUNTIFS(AnalizaCzyste[Czy jesteś przedstawicielem władz samorządowych lub centralnych Rzeczypospolitej Polskiej?],"*"&amp;"Tak"&amp;"*",AnalizaCzyste[Czy jesteś absolwentem uczelni wyższej?],"*"&amp;"Tak"&amp;"*")</f>
        <v>3</v>
      </c>
      <c r="C66" s="33">
        <f t="shared" si="4"/>
        <v>1</v>
      </c>
      <c r="D66" t="s">
        <v>2303</v>
      </c>
      <c r="E66" t="s">
        <v>2290</v>
      </c>
    </row>
    <row r="67" spans="1:5" ht="15.75" x14ac:dyDescent="0.55000000000000004">
      <c r="A67" s="32">
        <f>SUM(A59:A66)</f>
        <v>0.40833333333333333</v>
      </c>
      <c r="B67" s="29">
        <v>120</v>
      </c>
      <c r="C67" s="32" t="s">
        <v>2306</v>
      </c>
      <c r="D67" s="29" t="s">
        <v>2307</v>
      </c>
    </row>
    <row r="68" spans="1:5" x14ac:dyDescent="0.45">
      <c r="C68" s="20" t="s">
        <v>2309</v>
      </c>
    </row>
    <row r="71" spans="1:5" x14ac:dyDescent="0.45">
      <c r="A71" s="29" t="s">
        <v>2310</v>
      </c>
      <c r="C71" s="29" t="s">
        <v>2317</v>
      </c>
    </row>
    <row r="72" spans="1:5" x14ac:dyDescent="0.45">
      <c r="A72">
        <f>COUNTIFS(AnalizaCzyste[Płeć],"*"&amp;B72&amp;"*",AnalizaCzyste[Czy jesteś absolwentem uczelni wyższej?],"*"&amp;"Tak"&amp;"*")</f>
        <v>6</v>
      </c>
      <c r="B72" t="s">
        <v>140</v>
      </c>
      <c r="C72" s="33">
        <f>A72/$B$67</f>
        <v>0.05</v>
      </c>
    </row>
    <row r="73" spans="1:5" x14ac:dyDescent="0.45">
      <c r="A73">
        <f>COUNTIFS(AnalizaCzyste[Płeć],"*"&amp;B73&amp;"*",AnalizaCzyste[Czy jesteś absolwentem uczelni wyższej?],"*"&amp;"Tak"&amp;"*")</f>
        <v>27</v>
      </c>
      <c r="B73" t="s">
        <v>186</v>
      </c>
      <c r="C73" s="33">
        <f>A73/$B$67</f>
        <v>0.22500000000000001</v>
      </c>
    </row>
    <row r="75" spans="1:5" x14ac:dyDescent="0.45">
      <c r="A75" s="29" t="s">
        <v>2311</v>
      </c>
    </row>
    <row r="76" spans="1:5" x14ac:dyDescent="0.45">
      <c r="C76" s="20" t="s">
        <v>2317</v>
      </c>
    </row>
    <row r="77" spans="1:5" x14ac:dyDescent="0.45">
      <c r="A77">
        <f>COUNTIFS(AnalizaCzyste[GrupaWiekowa],B77,AnalizaCzyste[Czy jesteś absolwentem uczelni wyższej?],"*"&amp;"Tak"&amp;"*")</f>
        <v>1</v>
      </c>
      <c r="B77" t="s">
        <v>2314</v>
      </c>
      <c r="C77" s="33">
        <f t="shared" ref="C77:C83" si="5">A77/$A$84</f>
        <v>2.9411764705882353E-2</v>
      </c>
    </row>
    <row r="78" spans="1:5" x14ac:dyDescent="0.45">
      <c r="A78">
        <f>COUNTIFS(AnalizaCzyste[GrupaWiekowa],B78,AnalizaCzyste[Czy jesteś absolwentem uczelni wyższej?],"*"&amp;"Tak"&amp;"*")</f>
        <v>10</v>
      </c>
      <c r="B78" s="20" t="s">
        <v>2449</v>
      </c>
      <c r="C78" s="33">
        <f t="shared" si="5"/>
        <v>0.29411764705882354</v>
      </c>
    </row>
    <row r="79" spans="1:5" x14ac:dyDescent="0.45">
      <c r="A79">
        <f>COUNTIFS(AnalizaCzyste[GrupaWiekowa],B79,AnalizaCzyste[Czy jesteś absolwentem uczelni wyższej?],"*"&amp;"Tak"&amp;"*")</f>
        <v>6</v>
      </c>
      <c r="B79" s="20" t="s">
        <v>2450</v>
      </c>
      <c r="C79" s="33">
        <f t="shared" si="5"/>
        <v>0.17647058823529413</v>
      </c>
    </row>
    <row r="80" spans="1:5" x14ac:dyDescent="0.45">
      <c r="A80">
        <f>COUNTIFS(AnalizaCzyste[GrupaWiekowa],B80,AnalizaCzyste[Czy jesteś absolwentem uczelni wyższej?],"*"&amp;"Tak"&amp;"*")</f>
        <v>5</v>
      </c>
      <c r="B80" s="20" t="s">
        <v>2451</v>
      </c>
      <c r="C80" s="33">
        <f t="shared" si="5"/>
        <v>0.14705882352941177</v>
      </c>
    </row>
    <row r="81" spans="1:3" x14ac:dyDescent="0.45">
      <c r="A81">
        <f>COUNTIFS(AnalizaCzyste[GrupaWiekowa],B81,AnalizaCzyste[Czy jesteś absolwentem uczelni wyższej?],"*"&amp;"Tak"&amp;"*")</f>
        <v>10</v>
      </c>
      <c r="B81" s="20" t="s">
        <v>2452</v>
      </c>
      <c r="C81" s="33">
        <f t="shared" si="5"/>
        <v>0.29411764705882354</v>
      </c>
    </row>
    <row r="82" spans="1:3" x14ac:dyDescent="0.45">
      <c r="A82">
        <f>COUNTIFS(AnalizaCzyste[GrupaWiekowa],B82,AnalizaCzyste[Czy jesteś absolwentem uczelni wyższej?],"*"&amp;"Tak"&amp;"*")</f>
        <v>0</v>
      </c>
      <c r="B82" t="s">
        <v>2313</v>
      </c>
      <c r="C82" s="33">
        <f t="shared" si="5"/>
        <v>0</v>
      </c>
    </row>
    <row r="83" spans="1:3" x14ac:dyDescent="0.45">
      <c r="A83">
        <v>2</v>
      </c>
      <c r="B83" s="20" t="s">
        <v>2448</v>
      </c>
      <c r="C83" s="33">
        <f t="shared" si="5"/>
        <v>5.8823529411764705E-2</v>
      </c>
    </row>
    <row r="84" spans="1:3" x14ac:dyDescent="0.45">
      <c r="A84" s="29">
        <f>SUM(A77:A83)</f>
        <v>34</v>
      </c>
    </row>
    <row r="86" spans="1:3" x14ac:dyDescent="0.45">
      <c r="A86" s="29" t="s">
        <v>2320</v>
      </c>
      <c r="B86" s="29" t="s">
        <v>2319</v>
      </c>
    </row>
    <row r="87" spans="1:3" x14ac:dyDescent="0.45">
      <c r="A87">
        <f>COUNTIFS(AnalizaCzyste[Jak się nazywa uczelnia którą ukończyłeś? (proszę o wybranie jednej uczelni podlegającej ocenie)],B87,AnalizaCzyste[Czy jesteś absolwentem uczelni wyższej?],"*"&amp;"Tak"&amp;"*")</f>
        <v>0</v>
      </c>
      <c r="B87" s="28" t="s">
        <v>987</v>
      </c>
    </row>
    <row r="88" spans="1:3" ht="28.5" x14ac:dyDescent="0.45">
      <c r="A88">
        <f>COUNTIFS(AnalizaCzyste[Jak się nazywa uczelnia którą ukończyłeś? (proszę o wybranie jednej uczelni podlegającej ocenie)],B88,AnalizaCzyste[Czy jesteś absolwentem uczelni wyższej?],"*"&amp;"Tak"&amp;"*")</f>
        <v>0</v>
      </c>
      <c r="B88" s="28" t="s">
        <v>1503</v>
      </c>
    </row>
    <row r="89" spans="1:3" ht="28.5" x14ac:dyDescent="0.45">
      <c r="A89">
        <f>COUNTIFS(AnalizaCzyste[Jak się nazywa uczelnia którą ukończyłeś? (proszę o wybranie jednej uczelni podlegającej ocenie)],B89,AnalizaCzyste[Czy jesteś absolwentem uczelni wyższej?],"*"&amp;"Tak"&amp;"*")</f>
        <v>2</v>
      </c>
      <c r="B89" s="28" t="s">
        <v>234</v>
      </c>
    </row>
    <row r="90" spans="1:3" ht="28.5" x14ac:dyDescent="0.45">
      <c r="A90">
        <f>COUNTIFS(AnalizaCzyste[Jak się nazywa uczelnia którą ukończyłeś? (proszę o wybranie jednej uczelni podlegającej ocenie)],B90,AnalizaCzyste[Czy jesteś absolwentem uczelni wyższej?],"*"&amp;"Tak"&amp;"*")</f>
        <v>0</v>
      </c>
      <c r="B90" s="28" t="s">
        <v>2270</v>
      </c>
    </row>
    <row r="91" spans="1:3" ht="28.5" x14ac:dyDescent="0.45">
      <c r="A91">
        <f>COUNTIFS(AnalizaCzyste[Jak się nazywa uczelnia którą ukończyłeś? (proszę o wybranie jednej uczelni podlegającej ocenie)],B91,AnalizaCzyste[Czy jesteś absolwentem uczelni wyższej?],"*"&amp;"Tak"&amp;"*")</f>
        <v>1</v>
      </c>
      <c r="B91" s="28" t="s">
        <v>2269</v>
      </c>
    </row>
    <row r="92" spans="1:3" ht="28.5" x14ac:dyDescent="0.45">
      <c r="A92">
        <f>COUNTIFS(AnalizaCzyste[Jak się nazywa uczelnia którą ukończyłeś? (proszę o wybranie jednej uczelni podlegającej ocenie)],B92,AnalizaCzyste[Czy jesteś absolwentem uczelni wyższej?],"*"&amp;"Tak"&amp;"*")</f>
        <v>1</v>
      </c>
      <c r="B92" s="28" t="s">
        <v>2268</v>
      </c>
    </row>
    <row r="93" spans="1:3" x14ac:dyDescent="0.45">
      <c r="A93">
        <f>COUNTIFS(AnalizaCzyste[Jak się nazywa uczelnia którą ukończyłeś? (proszę o wybranie jednej uczelni podlegającej ocenie)],B93,AnalizaCzyste[Czy jesteś absolwentem uczelni wyższej?],"*"&amp;"Tak"&amp;"*")</f>
        <v>0</v>
      </c>
      <c r="B93" s="28" t="s">
        <v>995</v>
      </c>
    </row>
    <row r="94" spans="1:3" x14ac:dyDescent="0.45">
      <c r="A94">
        <f>COUNTIFS(AnalizaCzyste[Jak się nazywa uczelnia którą ukończyłeś? (proszę o wybranie jednej uczelni podlegającej ocenie)],B94,AnalizaCzyste[Czy jesteś absolwentem uczelni wyższej?],"*"&amp;"Tak"&amp;"*")</f>
        <v>0</v>
      </c>
      <c r="B94" s="28" t="s">
        <v>1461</v>
      </c>
    </row>
    <row r="95" spans="1:3" ht="28.5" x14ac:dyDescent="0.45">
      <c r="A95">
        <f>COUNTIFS(AnalizaCzyste[Jak się nazywa uczelnia którą ukończyłeś? (proszę o wybranie jednej uczelni podlegającej ocenie)],B95,AnalizaCzyste[Czy jesteś absolwentem uczelni wyższej?],"*"&amp;"Tak"&amp;"*")</f>
        <v>1</v>
      </c>
      <c r="B95" s="28" t="s">
        <v>428</v>
      </c>
    </row>
    <row r="96" spans="1:3" x14ac:dyDescent="0.45">
      <c r="A96">
        <f>COUNTIFS(AnalizaCzyste[Jak się nazywa uczelnia którą ukończyłeś? (proszę o wybranie jednej uczelni podlegającej ocenie)],B96,AnalizaCzyste[Czy jesteś absolwentem uczelni wyższej?],"*"&amp;"Tak"&amp;"*")</f>
        <v>14</v>
      </c>
      <c r="B96" s="28" t="s">
        <v>191</v>
      </c>
    </row>
    <row r="97" spans="1:2" x14ac:dyDescent="0.45">
      <c r="A97">
        <f>COUNTIFS(AnalizaCzyste[Jak się nazywa uczelnia którą ukończyłeś? (proszę o wybranie jednej uczelni podlegającej ocenie)],B97,AnalizaCzyste[Czy jesteś absolwentem uczelni wyższej?],"*"&amp;"Tak"&amp;"*")</f>
        <v>0</v>
      </c>
      <c r="B97" s="28" t="s">
        <v>2318</v>
      </c>
    </row>
    <row r="98" spans="1:2" x14ac:dyDescent="0.45">
      <c r="A98">
        <f>COUNTIFS(AnalizaCzyste[Jak się nazywa uczelnia którą ukończyłeś? (proszę o wybranie jednej uczelni podlegającej ocenie)],B98,AnalizaCzyste[Czy jesteś absolwentem uczelni wyższej?],"*"&amp;"Tak"&amp;"*")</f>
        <v>0</v>
      </c>
      <c r="B98" s="28" t="s">
        <v>1415</v>
      </c>
    </row>
    <row r="99" spans="1:2" x14ac:dyDescent="0.45">
      <c r="A99">
        <f>COUNTIFS(AnalizaCzyste[Jak się nazywa uczelnia którą ukończyłeś? (proszę o wybranie jednej uczelni podlegającej ocenie)],B99,AnalizaCzyste[Czy jesteś absolwentem uczelni wyższej?],"*"&amp;"Tak"&amp;"*")</f>
        <v>0</v>
      </c>
      <c r="B99" s="28" t="s">
        <v>1090</v>
      </c>
    </row>
    <row r="100" spans="1:2" x14ac:dyDescent="0.45">
      <c r="A100">
        <f>COUNTIFS(AnalizaCzyste[Jak się nazywa uczelnia którą ukończyłeś? (proszę o wybranie jednej uczelni podlegającej ocenie)],B100,AnalizaCzyste[Czy jesteś absolwentem uczelni wyższej?],"*"&amp;"Tak"&amp;"*")</f>
        <v>1</v>
      </c>
      <c r="B100" s="28" t="s">
        <v>862</v>
      </c>
    </row>
    <row r="101" spans="1:2" x14ac:dyDescent="0.45">
      <c r="A101">
        <f>COUNTIFS(AnalizaCzyste[Jak się nazywa uczelnia którą ukończyłeś? (proszę o wybranie jednej uczelni podlegającej ocenie)],B101,AnalizaCzyste[Czy jesteś absolwentem uczelni wyższej?],"*"&amp;"Tak"&amp;"*")</f>
        <v>1</v>
      </c>
      <c r="B101" s="28" t="s">
        <v>1290</v>
      </c>
    </row>
    <row r="102" spans="1:2" x14ac:dyDescent="0.45">
      <c r="A102">
        <f>COUNTIFS(AnalizaCzyste[Jak się nazywa uczelnia którą ukończyłeś? (proszę o wybranie jednej uczelni podlegającej ocenie)],B102,AnalizaCzyste[Czy jesteś absolwentem uczelni wyższej?],"*"&amp;"Tak"&amp;"*")</f>
        <v>0</v>
      </c>
      <c r="B102" s="28" t="s">
        <v>1514</v>
      </c>
    </row>
    <row r="103" spans="1:2" ht="28.5" x14ac:dyDescent="0.45">
      <c r="A103">
        <f>COUNTIFS(AnalizaCzyste[Jak się nazywa uczelnia którą ukończyłeś? (proszę o wybranie jednej uczelni podlegającej ocenie)],B103,AnalizaCzyste[Czy jesteś absolwentem uczelni wyższej?],"*"&amp;"Tak"&amp;"*")</f>
        <v>0</v>
      </c>
      <c r="B103" s="28" t="s">
        <v>2271</v>
      </c>
    </row>
    <row r="104" spans="1:2" ht="42.75" x14ac:dyDescent="0.45">
      <c r="A104">
        <f>COUNTIFS(AnalizaCzyste[Jak się nazywa uczelnia którą ukończyłeś? (proszę o wybranie jednej uczelni podlegającej ocenie)],B104,AnalizaCzyste[Czy jesteś absolwentem uczelni wyższej?],"*"&amp;"Tak"&amp;"*")</f>
        <v>0</v>
      </c>
      <c r="B104" s="28" t="s">
        <v>553</v>
      </c>
    </row>
    <row r="105" spans="1:2" ht="28.5" x14ac:dyDescent="0.45">
      <c r="A105">
        <f>COUNTIFS(AnalizaCzyste[Jak się nazywa uczelnia którą ukończyłeś? (proszę o wybranie jednej uczelni podlegającej ocenie)],B105,AnalizaCzyste[Czy jesteś absolwentem uczelni wyższej?],"*"&amp;"Tak"&amp;"*")</f>
        <v>1</v>
      </c>
      <c r="B105" s="28" t="s">
        <v>1472</v>
      </c>
    </row>
    <row r="106" spans="1:2" x14ac:dyDescent="0.45">
      <c r="A106">
        <f>COUNTIFS(AnalizaCzyste[Jak się nazywa uczelnia którą ukończyłeś? (proszę o wybranie jednej uczelni podlegającej ocenie)],B106,AnalizaCzyste[Czy jesteś absolwentem uczelni wyższej?],"*"&amp;"Tak"&amp;"*")</f>
        <v>10</v>
      </c>
      <c r="B106" s="28" t="s">
        <v>223</v>
      </c>
    </row>
    <row r="107" spans="1:2" x14ac:dyDescent="0.45">
      <c r="A107">
        <f>COUNTIFS(AnalizaCzyste[Jak się nazywa uczelnia którą ukończyłeś? (proszę o wybranie jednej uczelni podlegającej ocenie)],B107,AnalizaCzyste[Czy jesteś absolwentem uczelni wyższej?],"*"&amp;"Tak"&amp;"*")</f>
        <v>1</v>
      </c>
      <c r="B107" s="28" t="s">
        <v>445</v>
      </c>
    </row>
    <row r="108" spans="1:2" ht="42.75" x14ac:dyDescent="0.45">
      <c r="A108">
        <f>COUNTIFS(AnalizaCzyste[Jak się nazywa uczelnia którą ukończyłeś? (proszę o wybranie jednej uczelni podlegającej ocenie)],B108,AnalizaCzyste[Czy jesteś absolwentem uczelni wyższej?],"*"&amp;"Tak"&amp;"*")</f>
        <v>0</v>
      </c>
      <c r="B108" s="28" t="s">
        <v>2272</v>
      </c>
    </row>
    <row r="109" spans="1:2" x14ac:dyDescent="0.45">
      <c r="A109">
        <f>COUNTIFS(AnalizaCzyste[Jak się nazywa uczelnia którą ukończyłeś? (proszę o wybranie jednej uczelni podlegającej ocenie)],B109,AnalizaCzyste[Czy jesteś absolwentem uczelni wyższej?],"*"&amp;"Tak"&amp;"*")</f>
        <v>0</v>
      </c>
      <c r="B109" s="28" t="s">
        <v>813</v>
      </c>
    </row>
    <row r="110" spans="1:2" ht="28.5" x14ac:dyDescent="0.45">
      <c r="A110">
        <f>COUNTIFS(AnalizaCzyste[Jak się nazywa uczelnia którą ukończyłeś? (proszę o wybranie jednej uczelni podlegającej ocenie)],B110,AnalizaCzyste[Czy jesteś absolwentem uczelni wyższej?],"*"&amp;"Tak"&amp;"*")</f>
        <v>0</v>
      </c>
      <c r="B110" s="28" t="s">
        <v>1712</v>
      </c>
    </row>
    <row r="111" spans="1:2" ht="28.5" x14ac:dyDescent="0.45">
      <c r="A111">
        <f>COUNTIFS(AnalizaCzyste[Jak się nazywa uczelnia którą ukończyłeś? (proszę o wybranie jednej uczelni podlegającej ocenie)],B111,AnalizaCzyste[Czy jesteś absolwentem uczelni wyższej?],"*"&amp;"Tak"&amp;"*")</f>
        <v>0</v>
      </c>
      <c r="B111" s="28" t="s">
        <v>1636</v>
      </c>
    </row>
    <row r="112" spans="1:2" x14ac:dyDescent="0.45">
      <c r="A112">
        <f>COUNTIFS(AnalizaCzyste[Jak się nazywa uczelnia którą ukończyłeś? (proszę o wybranie jednej uczelni podlegającej ocenie)],B112,AnalizaCzyste[Czy jesteś absolwentem uczelni wyższej?],"*"&amp;"Tak"&amp;"*")</f>
        <v>0</v>
      </c>
      <c r="B112" s="28" t="s">
        <v>975</v>
      </c>
    </row>
    <row r="113" spans="1:3" x14ac:dyDescent="0.45">
      <c r="A113">
        <f>COUNTIFS(AnalizaCzyste[Jak się nazywa uczelnia którą ukończyłeś? (proszę o wybranie jednej uczelni podlegającej ocenie)],B113,AnalizaCzyste[Czy jesteś absolwentem uczelni wyższej?],"*"&amp;"Tak"&amp;"*")</f>
        <v>0</v>
      </c>
      <c r="B113" s="28" t="s">
        <v>701</v>
      </c>
    </row>
    <row r="114" spans="1:3" ht="28.5" x14ac:dyDescent="0.45">
      <c r="A114">
        <f>COUNTIFS(AnalizaCzyste[Jak się nazywa uczelnia którą ukończyłeś? (proszę o wybranie jednej uczelni podlegającej ocenie)],B114,AnalizaCzyste[Czy jesteś absolwentem uczelni wyższej?],"*"&amp;"Tak"&amp;"*")</f>
        <v>0</v>
      </c>
      <c r="B114" s="28" t="s">
        <v>800</v>
      </c>
    </row>
    <row r="115" spans="1:3" x14ac:dyDescent="0.45">
      <c r="A115">
        <f>COUNTIFS(AnalizaCzyste[Jak się nazywa uczelnia którą ukończyłeś? (proszę o wybranie jednej uczelni podlegającej ocenie)],B115,AnalizaCzyste[Czy jesteś absolwentem uczelni wyższej?],"*"&amp;"Tak"&amp;"*")</f>
        <v>0</v>
      </c>
      <c r="B115" s="28" t="s">
        <v>160</v>
      </c>
    </row>
    <row r="116" spans="1:3" x14ac:dyDescent="0.45">
      <c r="A116">
        <f>COUNTIFS(AnalizaCzyste[Jak się nazywa uczelnia którą ukończyłeś? (proszę o wybranie jednej uczelni podlegającej ocenie)],B116,AnalizaCzyste[Czy jesteś absolwentem uczelni wyższej?],"*"&amp;"Tak"&amp;"*")</f>
        <v>0</v>
      </c>
      <c r="B116" s="28" t="s">
        <v>1439</v>
      </c>
    </row>
    <row r="117" spans="1:3" x14ac:dyDescent="0.45">
      <c r="A117" s="29">
        <f>SUM(A87:A116)</f>
        <v>33</v>
      </c>
    </row>
    <row r="119" spans="1:3" x14ac:dyDescent="0.45">
      <c r="A119" s="29" t="s">
        <v>2327</v>
      </c>
      <c r="B119" s="29" t="s">
        <v>2326</v>
      </c>
      <c r="C119" s="29" t="s">
        <v>2333</v>
      </c>
    </row>
    <row r="120" spans="1:3" x14ac:dyDescent="0.45">
      <c r="A120">
        <f>COUNTIFS(AnalizaCzyste[KategoriaUczelni],B120,AnalizaCzyste[Czy jesteś absolwentem uczelni wyższej?],"*"&amp;"Tak"&amp;"*")</f>
        <v>32</v>
      </c>
      <c r="B120" s="20" t="s">
        <v>2321</v>
      </c>
      <c r="C120" s="30">
        <f>A120/$A$123</f>
        <v>0.96969696969696972</v>
      </c>
    </row>
    <row r="121" spans="1:3" x14ac:dyDescent="0.45">
      <c r="A121">
        <f>COUNTIFS(AnalizaCzyste[KategoriaUczelni],B121,AnalizaCzyste[Czy jesteś absolwentem uczelni wyższej?],"*"&amp;"Tak"&amp;"*")</f>
        <v>1</v>
      </c>
      <c r="B121" s="20" t="s">
        <v>2323</v>
      </c>
      <c r="C121" s="30">
        <f>A121/$A$123</f>
        <v>3.0303030303030304E-2</v>
      </c>
    </row>
    <row r="122" spans="1:3" x14ac:dyDescent="0.45">
      <c r="A122">
        <f>COUNTIFS(AnalizaCzyste[KategoriaUczelni],B122,AnalizaCzyste[Czy jesteś absolwentem uczelni wyższej?],"*"&amp;"Tak"&amp;"*")</f>
        <v>0</v>
      </c>
      <c r="B122" s="20" t="s">
        <v>2322</v>
      </c>
      <c r="C122" s="30">
        <f>A122/$A$123</f>
        <v>0</v>
      </c>
    </row>
    <row r="123" spans="1:3" x14ac:dyDescent="0.45">
      <c r="A123" s="29">
        <f>SUM(A120:A122)</f>
        <v>33</v>
      </c>
    </row>
    <row r="133" spans="1:15" x14ac:dyDescent="0.45">
      <c r="A133" s="29" t="s">
        <v>2347</v>
      </c>
      <c r="C133" t="s">
        <v>2348</v>
      </c>
      <c r="E133" s="20" t="s">
        <v>2362</v>
      </c>
      <c r="F133" s="20" t="s">
        <v>2363</v>
      </c>
      <c r="G133" s="20" t="s">
        <v>2430</v>
      </c>
      <c r="H133" s="20" t="s">
        <v>2418</v>
      </c>
      <c r="I133" s="20" t="s">
        <v>2419</v>
      </c>
      <c r="J133" s="20" t="s">
        <v>2420</v>
      </c>
      <c r="K133" s="20" t="s">
        <v>2421</v>
      </c>
      <c r="L133" s="20" t="s">
        <v>2422</v>
      </c>
      <c r="M133" s="20" t="s">
        <v>2423</v>
      </c>
      <c r="N133" s="20" t="s">
        <v>2424</v>
      </c>
    </row>
    <row r="134" spans="1:15" x14ac:dyDescent="0.45">
      <c r="A134">
        <v>7</v>
      </c>
      <c r="B134" t="s">
        <v>169</v>
      </c>
      <c r="C134">
        <f>COUNTIFS(AnalizaCzyste[Moja satysfakcja z usług edukacyjnych ocenianej uczelni jest wysoka.],B134,AnalizaCzyste[Czy jesteś studentem uczelni wyższej?],"*"&amp;"Tak"&amp;"*")</f>
        <v>0</v>
      </c>
      <c r="D134">
        <f t="shared" ref="D134:D141" si="6">PRODUCT(A134,C134)</f>
        <v>0</v>
      </c>
      <c r="E134" s="44">
        <f>(A134-$D$142)^2</f>
        <v>12.25</v>
      </c>
      <c r="F134">
        <f>PRODUCT(C134,E134)</f>
        <v>0</v>
      </c>
      <c r="G134" s="44">
        <f>VLOOKUP(A134,TabeleGrup!$C$45:$D$51,2,0)</f>
        <v>6.9999999999999991</v>
      </c>
      <c r="H134" s="44">
        <f>(G134-$D$142)/$F$143</f>
        <v>1.6499158227686106</v>
      </c>
      <c r="I134" s="44">
        <f>NORMDIST(H134,0,1,1)</f>
        <v>0.95051992299029708</v>
      </c>
      <c r="J134" s="44">
        <f t="shared" ref="J134:J139" si="7">I134-I135</f>
        <v>5.6928775453938152E-2</v>
      </c>
      <c r="K134" s="44">
        <f t="shared" ref="K134:K139" si="8">$C$143*J134</f>
        <v>0.1138575509078763</v>
      </c>
      <c r="L134" s="44">
        <f t="shared" ref="L134:L140" si="9">C134-K134</f>
        <v>-0.1138575509078763</v>
      </c>
      <c r="M134" s="44">
        <f>L134^2</f>
        <v>1.2963541898739644E-2</v>
      </c>
      <c r="N134" s="44">
        <f>M134/K134</f>
        <v>0.1138575509078763</v>
      </c>
    </row>
    <row r="135" spans="1:15" x14ac:dyDescent="0.45">
      <c r="A135">
        <v>6</v>
      </c>
      <c r="B135" t="s">
        <v>150</v>
      </c>
      <c r="C135">
        <f>COUNTIFS(AnalizaCzyste[Moja satysfakcja z usług edukacyjnych ocenianej uczelni jest wysoka.],B135,AnalizaCzyste[Czy jesteś studentem uczelni wyższej?],"*"&amp;"Tak"&amp;"*")</f>
        <v>0</v>
      </c>
      <c r="D135">
        <f t="shared" si="6"/>
        <v>0</v>
      </c>
      <c r="E135" s="44">
        <f t="shared" ref="E135:E140" si="10">(A135-$D$142)^2</f>
        <v>6.25</v>
      </c>
      <c r="F135">
        <f t="shared" ref="F135:F140" si="11">PRODUCT(C135,E135)</f>
        <v>0</v>
      </c>
      <c r="G135" s="44">
        <f>VLOOKUP(A135,TabeleGrup!C46:D52,2,0)</f>
        <v>6.1428571428571423</v>
      </c>
      <c r="H135" s="44">
        <f t="shared" ref="H135:H140" si="12">(G135-$D$142)/$F$143</f>
        <v>1.2458548049477265</v>
      </c>
      <c r="I135" s="44">
        <f t="shared" ref="I135:I140" si="13">NORMDIST(H135,0,1,1)</f>
        <v>0.89359114753635893</v>
      </c>
      <c r="J135" s="44">
        <f t="shared" si="7"/>
        <v>9.354284261988699E-2</v>
      </c>
      <c r="K135" s="44">
        <f t="shared" si="8"/>
        <v>0.18708568523977398</v>
      </c>
      <c r="L135" s="44">
        <f t="shared" si="9"/>
        <v>-0.18708568523977398</v>
      </c>
      <c r="M135" s="44">
        <f t="shared" ref="M135:M140" si="14">L135^2</f>
        <v>3.5001053621635782E-2</v>
      </c>
      <c r="N135" s="44">
        <f t="shared" ref="N135:N140" si="15">M135/K135</f>
        <v>0.18708568523977398</v>
      </c>
    </row>
    <row r="136" spans="1:15" x14ac:dyDescent="0.45">
      <c r="A136">
        <v>5</v>
      </c>
      <c r="B136" t="s">
        <v>162</v>
      </c>
      <c r="C136">
        <f>COUNTIFS(AnalizaCzyste[Moja satysfakcja z usług edukacyjnych ocenianej uczelni jest wysoka.],B136,AnalizaCzyste[Czy jesteś studentem uczelni wyższej?],"*"&amp;"Tak"&amp;"*")</f>
        <v>1</v>
      </c>
      <c r="D136">
        <f t="shared" si="6"/>
        <v>5</v>
      </c>
      <c r="E136" s="44">
        <f t="shared" si="10"/>
        <v>2.25</v>
      </c>
      <c r="F136">
        <f t="shared" si="11"/>
        <v>2.25</v>
      </c>
      <c r="G136" s="44">
        <f>VLOOKUP(A136,TabeleGrup!C47:D53,2,0)</f>
        <v>5.2857142857142856</v>
      </c>
      <c r="H136" s="44">
        <f t="shared" si="12"/>
        <v>0.84179378712684227</v>
      </c>
      <c r="I136" s="44">
        <f t="shared" si="13"/>
        <v>0.80004830491647194</v>
      </c>
      <c r="J136" s="44">
        <f t="shared" si="7"/>
        <v>0.13083831085895292</v>
      </c>
      <c r="K136" s="44">
        <f t="shared" si="8"/>
        <v>0.26167662171790584</v>
      </c>
      <c r="L136" s="44">
        <f t="shared" si="9"/>
        <v>0.73832337828209416</v>
      </c>
      <c r="M136" s="44">
        <f t="shared" si="14"/>
        <v>0.54512141091788435</v>
      </c>
      <c r="N136" s="44">
        <f t="shared" si="15"/>
        <v>2.083187284134</v>
      </c>
    </row>
    <row r="137" spans="1:15" x14ac:dyDescent="0.45">
      <c r="A137">
        <v>4</v>
      </c>
      <c r="B137" t="s">
        <v>151</v>
      </c>
      <c r="C137">
        <f>COUNTIFS(AnalizaCzyste[Moja satysfakcja z usług edukacyjnych ocenianej uczelni jest wysoka.],B137,AnalizaCzyste[Czy jesteś studentem uczelni wyższej?],"*"&amp;"Tak"&amp;"*")</f>
        <v>0</v>
      </c>
      <c r="D137">
        <f t="shared" si="6"/>
        <v>0</v>
      </c>
      <c r="E137" s="44">
        <f t="shared" si="10"/>
        <v>0.25</v>
      </c>
      <c r="F137">
        <f t="shared" si="11"/>
        <v>0</v>
      </c>
      <c r="G137" s="44">
        <f>VLOOKUP(A137,TabeleGrup!C48:D54,2,0)</f>
        <v>4.4285714285714288</v>
      </c>
      <c r="H137" s="44">
        <f t="shared" si="12"/>
        <v>0.43773276930595817</v>
      </c>
      <c r="I137" s="44">
        <f t="shared" si="13"/>
        <v>0.66920999405751902</v>
      </c>
      <c r="J137" s="44">
        <f t="shared" si="7"/>
        <v>0.15577944667922627</v>
      </c>
      <c r="K137" s="44">
        <f t="shared" si="8"/>
        <v>0.31155889335845255</v>
      </c>
      <c r="L137" s="44">
        <f t="shared" si="9"/>
        <v>-0.31155889335845255</v>
      </c>
      <c r="M137" s="44">
        <f t="shared" si="14"/>
        <v>9.7068944030743606E-2</v>
      </c>
      <c r="N137" s="44">
        <f t="shared" si="15"/>
        <v>0.31155889335845255</v>
      </c>
    </row>
    <row r="138" spans="1:15" x14ac:dyDescent="0.45">
      <c r="A138">
        <v>3</v>
      </c>
      <c r="B138" t="s">
        <v>128</v>
      </c>
      <c r="C138">
        <f>COUNTIFS(AnalizaCzyste[Moja satysfakcja z usług edukacyjnych ocenianej uczelni jest wysoka.],B138,AnalizaCzyste[Czy jesteś studentem uczelni wyższej?],"*"&amp;"Tak"&amp;"*")</f>
        <v>0</v>
      </c>
      <c r="D138">
        <f t="shared" si="6"/>
        <v>0</v>
      </c>
      <c r="E138" s="44">
        <f t="shared" si="10"/>
        <v>0.25</v>
      </c>
      <c r="F138">
        <f t="shared" si="11"/>
        <v>0</v>
      </c>
      <c r="G138" s="44">
        <f>VLOOKUP(A138,TabeleGrup!C49:D55,2,0)</f>
        <v>3.5714285714285716</v>
      </c>
      <c r="H138" s="44">
        <f t="shared" si="12"/>
        <v>3.3671751485073786E-2</v>
      </c>
      <c r="I138" s="44">
        <f t="shared" si="13"/>
        <v>0.51343054737829275</v>
      </c>
      <c r="J138" s="44">
        <f t="shared" si="7"/>
        <v>0.15788431225131666</v>
      </c>
      <c r="K138" s="44">
        <f t="shared" si="8"/>
        <v>0.31576862450263332</v>
      </c>
      <c r="L138" s="44">
        <f t="shared" si="9"/>
        <v>-0.31576862450263332</v>
      </c>
      <c r="M138" s="44">
        <f t="shared" si="14"/>
        <v>9.9709824220285043E-2</v>
      </c>
      <c r="N138" s="44">
        <f t="shared" si="15"/>
        <v>0.31576862450263332</v>
      </c>
    </row>
    <row r="139" spans="1:15" x14ac:dyDescent="0.45">
      <c r="A139">
        <v>2</v>
      </c>
      <c r="B139" t="s">
        <v>236</v>
      </c>
      <c r="C139">
        <f>COUNTIFS(AnalizaCzyste[Moja satysfakcja z usług edukacyjnych ocenianej uczelni jest wysoka.],B139,AnalizaCzyste[Czy jesteś studentem uczelni wyższej?],"*"&amp;"Tak"&amp;"*")</f>
        <v>1</v>
      </c>
      <c r="D139">
        <f t="shared" si="6"/>
        <v>2</v>
      </c>
      <c r="E139" s="44">
        <f t="shared" si="10"/>
        <v>2.25</v>
      </c>
      <c r="F139">
        <f t="shared" si="11"/>
        <v>2.25</v>
      </c>
      <c r="G139" s="44">
        <f>VLOOKUP(A139,TabeleGrup!C50:D56,2,0)</f>
        <v>2.7142857142857144</v>
      </c>
      <c r="H139" s="44">
        <f t="shared" si="12"/>
        <v>-0.3703892663358106</v>
      </c>
      <c r="I139" s="44">
        <f t="shared" si="13"/>
        <v>0.35554623512697608</v>
      </c>
      <c r="J139" s="44">
        <f t="shared" si="7"/>
        <v>0.13621395644265025</v>
      </c>
      <c r="K139" s="44">
        <f t="shared" si="8"/>
        <v>0.27242791288530049</v>
      </c>
      <c r="L139" s="44">
        <f t="shared" si="9"/>
        <v>0.72757208711469956</v>
      </c>
      <c r="M139" s="44">
        <f t="shared" si="14"/>
        <v>0.52936114194843997</v>
      </c>
      <c r="N139" s="44">
        <f t="shared" si="15"/>
        <v>1.943123728923164</v>
      </c>
    </row>
    <row r="140" spans="1:15" x14ac:dyDescent="0.45">
      <c r="A140">
        <v>1</v>
      </c>
      <c r="B140" t="s">
        <v>129</v>
      </c>
      <c r="C140">
        <f>COUNTIFS(AnalizaCzyste[Moja satysfakcja z usług edukacyjnych ocenianej uczelni jest wysoka.],B140,AnalizaCzyste[Czy jesteś studentem uczelni wyższej?],"*"&amp;"Tak"&amp;"*")</f>
        <v>0</v>
      </c>
      <c r="D140">
        <f t="shared" si="6"/>
        <v>0</v>
      </c>
      <c r="E140" s="44">
        <f t="shared" si="10"/>
        <v>6.25</v>
      </c>
      <c r="F140">
        <f t="shared" si="11"/>
        <v>0</v>
      </c>
      <c r="G140" s="44">
        <f>VLOOKUP(A140,TabeleGrup!C51:D57,2,0)</f>
        <v>1.8571428571428572</v>
      </c>
      <c r="H140" s="44">
        <f t="shared" si="12"/>
        <v>-0.77445028415669492</v>
      </c>
      <c r="I140" s="44">
        <f t="shared" si="13"/>
        <v>0.21933227868432584</v>
      </c>
      <c r="J140" s="44">
        <f>I140</f>
        <v>0.21933227868432584</v>
      </c>
      <c r="K140" s="44">
        <f>$C$143*J140</f>
        <v>0.43866455736865168</v>
      </c>
      <c r="L140" s="44">
        <f t="shared" si="9"/>
        <v>-0.43866455736865168</v>
      </c>
      <c r="M140" s="44">
        <f t="shared" si="14"/>
        <v>0.1924265938914351</v>
      </c>
      <c r="N140" s="44">
        <f t="shared" si="15"/>
        <v>0.43866455736865168</v>
      </c>
      <c r="O140" s="20" t="s">
        <v>2425</v>
      </c>
    </row>
    <row r="141" spans="1:15" x14ac:dyDescent="0.45">
      <c r="A141" t="s">
        <v>2329</v>
      </c>
      <c r="B141" t="s">
        <v>132</v>
      </c>
      <c r="C141">
        <f>COUNTIFS(AnalizaCzyste[Moja satysfakcja z usług edukacyjnych ocenianej uczelni jest wysoka.],B141,AnalizaCzyste[Czy jesteś studentem uczelni wyższej?],"*"&amp;"Tak"&amp;"*")</f>
        <v>0</v>
      </c>
      <c r="D141">
        <f t="shared" si="6"/>
        <v>0</v>
      </c>
      <c r="J141" s="47">
        <f>SUM(J134:J140)</f>
        <v>0.95051992299029697</v>
      </c>
      <c r="K141" s="47">
        <f>SUM(K134:K140)</f>
        <v>1.9010398459805939</v>
      </c>
      <c r="M141" s="20" t="s">
        <v>2426</v>
      </c>
      <c r="N141" s="48">
        <f>SUM(N134:N140)</f>
        <v>5.3932463244345525</v>
      </c>
      <c r="O141">
        <f>CHIINV(I144,7-3)</f>
        <v>9.4877290367811575</v>
      </c>
    </row>
    <row r="142" spans="1:15" x14ac:dyDescent="0.45">
      <c r="B142" s="20" t="s">
        <v>2351</v>
      </c>
      <c r="C142" s="29">
        <f>SUM(C134:C141)</f>
        <v>2</v>
      </c>
      <c r="D142" s="44">
        <f>SUM(D134:D141)/C143</f>
        <v>3.5</v>
      </c>
      <c r="E142" s="20" t="s">
        <v>2353</v>
      </c>
      <c r="F142" s="44">
        <f>SUM(F134:F141)/(C143-1)</f>
        <v>4.5</v>
      </c>
      <c r="H142" s="20" t="s">
        <v>2405</v>
      </c>
      <c r="N142" s="20" t="s">
        <v>2427</v>
      </c>
    </row>
    <row r="143" spans="1:15" x14ac:dyDescent="0.45">
      <c r="B143" s="20" t="s">
        <v>2352</v>
      </c>
      <c r="C143">
        <f>C142-C141</f>
        <v>2</v>
      </c>
      <c r="D143" s="33">
        <f>D142/7</f>
        <v>0.5</v>
      </c>
      <c r="F143" s="44">
        <f>F142^(1/2)</f>
        <v>2.1213203435596424</v>
      </c>
      <c r="G143" t="s">
        <v>2406</v>
      </c>
    </row>
    <row r="144" spans="1:15" x14ac:dyDescent="0.45">
      <c r="B144" s="20"/>
      <c r="D144" s="52" t="str">
        <f>VLOOKUP(D142,InterpretacjaŚredniej[],2,1)</f>
        <v>raczej się nie zgadzam</v>
      </c>
      <c r="E144">
        <f>D142-(K144*F143/SQRT(C143))</f>
        <v>-15.559307104262057</v>
      </c>
      <c r="F144" s="45" t="str">
        <f>"&lt; m &lt;"</f>
        <v>&lt; m &lt;</v>
      </c>
      <c r="G144">
        <f>D142+(K144*F143/SQRT(C143))</f>
        <v>22.559307104262057</v>
      </c>
      <c r="H144" t="s">
        <v>2407</v>
      </c>
      <c r="I144">
        <v>0.05</v>
      </c>
      <c r="J144" s="20" t="s">
        <v>2417</v>
      </c>
      <c r="K144">
        <f>VLOOKUP($C$143-1,Tabl_tStudenta[],5,0)</f>
        <v>12.706204736174707</v>
      </c>
    </row>
    <row r="145" spans="1:7" x14ac:dyDescent="0.45">
      <c r="G145" s="42">
        <f>G144-E144</f>
        <v>38.118614208524114</v>
      </c>
    </row>
    <row r="146" spans="1:7" x14ac:dyDescent="0.45">
      <c r="A146" s="29" t="s">
        <v>2360</v>
      </c>
      <c r="C146" t="s">
        <v>2348</v>
      </c>
      <c r="E146" s="20" t="s">
        <v>2362</v>
      </c>
      <c r="F146" s="20" t="s">
        <v>2363</v>
      </c>
    </row>
    <row r="147" spans="1:7" x14ac:dyDescent="0.45">
      <c r="A147">
        <v>7</v>
      </c>
      <c r="B147" t="s">
        <v>169</v>
      </c>
      <c r="C147">
        <f>COUNTIFS(AnalizaCzyste[Usługi edukacyjne ocenianej uczelni mają wysoką wartość (okazja / szansa rozwoju własnego lub kariery).],B147,AnalizaCzyste[Czy jesteś studentem uczelni wyższej?],"*"&amp;"Tak"&amp;"*")</f>
        <v>0</v>
      </c>
      <c r="D147">
        <f t="shared" ref="D147:D154" si="16">PRODUCT(A147,C147)</f>
        <v>0</v>
      </c>
      <c r="E147" s="44">
        <f>(A147-$D$155)^2</f>
        <v>16</v>
      </c>
      <c r="F147">
        <f>PRODUCT(C147,E147)</f>
        <v>0</v>
      </c>
    </row>
    <row r="148" spans="1:7" x14ac:dyDescent="0.45">
      <c r="A148">
        <v>6</v>
      </c>
      <c r="B148" t="s">
        <v>150</v>
      </c>
      <c r="C148">
        <f>COUNTIFS(AnalizaCzyste[Usługi edukacyjne ocenianej uczelni mają wysoką wartość (okazja / szansa rozwoju własnego lub kariery).],B148,AnalizaCzyste[Czy jesteś studentem uczelni wyższej?],"*"&amp;"Tak"&amp;"*")</f>
        <v>0</v>
      </c>
      <c r="D148">
        <f t="shared" si="16"/>
        <v>0</v>
      </c>
      <c r="E148" s="44">
        <f t="shared" ref="E148:E153" si="17">(A148-$D$155)^2</f>
        <v>9</v>
      </c>
      <c r="F148">
        <f t="shared" ref="F148:F153" si="18">PRODUCT(C148,E148)</f>
        <v>0</v>
      </c>
    </row>
    <row r="149" spans="1:7" x14ac:dyDescent="0.45">
      <c r="A149">
        <v>5</v>
      </c>
      <c r="B149" t="s">
        <v>162</v>
      </c>
      <c r="C149">
        <f>COUNTIFS(AnalizaCzyste[Usługi edukacyjne ocenianej uczelni mają wysoką wartość (okazja / szansa rozwoju własnego lub kariery).],B149,AnalizaCzyste[Czy jesteś studentem uczelni wyższej?],"*"&amp;"Tak"&amp;"*")</f>
        <v>1</v>
      </c>
      <c r="D149">
        <f t="shared" si="16"/>
        <v>5</v>
      </c>
      <c r="E149" s="44">
        <f t="shared" si="17"/>
        <v>4</v>
      </c>
      <c r="F149">
        <f t="shared" si="18"/>
        <v>4</v>
      </c>
    </row>
    <row r="150" spans="1:7" x14ac:dyDescent="0.45">
      <c r="A150">
        <v>4</v>
      </c>
      <c r="B150" t="s">
        <v>151</v>
      </c>
      <c r="C150">
        <f>COUNTIFS(AnalizaCzyste[Usługi edukacyjne ocenianej uczelni mają wysoką wartość (okazja / szansa rozwoju własnego lub kariery).],B150,AnalizaCzyste[Czy jesteś studentem uczelni wyższej?],"*"&amp;"Tak"&amp;"*")</f>
        <v>0</v>
      </c>
      <c r="D150">
        <f t="shared" si="16"/>
        <v>0</v>
      </c>
      <c r="E150" s="44">
        <f t="shared" si="17"/>
        <v>1</v>
      </c>
      <c r="F150">
        <f t="shared" si="18"/>
        <v>0</v>
      </c>
    </row>
    <row r="151" spans="1:7" x14ac:dyDescent="0.45">
      <c r="A151">
        <v>3</v>
      </c>
      <c r="B151" t="s">
        <v>128</v>
      </c>
      <c r="C151">
        <f>COUNTIFS(AnalizaCzyste[Usługi edukacyjne ocenianej uczelni mają wysoką wartość (okazja / szansa rozwoju własnego lub kariery).],B151,AnalizaCzyste[Czy jesteś studentem uczelni wyższej?],"*"&amp;"Tak"&amp;"*")</f>
        <v>0</v>
      </c>
      <c r="D151">
        <f t="shared" si="16"/>
        <v>0</v>
      </c>
      <c r="E151" s="44">
        <f t="shared" si="17"/>
        <v>0</v>
      </c>
      <c r="F151">
        <f t="shared" si="18"/>
        <v>0</v>
      </c>
    </row>
    <row r="152" spans="1:7" x14ac:dyDescent="0.45">
      <c r="A152">
        <v>2</v>
      </c>
      <c r="B152" t="s">
        <v>236</v>
      </c>
      <c r="C152">
        <f>COUNTIFS(AnalizaCzyste[Usługi edukacyjne ocenianej uczelni mają wysoką wartość (okazja / szansa rozwoju własnego lub kariery).],B152,AnalizaCzyste[Czy jesteś studentem uczelni wyższej?],"*"&amp;"Tak"&amp;"*")</f>
        <v>0</v>
      </c>
      <c r="D152">
        <f t="shared" si="16"/>
        <v>0</v>
      </c>
      <c r="E152" s="44">
        <f t="shared" si="17"/>
        <v>1</v>
      </c>
      <c r="F152">
        <f t="shared" si="18"/>
        <v>0</v>
      </c>
    </row>
    <row r="153" spans="1:7" x14ac:dyDescent="0.45">
      <c r="A153">
        <v>1</v>
      </c>
      <c r="B153" t="s">
        <v>129</v>
      </c>
      <c r="C153">
        <f>COUNTIFS(AnalizaCzyste[Usługi edukacyjne ocenianej uczelni mają wysoką wartość (okazja / szansa rozwoju własnego lub kariery).],B153,AnalizaCzyste[Czy jesteś studentem uczelni wyższej?],"*"&amp;"Tak"&amp;"*")</f>
        <v>1</v>
      </c>
      <c r="D153">
        <f t="shared" si="16"/>
        <v>1</v>
      </c>
      <c r="E153" s="44">
        <f t="shared" si="17"/>
        <v>4</v>
      </c>
      <c r="F153">
        <f t="shared" si="18"/>
        <v>4</v>
      </c>
    </row>
    <row r="154" spans="1:7" x14ac:dyDescent="0.45">
      <c r="A154" t="s">
        <v>2329</v>
      </c>
      <c r="B154" t="s">
        <v>132</v>
      </c>
      <c r="C154">
        <f>COUNTIFS(AnalizaCzyste[Usługi edukacyjne ocenianej uczelni mają wysoką wartość (okazja / szansa rozwoju własnego lub kariery).],B154,AnalizaCzyste[Czy jesteś studentem uczelni wyższej?],"*"&amp;"Tak"&amp;"*")</f>
        <v>0</v>
      </c>
      <c r="D154">
        <f t="shared" si="16"/>
        <v>0</v>
      </c>
    </row>
    <row r="155" spans="1:7" x14ac:dyDescent="0.45">
      <c r="B155" s="20" t="s">
        <v>2351</v>
      </c>
      <c r="C155" s="29">
        <f>SUM(C147:C154)</f>
        <v>2</v>
      </c>
      <c r="D155" s="44">
        <f>SUM(D147:D153)/C156</f>
        <v>3</v>
      </c>
      <c r="E155" s="20" t="s">
        <v>2353</v>
      </c>
      <c r="F155" s="44">
        <f>SUM(F147:F154)/(C156-1)</f>
        <v>8</v>
      </c>
      <c r="G155" s="20" t="s">
        <v>2349</v>
      </c>
    </row>
    <row r="156" spans="1:7" x14ac:dyDescent="0.45">
      <c r="B156" s="20" t="s">
        <v>2352</v>
      </c>
      <c r="C156">
        <f>C155-C154</f>
        <v>2</v>
      </c>
      <c r="D156" s="33">
        <f>D155/7</f>
        <v>0.42857142857142855</v>
      </c>
      <c r="F156" s="44">
        <f>F155^(1/2)</f>
        <v>2.8284271247461903</v>
      </c>
      <c r="G156" t="s">
        <v>2404</v>
      </c>
    </row>
    <row r="158" spans="1:7" x14ac:dyDescent="0.45">
      <c r="A158" s="29" t="s">
        <v>2361</v>
      </c>
      <c r="C158" t="s">
        <v>2348</v>
      </c>
      <c r="E158" s="20" t="s">
        <v>2362</v>
      </c>
      <c r="F158" s="20" t="s">
        <v>2363</v>
      </c>
    </row>
    <row r="159" spans="1:7" x14ac:dyDescent="0.45">
      <c r="A159">
        <v>7</v>
      </c>
      <c r="B159" t="s">
        <v>169</v>
      </c>
      <c r="C159">
        <f>COUNTIFS(AnalizaCzyste[Kształcenie na ocenianej uczelni ma/będzie miało pozytywny wpływ na zwiększenie moich zarobków.],B159,AnalizaCzyste[Czy jesteś studentem uczelni wyższej?],"*"&amp;"Tak"&amp;"*")</f>
        <v>0</v>
      </c>
      <c r="D159">
        <f t="shared" ref="D159:D166" si="19">PRODUCT(A159,C159)</f>
        <v>0</v>
      </c>
      <c r="E159" s="44">
        <f>(A159-$D$167)^2</f>
        <v>16</v>
      </c>
      <c r="F159">
        <f>PRODUCT(C159,E159)</f>
        <v>0</v>
      </c>
    </row>
    <row r="160" spans="1:7" x14ac:dyDescent="0.45">
      <c r="A160">
        <v>6</v>
      </c>
      <c r="B160" t="s">
        <v>150</v>
      </c>
      <c r="C160">
        <f>COUNTIFS(AnalizaCzyste[Kształcenie na ocenianej uczelni ma/będzie miało pozytywny wpływ na zwiększenie moich zarobków.],B160,AnalizaCzyste[Czy jesteś studentem uczelni wyższej?],"*"&amp;"Tak"&amp;"*")</f>
        <v>0</v>
      </c>
      <c r="D160">
        <f t="shared" si="19"/>
        <v>0</v>
      </c>
      <c r="E160" s="44">
        <f t="shared" ref="E160:E165" si="20">(A160-$D$167)^2</f>
        <v>9</v>
      </c>
      <c r="F160">
        <f t="shared" ref="F160:F165" si="21">PRODUCT(C160,E160)</f>
        <v>0</v>
      </c>
    </row>
    <row r="161" spans="1:14" x14ac:dyDescent="0.45">
      <c r="A161">
        <v>5</v>
      </c>
      <c r="B161" t="s">
        <v>162</v>
      </c>
      <c r="C161">
        <f>COUNTIFS(AnalizaCzyste[Kształcenie na ocenianej uczelni ma/będzie miało pozytywny wpływ na zwiększenie moich zarobków.],B161,AnalizaCzyste[Czy jesteś studentem uczelni wyższej?],"*"&amp;"Tak"&amp;"*")</f>
        <v>0</v>
      </c>
      <c r="D161">
        <f t="shared" si="19"/>
        <v>0</v>
      </c>
      <c r="E161" s="44">
        <f t="shared" si="20"/>
        <v>4</v>
      </c>
      <c r="F161">
        <f t="shared" si="21"/>
        <v>0</v>
      </c>
    </row>
    <row r="162" spans="1:14" x14ac:dyDescent="0.45">
      <c r="A162">
        <v>4</v>
      </c>
      <c r="B162" t="s">
        <v>151</v>
      </c>
      <c r="C162">
        <f>COUNTIFS(AnalizaCzyste[Kształcenie na ocenianej uczelni ma/będzie miało pozytywny wpływ na zwiększenie moich zarobków.],B162,AnalizaCzyste[Czy jesteś studentem uczelni wyższej?],"*"&amp;"Tak"&amp;"*")</f>
        <v>1</v>
      </c>
      <c r="D162">
        <f t="shared" si="19"/>
        <v>4</v>
      </c>
      <c r="E162" s="44">
        <f t="shared" si="20"/>
        <v>1</v>
      </c>
      <c r="F162">
        <f t="shared" si="21"/>
        <v>1</v>
      </c>
    </row>
    <row r="163" spans="1:14" x14ac:dyDescent="0.45">
      <c r="A163">
        <v>3</v>
      </c>
      <c r="B163" t="s">
        <v>128</v>
      </c>
      <c r="C163">
        <f>COUNTIFS(AnalizaCzyste[Kształcenie na ocenianej uczelni ma/będzie miało pozytywny wpływ na zwiększenie moich zarobków.],B163,AnalizaCzyste[Czy jesteś studentem uczelni wyższej?],"*"&amp;"Tak"&amp;"*")</f>
        <v>0</v>
      </c>
      <c r="D163">
        <f t="shared" si="19"/>
        <v>0</v>
      </c>
      <c r="E163" s="44">
        <f t="shared" si="20"/>
        <v>0</v>
      </c>
      <c r="F163">
        <f t="shared" si="21"/>
        <v>0</v>
      </c>
    </row>
    <row r="164" spans="1:14" x14ac:dyDescent="0.45">
      <c r="A164">
        <v>2</v>
      </c>
      <c r="B164" t="s">
        <v>236</v>
      </c>
      <c r="C164">
        <f>COUNTIFS(AnalizaCzyste[Kształcenie na ocenianej uczelni ma/będzie miało pozytywny wpływ na zwiększenie moich zarobków.],B164,AnalizaCzyste[Czy jesteś studentem uczelni wyższej?],"*"&amp;"Tak"&amp;"*")</f>
        <v>1</v>
      </c>
      <c r="D164">
        <f t="shared" si="19"/>
        <v>2</v>
      </c>
      <c r="E164" s="44">
        <f t="shared" si="20"/>
        <v>1</v>
      </c>
      <c r="F164">
        <f t="shared" si="21"/>
        <v>1</v>
      </c>
    </row>
    <row r="165" spans="1:14" x14ac:dyDescent="0.45">
      <c r="A165">
        <v>1</v>
      </c>
      <c r="B165" t="s">
        <v>129</v>
      </c>
      <c r="C165">
        <f>COUNTIFS(AnalizaCzyste[Kształcenie na ocenianej uczelni ma/będzie miało pozytywny wpływ na zwiększenie moich zarobków.],B165,AnalizaCzyste[Czy jesteś studentem uczelni wyższej?],"*"&amp;"Tak"&amp;"*")</f>
        <v>0</v>
      </c>
      <c r="D165">
        <f t="shared" si="19"/>
        <v>0</v>
      </c>
      <c r="E165" s="44">
        <f t="shared" si="20"/>
        <v>4</v>
      </c>
      <c r="F165">
        <f t="shared" si="21"/>
        <v>0</v>
      </c>
    </row>
    <row r="166" spans="1:14" x14ac:dyDescent="0.45">
      <c r="A166" t="s">
        <v>2329</v>
      </c>
      <c r="B166" t="s">
        <v>132</v>
      </c>
      <c r="C166">
        <f>COUNTIFS(AnalizaCzyste[Kształcenie na ocenianej uczelni ma/będzie miało pozytywny wpływ na zwiększenie moich zarobków.],B166,AnalizaCzyste[Czy jesteś studentem uczelni wyższej?],"*"&amp;"Tak"&amp;"*")</f>
        <v>0</v>
      </c>
      <c r="D166">
        <f t="shared" si="19"/>
        <v>0</v>
      </c>
    </row>
    <row r="167" spans="1:14" x14ac:dyDescent="0.45">
      <c r="B167" s="20" t="s">
        <v>2351</v>
      </c>
      <c r="C167" s="29">
        <f>SUM(C159:C166)</f>
        <v>2</v>
      </c>
      <c r="D167" s="44">
        <f>SUM(D159:D166)/C168</f>
        <v>3</v>
      </c>
      <c r="E167" s="20" t="s">
        <v>2353</v>
      </c>
      <c r="F167" s="44">
        <f>SUM(F159:F166)/(C168-1)</f>
        <v>2</v>
      </c>
      <c r="G167" s="20" t="s">
        <v>2349</v>
      </c>
    </row>
    <row r="168" spans="1:14" x14ac:dyDescent="0.45">
      <c r="B168" s="20" t="s">
        <v>2352</v>
      </c>
      <c r="C168">
        <f>C167-C166</f>
        <v>2</v>
      </c>
      <c r="D168" s="33">
        <f>D167/7</f>
        <v>0.42857142857142855</v>
      </c>
      <c r="F168" s="44">
        <f>F167^(1/2)</f>
        <v>1.4142135623730951</v>
      </c>
      <c r="G168" t="s">
        <v>2404</v>
      </c>
    </row>
    <row r="172" spans="1:14" x14ac:dyDescent="0.45">
      <c r="A172" s="29" t="s">
        <v>2350</v>
      </c>
      <c r="C172" t="s">
        <v>2348</v>
      </c>
      <c r="E172" s="20" t="s">
        <v>2362</v>
      </c>
      <c r="F172" s="20" t="s">
        <v>2363</v>
      </c>
      <c r="G172" s="20" t="s">
        <v>2430</v>
      </c>
      <c r="H172" s="20" t="s">
        <v>2418</v>
      </c>
      <c r="I172" s="20" t="s">
        <v>2419</v>
      </c>
      <c r="J172" s="20" t="s">
        <v>2420</v>
      </c>
      <c r="K172" s="20" t="s">
        <v>2421</v>
      </c>
      <c r="L172" s="20" t="s">
        <v>2422</v>
      </c>
      <c r="M172" s="20" t="s">
        <v>2423</v>
      </c>
      <c r="N172" s="20" t="s">
        <v>2424</v>
      </c>
    </row>
    <row r="173" spans="1:14" x14ac:dyDescent="0.45">
      <c r="A173">
        <v>7</v>
      </c>
      <c r="B173" t="s">
        <v>169</v>
      </c>
      <c r="C173">
        <f>COUNTIFS(AnalizaCzyste[Moja satysfakcja z (efektów) usług edukacyjnych ocenianej uczelni jest wysoka.],B173,AnalizaCzyste[Czy jesteś absolwentem uczelni wyższej?],"*"&amp;"Tak"&amp;"*")</f>
        <v>7</v>
      </c>
      <c r="D173">
        <f>PRODUCT(A173,C173)</f>
        <v>49</v>
      </c>
      <c r="E173" s="44">
        <f>(A173-$D$181)^2</f>
        <v>2.4693877551020402</v>
      </c>
      <c r="F173">
        <f>PRODUCT(C173,E173)</f>
        <v>17.285714285714281</v>
      </c>
      <c r="G173" s="44">
        <f>VLOOKUP(A173,TabeleGrup!$C$45:$D$51,2,0)</f>
        <v>6.9999999999999991</v>
      </c>
      <c r="H173">
        <f>(G173-$D$181)/$F$182</f>
        <v>1.0466964414976587</v>
      </c>
      <c r="I173">
        <f>NORMDIST(H173,0,1,1)</f>
        <v>0.8523801972547056</v>
      </c>
      <c r="J173">
        <f t="shared" ref="J173:J178" si="22">I173-I174</f>
        <v>0.16949892431236235</v>
      </c>
      <c r="K173">
        <f>$C$182*J173</f>
        <v>4.7459698807461459</v>
      </c>
      <c r="L173">
        <f>C173-K173</f>
        <v>2.2540301192538541</v>
      </c>
      <c r="M173">
        <f>L173^2</f>
        <v>5.0806517785035439</v>
      </c>
      <c r="N173">
        <f>M173/K173</f>
        <v>1.0705191786225117</v>
      </c>
    </row>
    <row r="174" spans="1:14" x14ac:dyDescent="0.45">
      <c r="A174">
        <v>6</v>
      </c>
      <c r="B174" t="s">
        <v>150</v>
      </c>
      <c r="C174">
        <f>COUNTIFS(AnalizaCzyste[Moja satysfakcja z (efektów) usług edukacyjnych ocenianej uczelni jest wysoka.],B174,AnalizaCzyste[Czy jesteś absolwentem uczelni wyższej?],"*"&amp;"Tak"&amp;"*")</f>
        <v>10</v>
      </c>
      <c r="D174">
        <f t="shared" ref="D174:D180" si="23">PRODUCT(A174,C174)</f>
        <v>60</v>
      </c>
      <c r="E174" s="44">
        <f t="shared" ref="E174:E179" si="24">(A174-$D$181)^2</f>
        <v>0.32653061224489766</v>
      </c>
      <c r="F174">
        <f t="shared" ref="F174:F179" si="25">PRODUCT(C174,E174)</f>
        <v>3.2653061224489766</v>
      </c>
      <c r="G174" s="44">
        <f>VLOOKUP(A174,TabeleGrup!$C$45:$D$51,2,0)</f>
        <v>6.1428571428571423</v>
      </c>
      <c r="H174">
        <f t="shared" ref="H174:H179" si="26">(G174-$D$181)/$F$182</f>
        <v>0.47577110977166287</v>
      </c>
      <c r="I174">
        <f t="shared" ref="I174:I179" si="27">NORMDIST(H174,0,1,1)</f>
        <v>0.68288127294234324</v>
      </c>
      <c r="J174">
        <f t="shared" si="22"/>
        <v>0.22078510768167825</v>
      </c>
      <c r="K174">
        <f t="shared" ref="K174:K179" si="28">$C$182*J174</f>
        <v>6.181983015086991</v>
      </c>
      <c r="L174">
        <f t="shared" ref="L174:L179" si="29">C174-K174</f>
        <v>3.818016984913009</v>
      </c>
      <c r="M174">
        <f t="shared" ref="M174:M179" si="30">L174^2</f>
        <v>14.577253697084224</v>
      </c>
      <c r="N174">
        <f t="shared" ref="N174:N179" si="31">M174/K174</f>
        <v>2.3580222820911612</v>
      </c>
    </row>
    <row r="175" spans="1:14" x14ac:dyDescent="0.45">
      <c r="A175">
        <v>5</v>
      </c>
      <c r="B175" t="s">
        <v>162</v>
      </c>
      <c r="C175">
        <f>COUNTIFS(AnalizaCzyste[Moja satysfakcja z (efektów) usług edukacyjnych ocenianej uczelni jest wysoka.],B175,AnalizaCzyste[Czy jesteś absolwentem uczelni wyższej?],"*"&amp;"Tak"&amp;"*")</f>
        <v>5</v>
      </c>
      <c r="D175">
        <f t="shared" si="23"/>
        <v>25</v>
      </c>
      <c r="E175" s="44">
        <f t="shared" si="24"/>
        <v>0.18367346938775531</v>
      </c>
      <c r="F175">
        <f t="shared" si="25"/>
        <v>0.91836734693877653</v>
      </c>
      <c r="G175" s="44">
        <f>VLOOKUP(A175,TabeleGrup!$C$45:$D$51,2,0)</f>
        <v>5.2857142857142856</v>
      </c>
      <c r="H175">
        <f t="shared" si="26"/>
        <v>-9.5154221954332929E-2</v>
      </c>
      <c r="I175">
        <f t="shared" si="27"/>
        <v>0.46209616526066499</v>
      </c>
      <c r="J175">
        <f t="shared" si="22"/>
        <v>0.2094160389424764</v>
      </c>
      <c r="K175">
        <f t="shared" si="28"/>
        <v>5.8636490903893392</v>
      </c>
      <c r="L175">
        <f t="shared" si="29"/>
        <v>-0.86364909038933924</v>
      </c>
      <c r="M175">
        <f t="shared" si="30"/>
        <v>0.74588975133033308</v>
      </c>
      <c r="N175">
        <f t="shared" si="31"/>
        <v>0.12720572800866686</v>
      </c>
    </row>
    <row r="176" spans="1:14" x14ac:dyDescent="0.45">
      <c r="A176">
        <v>4</v>
      </c>
      <c r="B176" t="s">
        <v>151</v>
      </c>
      <c r="C176">
        <f>COUNTIFS(AnalizaCzyste[Moja satysfakcja z (efektów) usług edukacyjnych ocenianej uczelni jest wysoka.],B176,AnalizaCzyste[Czy jesteś absolwentem uczelni wyższej?],"*"&amp;"Tak"&amp;"*")</f>
        <v>2</v>
      </c>
      <c r="D176">
        <f t="shared" si="23"/>
        <v>8</v>
      </c>
      <c r="E176" s="44">
        <f t="shared" si="24"/>
        <v>2.0408163265306132</v>
      </c>
      <c r="F176">
        <f t="shared" si="25"/>
        <v>4.0816326530612264</v>
      </c>
      <c r="G176" s="44">
        <f>VLOOKUP(A176,TabeleGrup!$C$45:$D$51,2,0)</f>
        <v>4.4285714285714288</v>
      </c>
      <c r="H176">
        <f t="shared" si="26"/>
        <v>-0.66607955368032867</v>
      </c>
      <c r="I176">
        <f t="shared" si="27"/>
        <v>0.25268012631818859</v>
      </c>
      <c r="J176">
        <f t="shared" si="22"/>
        <v>0.14463749185861413</v>
      </c>
      <c r="K176">
        <f t="shared" si="28"/>
        <v>4.0498497720411955</v>
      </c>
      <c r="L176">
        <f t="shared" si="29"/>
        <v>-2.0498497720411955</v>
      </c>
      <c r="M176">
        <f t="shared" si="30"/>
        <v>4.2018840879373407</v>
      </c>
      <c r="N176">
        <f t="shared" si="31"/>
        <v>1.0375407297687285</v>
      </c>
    </row>
    <row r="177" spans="1:15" x14ac:dyDescent="0.45">
      <c r="A177">
        <v>3</v>
      </c>
      <c r="B177" t="s">
        <v>128</v>
      </c>
      <c r="C177">
        <f>COUNTIFS(AnalizaCzyste[Moja satysfakcja z (efektów) usług edukacyjnych ocenianej uczelni jest wysoka.],B177,AnalizaCzyste[Czy jesteś absolwentem uczelni wyższej?],"*"&amp;"Tak"&amp;"*")</f>
        <v>2</v>
      </c>
      <c r="D177">
        <f t="shared" si="23"/>
        <v>6</v>
      </c>
      <c r="E177" s="44">
        <f t="shared" si="24"/>
        <v>5.8979591836734704</v>
      </c>
      <c r="F177">
        <f t="shared" si="25"/>
        <v>11.795918367346941</v>
      </c>
      <c r="G177" s="44">
        <f>VLOOKUP(A177,TabeleGrup!$C$45:$D$51,2,0)</f>
        <v>3.5714285714285716</v>
      </c>
      <c r="H177">
        <f t="shared" si="26"/>
        <v>-1.2370048854063249</v>
      </c>
      <c r="I177">
        <f t="shared" si="27"/>
        <v>0.10804263445957447</v>
      </c>
      <c r="J177">
        <f t="shared" si="22"/>
        <v>7.2733953398219975E-2</v>
      </c>
      <c r="K177">
        <f t="shared" si="28"/>
        <v>2.0365506951501593</v>
      </c>
      <c r="L177">
        <f t="shared" si="29"/>
        <v>-3.6550695150159296E-2</v>
      </c>
      <c r="M177">
        <f t="shared" si="30"/>
        <v>1.3359533159598782E-3</v>
      </c>
      <c r="N177">
        <f t="shared" si="31"/>
        <v>6.5598824480103375E-4</v>
      </c>
    </row>
    <row r="178" spans="1:15" x14ac:dyDescent="0.45">
      <c r="A178">
        <v>2</v>
      </c>
      <c r="B178" t="s">
        <v>236</v>
      </c>
      <c r="C178">
        <f>COUNTIFS(AnalizaCzyste[Moja satysfakcja z (efektów) usług edukacyjnych ocenianej uczelni jest wysoka.],B178,AnalizaCzyste[Czy jesteś absolwentem uczelni wyższej?],"*"&amp;"Tak"&amp;"*")</f>
        <v>2</v>
      </c>
      <c r="D178">
        <f t="shared" si="23"/>
        <v>4</v>
      </c>
      <c r="E178" s="44">
        <f t="shared" si="24"/>
        <v>11.755102040816329</v>
      </c>
      <c r="F178">
        <f t="shared" si="25"/>
        <v>23.510204081632658</v>
      </c>
      <c r="G178" s="44">
        <f>VLOOKUP(A178,TabeleGrup!$C$45:$D$51,2,0)</f>
        <v>2.7142857142857144</v>
      </c>
      <c r="H178">
        <f t="shared" si="26"/>
        <v>-1.8079302171323208</v>
      </c>
      <c r="I178">
        <f t="shared" si="27"/>
        <v>3.5308681061354492E-2</v>
      </c>
      <c r="J178">
        <f t="shared" si="22"/>
        <v>2.6625441109817592E-2</v>
      </c>
      <c r="K178">
        <f t="shared" si="28"/>
        <v>0.74551235107489255</v>
      </c>
      <c r="L178">
        <f t="shared" si="29"/>
        <v>1.2544876489251076</v>
      </c>
      <c r="M178">
        <f t="shared" si="30"/>
        <v>1.573739261305644</v>
      </c>
      <c r="N178">
        <f t="shared" si="31"/>
        <v>2.1109499514482888</v>
      </c>
    </row>
    <row r="179" spans="1:15" x14ac:dyDescent="0.45">
      <c r="A179">
        <v>1</v>
      </c>
      <c r="B179" t="s">
        <v>129</v>
      </c>
      <c r="C179">
        <f>COUNTIFS(AnalizaCzyste[Moja satysfakcja z (efektów) usług edukacyjnych ocenianej uczelni jest wysoka.],B179,AnalizaCzyste[Czy jesteś absolwentem uczelni wyższej?],"*"&amp;"Tak"&amp;"*")</f>
        <v>0</v>
      </c>
      <c r="D179">
        <f t="shared" si="23"/>
        <v>0</v>
      </c>
      <c r="E179" s="44">
        <f t="shared" si="24"/>
        <v>19.612244897959187</v>
      </c>
      <c r="F179">
        <f t="shared" si="25"/>
        <v>0</v>
      </c>
      <c r="G179" s="44">
        <f>VLOOKUP(A179,TabeleGrup!$C$45:$D$51,2,0)</f>
        <v>1.8571428571428572</v>
      </c>
      <c r="H179">
        <f t="shared" si="26"/>
        <v>-2.3788555488583172</v>
      </c>
      <c r="I179">
        <f t="shared" si="27"/>
        <v>8.6832399515369019E-3</v>
      </c>
      <c r="J179">
        <f>I179</f>
        <v>8.6832399515369019E-3</v>
      </c>
      <c r="K179">
        <f t="shared" si="28"/>
        <v>0.24313071864303326</v>
      </c>
      <c r="L179">
        <f t="shared" si="29"/>
        <v>-0.24313071864303326</v>
      </c>
      <c r="M179">
        <f t="shared" si="30"/>
        <v>5.9112546347877798E-2</v>
      </c>
      <c r="N179">
        <f t="shared" si="31"/>
        <v>0.24313071864303323</v>
      </c>
      <c r="O179" s="20" t="s">
        <v>2425</v>
      </c>
    </row>
    <row r="180" spans="1:15" x14ac:dyDescent="0.45">
      <c r="A180" t="s">
        <v>2329</v>
      </c>
      <c r="B180" t="s">
        <v>132</v>
      </c>
      <c r="C180">
        <f>COUNTIFS(AnalizaCzyste[Moja satysfakcja z (efektów) usług edukacyjnych ocenianej uczelni jest wysoka.],B180,AnalizaCzyste[Czy jesteś absolwentem uczelni wyższej?],"*"&amp;"Tak"&amp;"*")</f>
        <v>1</v>
      </c>
      <c r="D180">
        <f t="shared" si="23"/>
        <v>1</v>
      </c>
      <c r="J180" s="47">
        <f>SUM(J173:J179)</f>
        <v>0.8523801972547056</v>
      </c>
      <c r="K180" s="47">
        <f>SUM(K173:K179)</f>
        <v>23.866645523131755</v>
      </c>
      <c r="M180" s="20" t="s">
        <v>2426</v>
      </c>
      <c r="N180" s="48">
        <f>SUM(N173:N179)</f>
        <v>6.9480245768271907</v>
      </c>
      <c r="O180">
        <f>CHIINV(I183,7-3)</f>
        <v>9.4877290367811575</v>
      </c>
    </row>
    <row r="181" spans="1:15" x14ac:dyDescent="0.45">
      <c r="B181" s="20" t="s">
        <v>2351</v>
      </c>
      <c r="C181" s="29">
        <f>SUM(C173:C180)</f>
        <v>29</v>
      </c>
      <c r="D181" s="44">
        <f>SUM(D173:D179)/C182</f>
        <v>5.4285714285714288</v>
      </c>
      <c r="E181" s="20" t="s">
        <v>2353</v>
      </c>
      <c r="F181" s="44">
        <f>SUM(F173:F180)/(C182-1)</f>
        <v>2.253968253968254</v>
      </c>
      <c r="G181" s="20" t="s">
        <v>2349</v>
      </c>
      <c r="N181" s="20" t="s">
        <v>2428</v>
      </c>
    </row>
    <row r="182" spans="1:15" x14ac:dyDescent="0.45">
      <c r="B182" s="20" t="s">
        <v>2352</v>
      </c>
      <c r="C182">
        <f>C181-C180</f>
        <v>28</v>
      </c>
      <c r="D182" s="33">
        <f>D181/7</f>
        <v>0.77551020408163274</v>
      </c>
      <c r="F182" s="44">
        <f>F181^(1/2)</f>
        <v>1.5013221686128044</v>
      </c>
      <c r="G182" t="s">
        <v>2404</v>
      </c>
    </row>
    <row r="183" spans="1:15" x14ac:dyDescent="0.45">
      <c r="B183" s="20"/>
      <c r="D183" s="52" t="str">
        <f>VLOOKUP(D181,InterpretacjaŚredniej[],2,1)</f>
        <v>zgadzam się</v>
      </c>
      <c r="E183">
        <f>D181-(K183*F182/SQRT(C182))</f>
        <v>4.8464194652055665</v>
      </c>
      <c r="F183" s="45" t="str">
        <f>"&lt; m &lt;"</f>
        <v>&lt; m &lt;</v>
      </c>
      <c r="G183">
        <f>D181+(K183*F182/SQRT(C182))</f>
        <v>6.0107233919372911</v>
      </c>
      <c r="H183" t="s">
        <v>2407</v>
      </c>
      <c r="I183">
        <v>0.05</v>
      </c>
      <c r="J183" s="20" t="s">
        <v>2417</v>
      </c>
      <c r="K183">
        <f>VLOOKUP($C$182-1,Tabl_tStudenta[],5,0)</f>
        <v>2.0518305164802859</v>
      </c>
    </row>
    <row r="184" spans="1:15" x14ac:dyDescent="0.45">
      <c r="B184" s="20"/>
      <c r="D184" s="33"/>
      <c r="G184" s="42">
        <f>G183-E183</f>
        <v>1.1643039267317246</v>
      </c>
    </row>
    <row r="185" spans="1:15" x14ac:dyDescent="0.45">
      <c r="A185" s="29" t="s">
        <v>2364</v>
      </c>
      <c r="C185" t="s">
        <v>2348</v>
      </c>
      <c r="E185" s="20" t="s">
        <v>2362</v>
      </c>
      <c r="F185" s="20" t="s">
        <v>2363</v>
      </c>
    </row>
    <row r="186" spans="1:15" x14ac:dyDescent="0.45">
      <c r="A186">
        <v>7</v>
      </c>
      <c r="B186" t="s">
        <v>169</v>
      </c>
      <c r="C186">
        <f>COUNTIFS(AnalizaCzyste[Usługi edukacyjne ocenianej uczelni mają wysoką wartość (okazja / szansa rozwoju własnego lub kariery).3],B186,AnalizaCzyste[Czy jesteś absolwentem uczelni wyższej?],"*"&amp;"Tak"&amp;"*")</f>
        <v>8</v>
      </c>
      <c r="D186">
        <f>PRODUCT(A186,C186)</f>
        <v>56</v>
      </c>
      <c r="E186" s="44">
        <f>(A186-$D$194)^2</f>
        <v>2.582908163265305</v>
      </c>
      <c r="F186">
        <f>PRODUCT(C186,E186)</f>
        <v>20.66326530612244</v>
      </c>
    </row>
    <row r="187" spans="1:15" x14ac:dyDescent="0.45">
      <c r="A187">
        <v>6</v>
      </c>
      <c r="B187" t="s">
        <v>150</v>
      </c>
      <c r="C187">
        <f>COUNTIFS(AnalizaCzyste[Usługi edukacyjne ocenianej uczelni mają wysoką wartość (okazja / szansa rozwoju własnego lub kariery).3],B187,AnalizaCzyste[Czy jesteś absolwentem uczelni wyższej?],"*"&amp;"Tak"&amp;"*")</f>
        <v>9</v>
      </c>
      <c r="D187">
        <f t="shared" ref="D187:D193" si="32">PRODUCT(A187,C187)</f>
        <v>54</v>
      </c>
      <c r="E187" s="44">
        <f t="shared" ref="E187:E192" si="33">(A187-$D$194)^2</f>
        <v>0.3686224489795914</v>
      </c>
      <c r="F187">
        <f t="shared" ref="F187:F192" si="34">PRODUCT(C187,E187)</f>
        <v>3.3176020408163227</v>
      </c>
    </row>
    <row r="188" spans="1:15" x14ac:dyDescent="0.45">
      <c r="A188">
        <v>5</v>
      </c>
      <c r="B188" t="s">
        <v>162</v>
      </c>
      <c r="C188">
        <f>COUNTIFS(AnalizaCzyste[Usługi edukacyjne ocenianej uczelni mają wysoką wartość (okazja / szansa rozwoju własnego lub kariery).3],B188,AnalizaCzyste[Czy jesteś absolwentem uczelni wyższej?],"*"&amp;"Tak"&amp;"*")</f>
        <v>3</v>
      </c>
      <c r="D188">
        <f t="shared" si="32"/>
        <v>15</v>
      </c>
      <c r="E188" s="44">
        <f t="shared" si="33"/>
        <v>0.15433673469387785</v>
      </c>
      <c r="F188">
        <f t="shared" si="34"/>
        <v>0.46301020408163351</v>
      </c>
    </row>
    <row r="189" spans="1:15" x14ac:dyDescent="0.45">
      <c r="A189">
        <v>4</v>
      </c>
      <c r="B189" t="s">
        <v>151</v>
      </c>
      <c r="C189">
        <f>COUNTIFS(AnalizaCzyste[Usługi edukacyjne ocenianej uczelni mają wysoką wartość (okazja / szansa rozwoju własnego lub kariery).3],B189,AnalizaCzyste[Czy jesteś absolwentem uczelni wyższej?],"*"&amp;"Tak"&amp;"*")</f>
        <v>5</v>
      </c>
      <c r="D189">
        <f t="shared" si="32"/>
        <v>20</v>
      </c>
      <c r="E189" s="44">
        <f t="shared" si="33"/>
        <v>1.9400510204081642</v>
      </c>
      <c r="F189">
        <f t="shared" si="34"/>
        <v>9.7002551020408205</v>
      </c>
    </row>
    <row r="190" spans="1:15" x14ac:dyDescent="0.45">
      <c r="A190">
        <v>3</v>
      </c>
      <c r="B190" t="s">
        <v>128</v>
      </c>
      <c r="C190">
        <f>COUNTIFS(AnalizaCzyste[Usługi edukacyjne ocenianej uczelni mają wysoką wartość (okazja / szansa rozwoju własnego lub kariery).3],B190,AnalizaCzyste[Czy jesteś absolwentem uczelni wyższej?],"*"&amp;"Tak"&amp;"*")</f>
        <v>1</v>
      </c>
      <c r="D190">
        <f t="shared" si="32"/>
        <v>3</v>
      </c>
      <c r="E190" s="44">
        <f t="shared" si="33"/>
        <v>5.7257653061224509</v>
      </c>
      <c r="F190">
        <f t="shared" si="34"/>
        <v>5.7257653061224509</v>
      </c>
    </row>
    <row r="191" spans="1:15" x14ac:dyDescent="0.45">
      <c r="A191">
        <v>2</v>
      </c>
      <c r="B191" t="s">
        <v>236</v>
      </c>
      <c r="C191">
        <f>COUNTIFS(AnalizaCzyste[Usługi edukacyjne ocenianej uczelni mają wysoką wartość (okazja / szansa rozwoju własnego lub kariery).3],B191,AnalizaCzyste[Czy jesteś absolwentem uczelni wyższej?],"*"&amp;"Tak"&amp;"*")</f>
        <v>1</v>
      </c>
      <c r="D191">
        <f t="shared" si="32"/>
        <v>2</v>
      </c>
      <c r="E191" s="44">
        <f t="shared" si="33"/>
        <v>11.511479591836737</v>
      </c>
      <c r="F191">
        <f t="shared" si="34"/>
        <v>11.511479591836737</v>
      </c>
    </row>
    <row r="192" spans="1:15" x14ac:dyDescent="0.45">
      <c r="A192">
        <v>1</v>
      </c>
      <c r="B192" t="s">
        <v>129</v>
      </c>
      <c r="C192">
        <f>COUNTIFS(AnalizaCzyste[Usługi edukacyjne ocenianej uczelni mają wysoką wartość (okazja / szansa rozwoju własnego lub kariery).3],B192,AnalizaCzyste[Czy jesteś absolwentem uczelni wyższej?],"*"&amp;"Tak"&amp;"*")</f>
        <v>1</v>
      </c>
      <c r="D192">
        <f t="shared" si="32"/>
        <v>1</v>
      </c>
      <c r="E192" s="44">
        <f t="shared" si="33"/>
        <v>19.297193877551024</v>
      </c>
      <c r="F192">
        <f t="shared" si="34"/>
        <v>19.297193877551024</v>
      </c>
    </row>
    <row r="193" spans="1:7" x14ac:dyDescent="0.45">
      <c r="A193" t="s">
        <v>2329</v>
      </c>
      <c r="B193" t="s">
        <v>132</v>
      </c>
      <c r="C193">
        <f>COUNTIFS(AnalizaCzyste[Usługi edukacyjne ocenianej uczelni mają wysoką wartość (okazja / szansa rozwoju własnego lub kariery).3],B193,AnalizaCzyste[Czy jesteś absolwentem uczelni wyższej?],"*"&amp;"Tak"&amp;"*")</f>
        <v>1</v>
      </c>
      <c r="D193">
        <f t="shared" si="32"/>
        <v>1</v>
      </c>
    </row>
    <row r="194" spans="1:7" x14ac:dyDescent="0.45">
      <c r="B194" s="20" t="s">
        <v>2351</v>
      </c>
      <c r="C194" s="29">
        <f>SUM(C186:C193)</f>
        <v>29</v>
      </c>
      <c r="D194" s="44">
        <f>SUM(D186:D192)/C195</f>
        <v>5.3928571428571432</v>
      </c>
      <c r="E194" s="20" t="s">
        <v>2353</v>
      </c>
      <c r="F194" s="44">
        <f>SUM(F186:F193)/(C195-1)</f>
        <v>2.6177248677248683</v>
      </c>
      <c r="G194" s="20" t="s">
        <v>2349</v>
      </c>
    </row>
    <row r="195" spans="1:7" x14ac:dyDescent="0.45">
      <c r="B195" s="20" t="s">
        <v>2352</v>
      </c>
      <c r="C195">
        <f>C194-C193</f>
        <v>28</v>
      </c>
      <c r="D195" s="33">
        <f>D194/7</f>
        <v>0.77040816326530615</v>
      </c>
      <c r="F195" s="44">
        <f>F194^(1/2)</f>
        <v>1.6179384622799682</v>
      </c>
      <c r="G195" t="s">
        <v>2404</v>
      </c>
    </row>
    <row r="196" spans="1:7" x14ac:dyDescent="0.45">
      <c r="B196" s="20"/>
      <c r="D196" s="33"/>
    </row>
    <row r="197" spans="1:7" x14ac:dyDescent="0.45">
      <c r="A197" s="29" t="s">
        <v>2365</v>
      </c>
      <c r="C197" t="s">
        <v>2348</v>
      </c>
      <c r="E197" s="20" t="s">
        <v>2362</v>
      </c>
      <c r="F197" s="20" t="s">
        <v>2363</v>
      </c>
    </row>
    <row r="198" spans="1:7" x14ac:dyDescent="0.45">
      <c r="A198">
        <v>7</v>
      </c>
      <c r="B198" t="s">
        <v>169</v>
      </c>
      <c r="C198">
        <f>COUNTIFS(AnalizaCzyste[Kształcenie na ocenianej uczelni ma/miało pozytywny wpływ na zwiększenie moich zarobków.],B198,AnalizaCzyste[Czy jesteś absolwentem uczelni wyższej?],"*"&amp;"Tak"&amp;"*")</f>
        <v>8</v>
      </c>
      <c r="D198">
        <f>PRODUCT(A198,C198)</f>
        <v>56</v>
      </c>
      <c r="E198" s="44">
        <f>(A198-$D$206)^2</f>
        <v>2.4693877551020402</v>
      </c>
      <c r="F198">
        <f>PRODUCT(C198,E198)</f>
        <v>19.755102040816322</v>
      </c>
    </row>
    <row r="199" spans="1:7" x14ac:dyDescent="0.45">
      <c r="A199">
        <v>6</v>
      </c>
      <c r="B199" t="s">
        <v>150</v>
      </c>
      <c r="C199">
        <f>COUNTIFS(AnalizaCzyste[Kształcenie na ocenianej uczelni ma/miało pozytywny wpływ na zwiększenie moich zarobków.],B199,AnalizaCzyste[Czy jesteś absolwentem uczelni wyższej?],"*"&amp;"Tak"&amp;"*")</f>
        <v>7</v>
      </c>
      <c r="D199">
        <f t="shared" ref="D199:D205" si="35">PRODUCT(A199,C199)</f>
        <v>42</v>
      </c>
      <c r="E199" s="44">
        <f t="shared" ref="E199:E204" si="36">(A199-$D$206)^2</f>
        <v>0.32653061224489766</v>
      </c>
      <c r="F199">
        <f t="shared" ref="F199:F204" si="37">PRODUCT(C199,E199)</f>
        <v>2.2857142857142838</v>
      </c>
    </row>
    <row r="200" spans="1:7" x14ac:dyDescent="0.45">
      <c r="A200">
        <v>5</v>
      </c>
      <c r="B200" t="s">
        <v>162</v>
      </c>
      <c r="C200">
        <f>COUNTIFS(AnalizaCzyste[Kształcenie na ocenianej uczelni ma/miało pozytywny wpływ na zwiększenie moich zarobków.],B200,AnalizaCzyste[Czy jesteś absolwentem uczelni wyższej?],"*"&amp;"Tak"&amp;"*")</f>
        <v>6</v>
      </c>
      <c r="D200">
        <f t="shared" si="35"/>
        <v>30</v>
      </c>
      <c r="E200" s="44">
        <f t="shared" si="36"/>
        <v>0.18367346938775531</v>
      </c>
      <c r="F200">
        <f t="shared" si="37"/>
        <v>1.1020408163265318</v>
      </c>
    </row>
    <row r="201" spans="1:7" x14ac:dyDescent="0.45">
      <c r="A201">
        <v>4</v>
      </c>
      <c r="B201" t="s">
        <v>151</v>
      </c>
      <c r="C201">
        <f>COUNTIFS(AnalizaCzyste[Kształcenie na ocenianej uczelni ma/miało pozytywny wpływ na zwiększenie moich zarobków.],B201,AnalizaCzyste[Czy jesteś absolwentem uczelni wyższej?],"*"&amp;"Tak"&amp;"*")</f>
        <v>4</v>
      </c>
      <c r="D201">
        <f t="shared" si="35"/>
        <v>16</v>
      </c>
      <c r="E201" s="44">
        <f t="shared" si="36"/>
        <v>2.0408163265306132</v>
      </c>
      <c r="F201">
        <f t="shared" si="37"/>
        <v>8.1632653061224527</v>
      </c>
    </row>
    <row r="202" spans="1:7" x14ac:dyDescent="0.45">
      <c r="A202">
        <v>3</v>
      </c>
      <c r="B202" t="s">
        <v>128</v>
      </c>
      <c r="C202">
        <f>COUNTIFS(AnalizaCzyste[Kształcenie na ocenianej uczelni ma/miało pozytywny wpływ na zwiększenie moich zarobków.],B202,AnalizaCzyste[Czy jesteś absolwentem uczelni wyższej?],"*"&amp;"Tak"&amp;"*")</f>
        <v>2</v>
      </c>
      <c r="D202">
        <f t="shared" si="35"/>
        <v>6</v>
      </c>
      <c r="E202" s="44">
        <f t="shared" si="36"/>
        <v>5.8979591836734704</v>
      </c>
      <c r="F202">
        <f t="shared" si="37"/>
        <v>11.795918367346941</v>
      </c>
    </row>
    <row r="203" spans="1:7" x14ac:dyDescent="0.45">
      <c r="A203">
        <v>2</v>
      </c>
      <c r="B203" t="s">
        <v>236</v>
      </c>
      <c r="C203">
        <f>COUNTIFS(AnalizaCzyste[Kształcenie na ocenianej uczelni ma/miało pozytywny wpływ na zwiększenie moich zarobków.],B203,AnalizaCzyste[Czy jesteś absolwentem uczelni wyższej?],"*"&amp;"Tak"&amp;"*")</f>
        <v>1</v>
      </c>
      <c r="D203">
        <f t="shared" si="35"/>
        <v>2</v>
      </c>
      <c r="E203" s="44">
        <f t="shared" si="36"/>
        <v>11.755102040816329</v>
      </c>
      <c r="F203">
        <f t="shared" si="37"/>
        <v>11.755102040816329</v>
      </c>
    </row>
    <row r="204" spans="1:7" x14ac:dyDescent="0.45">
      <c r="A204">
        <v>1</v>
      </c>
      <c r="B204" t="s">
        <v>129</v>
      </c>
      <c r="C204">
        <f>COUNTIFS(AnalizaCzyste[Kształcenie na ocenianej uczelni ma/miało pozytywny wpływ na zwiększenie moich zarobków.],B204,AnalizaCzyste[Czy jesteś absolwentem uczelni wyższej?],"*"&amp;"Tak"&amp;"*")</f>
        <v>0</v>
      </c>
      <c r="D204">
        <f t="shared" si="35"/>
        <v>0</v>
      </c>
      <c r="E204" s="44">
        <f t="shared" si="36"/>
        <v>19.612244897959187</v>
      </c>
      <c r="F204">
        <f t="shared" si="37"/>
        <v>0</v>
      </c>
    </row>
    <row r="205" spans="1:7" x14ac:dyDescent="0.45">
      <c r="A205" t="s">
        <v>2329</v>
      </c>
      <c r="B205" t="s">
        <v>132</v>
      </c>
      <c r="C205">
        <f>COUNTIFS(AnalizaCzyste[Kształcenie na ocenianej uczelni ma/miało pozytywny wpływ na zwiększenie moich zarobków.],B205,AnalizaCzyste[Czy jesteś absolwentem uczelni wyższej?],"*"&amp;"Tak"&amp;"*")</f>
        <v>1</v>
      </c>
      <c r="D205">
        <f t="shared" si="35"/>
        <v>1</v>
      </c>
    </row>
    <row r="206" spans="1:7" x14ac:dyDescent="0.45">
      <c r="B206" s="20" t="s">
        <v>2351</v>
      </c>
      <c r="C206" s="29">
        <f>SUM(C198:C205)</f>
        <v>29</v>
      </c>
      <c r="D206" s="44">
        <f>SUM(D198:D204)/C207</f>
        <v>5.4285714285714288</v>
      </c>
      <c r="E206" s="20" t="s">
        <v>2353</v>
      </c>
      <c r="F206" s="44">
        <f>SUM(F198:F205)/(C207-1)</f>
        <v>2.0317460317460321</v>
      </c>
      <c r="G206" s="20" t="s">
        <v>2349</v>
      </c>
    </row>
    <row r="207" spans="1:7" x14ac:dyDescent="0.45">
      <c r="B207" s="20" t="s">
        <v>2352</v>
      </c>
      <c r="C207">
        <f>C206-C205</f>
        <v>28</v>
      </c>
      <c r="D207" s="33">
        <f>D206/7</f>
        <v>0.77551020408163274</v>
      </c>
      <c r="F207" s="44">
        <f>F206^(1/2)</f>
        <v>1.4253932901995969</v>
      </c>
      <c r="G207" t="s">
        <v>2404</v>
      </c>
    </row>
    <row r="208" spans="1:7" x14ac:dyDescent="0.45">
      <c r="B208" s="20"/>
      <c r="D208" s="33"/>
    </row>
    <row r="209" spans="1:21" x14ac:dyDescent="0.45">
      <c r="A209" s="29" t="s">
        <v>2354</v>
      </c>
      <c r="C209" t="s">
        <v>2367</v>
      </c>
      <c r="D209" t="s">
        <v>2368</v>
      </c>
      <c r="E209" t="s">
        <v>2369</v>
      </c>
      <c r="F209" s="20" t="s">
        <v>2374</v>
      </c>
      <c r="G209" s="20" t="s">
        <v>2370</v>
      </c>
      <c r="H209" s="20" t="s">
        <v>2371</v>
      </c>
      <c r="I209" s="20" t="s">
        <v>2372</v>
      </c>
      <c r="J209" s="20" t="s">
        <v>2373</v>
      </c>
      <c r="K209" s="20" t="s">
        <v>2362</v>
      </c>
      <c r="L209" s="20" t="s">
        <v>2363</v>
      </c>
      <c r="M209" s="20" t="s">
        <v>2430</v>
      </c>
      <c r="N209" s="20" t="s">
        <v>2418</v>
      </c>
      <c r="O209" s="20" t="s">
        <v>2419</v>
      </c>
      <c r="P209" s="20" t="s">
        <v>2420</v>
      </c>
      <c r="Q209" s="20" t="s">
        <v>2421</v>
      </c>
      <c r="R209" s="20" t="s">
        <v>2422</v>
      </c>
      <c r="S209" s="20" t="s">
        <v>2423</v>
      </c>
      <c r="T209" s="20" t="s">
        <v>2424</v>
      </c>
    </row>
    <row r="210" spans="1:21" x14ac:dyDescent="0.45">
      <c r="A210">
        <v>7</v>
      </c>
      <c r="B210" t="s">
        <v>169</v>
      </c>
      <c r="C210">
        <f>COUNTIFS(AnalizaCzyste[Moja satysfakcja z (efektów) usług edukacyjnych ocenianej uczelni jest wysoka.8],B210,AnalizaCzyste[Czy jesteś rodzicem / opiekunem absolwenta uczelni wyższej?],"*"&amp;"Tak"&amp;"*")</f>
        <v>5</v>
      </c>
      <c r="D210">
        <f>COUNTIFS(AnalizaCzyste[Moja satysfakcja z (efektów) usług edukacyjnych ocenianej uczelni jest wysoka.15],B210,AnalizaCzyste[Czy jesteś rodzicem / opiekunem absolwenta uczelni wyższej?],"*"&amp;"Tak"&amp;"*")</f>
        <v>1</v>
      </c>
      <c r="E210">
        <f>COUNTIFS(AnalizaCzyste[Moja satysfakcja z (efektów) usług edukacyjnych ocenianej uczelni jest wysoka.29],B210,AnalizaCzyste[Czy jesteś rodzicem / opiekunem absolwenta uczelni wyższej?],"*"&amp;"Tak"&amp;"*")</f>
        <v>1</v>
      </c>
      <c r="F210">
        <f>SUM(C210:E210)</f>
        <v>7</v>
      </c>
      <c r="G210">
        <f>PRODUCT($A210,C210)</f>
        <v>35</v>
      </c>
      <c r="H210">
        <f>PRODUCT($A210,D210)</f>
        <v>7</v>
      </c>
      <c r="I210">
        <f>PRODUCT($A210,E210)</f>
        <v>7</v>
      </c>
      <c r="J210">
        <f>SUM(G210:I210)</f>
        <v>49</v>
      </c>
      <c r="K210" s="44">
        <f>(A210-$J$218)^2</f>
        <v>1.1141975308641971</v>
      </c>
      <c r="L210">
        <f>PRODUCT(F210,K210)</f>
        <v>7.7993827160493803</v>
      </c>
      <c r="M210" s="44">
        <f>VLOOKUP(A210,TabeleGrup!$C$45:$D$51,2,0)</f>
        <v>6.9999999999999991</v>
      </c>
      <c r="N210">
        <f>(M210-$J$218)/$L$219</f>
        <v>0.95097945382815674</v>
      </c>
      <c r="O210">
        <f>NORMDIST(N210,0,1,1)</f>
        <v>0.8291925970330436</v>
      </c>
      <c r="P210">
        <f>O210-O211</f>
        <v>0.25825742685127229</v>
      </c>
      <c r="Q210">
        <f>$C$219*P210</f>
        <v>2.8408316953639954</v>
      </c>
      <c r="R210">
        <f>C210-Q210</f>
        <v>2.1591683046360046</v>
      </c>
      <c r="S210">
        <f>R210^2</f>
        <v>4.6620077677447185</v>
      </c>
      <c r="T210">
        <f>S210/Q210</f>
        <v>1.6410714423359656</v>
      </c>
    </row>
    <row r="211" spans="1:21" x14ac:dyDescent="0.45">
      <c r="A211">
        <v>6</v>
      </c>
      <c r="B211" t="s">
        <v>150</v>
      </c>
      <c r="C211">
        <f>COUNTIFS(AnalizaCzyste[Moja satysfakcja z (efektów) usług edukacyjnych ocenianej uczelni jest wysoka.8],B211,AnalizaCzyste[Czy jesteś rodzicem / opiekunem absolwenta uczelni wyższej?],"*"&amp;"Tak"&amp;"*")</f>
        <v>4</v>
      </c>
      <c r="D211">
        <f>COUNTIFS(AnalizaCzyste[Moja satysfakcja z (efektów) usług edukacyjnych ocenianej uczelni jest wysoka.15],B211,AnalizaCzyste[Czy jesteś rodzicem / opiekunem absolwenta uczelni wyższej?],"*"&amp;"Tak"&amp;"*")</f>
        <v>2</v>
      </c>
      <c r="E211">
        <f>COUNTIFS(AnalizaCzyste[Moja satysfakcja z (efektów) usług edukacyjnych ocenianej uczelni jest wysoka.29],B211,AnalizaCzyste[Czy jesteś rodzicem / opiekunem absolwenta uczelni wyższej?],"*"&amp;"Tak"&amp;"*")</f>
        <v>0</v>
      </c>
      <c r="F211">
        <f t="shared" ref="F211:F219" si="38">SUM(C211:E211)</f>
        <v>6</v>
      </c>
      <c r="G211">
        <f t="shared" ref="G211:G217" si="39">PRODUCT($A211,C211)</f>
        <v>24</v>
      </c>
      <c r="H211">
        <f t="shared" ref="H211:H217" si="40">PRODUCT($A211,D211)</f>
        <v>12</v>
      </c>
      <c r="I211">
        <f t="shared" ref="I211:I217" si="41">PRODUCT($A211,E211)</f>
        <v>0</v>
      </c>
      <c r="J211">
        <f t="shared" ref="J211:J217" si="42">SUM(G211:I211)</f>
        <v>36</v>
      </c>
      <c r="K211" s="44">
        <f t="shared" ref="K211:K216" si="43">(A211-$J$218)^2</f>
        <v>3.0864197530863979E-3</v>
      </c>
      <c r="L211">
        <f t="shared" ref="L211:L216" si="44">PRODUCT(F211,K211)</f>
        <v>1.8518518518518386E-2</v>
      </c>
      <c r="M211" s="44">
        <f>VLOOKUP(A211,TabeleGrup!$C$45:$D$51,2,0)</f>
        <v>6.1428571428571423</v>
      </c>
      <c r="N211">
        <f t="shared" ref="N211:N216" si="45">(M211-$J$218)/$L$219</f>
        <v>0.17875553643386358</v>
      </c>
      <c r="O211">
        <f t="shared" ref="O211:O216" si="46">NORMDIST(N211,0,1,1)</f>
        <v>0.57093517018177131</v>
      </c>
      <c r="P211">
        <f t="shared" ref="P211:P216" si="47">O211-O212</f>
        <v>0.29450130140226677</v>
      </c>
      <c r="Q211">
        <f t="shared" ref="Q211:Q216" si="48">$C$219*P211</f>
        <v>3.2395143154249344</v>
      </c>
      <c r="R211">
        <f t="shared" ref="R211:R216" si="49">C211-Q211</f>
        <v>0.7604856845750656</v>
      </c>
      <c r="S211">
        <f t="shared" ref="S211:S216" si="50">R211^2</f>
        <v>0.57833847644360614</v>
      </c>
      <c r="T211">
        <f t="shared" ref="T211:T216" si="51">S211/Q211</f>
        <v>0.17852629133010767</v>
      </c>
    </row>
    <row r="212" spans="1:21" x14ac:dyDescent="0.45">
      <c r="A212">
        <v>5</v>
      </c>
      <c r="B212" t="s">
        <v>162</v>
      </c>
      <c r="C212">
        <f>COUNTIFS(AnalizaCzyste[Moja satysfakcja z (efektów) usług edukacyjnych ocenianej uczelni jest wysoka.8],B212,AnalizaCzyste[Czy jesteś rodzicem / opiekunem absolwenta uczelni wyższej?],"*"&amp;"Tak"&amp;"*")</f>
        <v>1</v>
      </c>
      <c r="D212">
        <f>COUNTIFS(AnalizaCzyste[Moja satysfakcja z (efektów) usług edukacyjnych ocenianej uczelni jest wysoka.15],B212,AnalizaCzyste[Czy jesteś rodzicem / opiekunem absolwenta uczelni wyższej?],"*"&amp;"Tak"&amp;"*")</f>
        <v>1</v>
      </c>
      <c r="E212">
        <f>COUNTIFS(AnalizaCzyste[Moja satysfakcja z (efektów) usług edukacyjnych ocenianej uczelni jest wysoka.29],B212,AnalizaCzyste[Czy jesteś rodzicem / opiekunem absolwenta uczelni wyższej?],"*"&amp;"Tak"&amp;"*")</f>
        <v>0</v>
      </c>
      <c r="F212">
        <f t="shared" si="38"/>
        <v>2</v>
      </c>
      <c r="G212">
        <f t="shared" si="39"/>
        <v>5</v>
      </c>
      <c r="H212">
        <f t="shared" si="40"/>
        <v>5</v>
      </c>
      <c r="I212">
        <f t="shared" si="41"/>
        <v>0</v>
      </c>
      <c r="J212">
        <f t="shared" si="42"/>
        <v>10</v>
      </c>
      <c r="K212" s="44">
        <f t="shared" si="43"/>
        <v>0.89197530864197572</v>
      </c>
      <c r="L212">
        <f t="shared" si="44"/>
        <v>1.7839506172839514</v>
      </c>
      <c r="M212" s="44">
        <f>VLOOKUP(A212,TabeleGrup!$C$45:$D$51,2,0)</f>
        <v>5.2857142857142856</v>
      </c>
      <c r="N212">
        <f t="shared" si="45"/>
        <v>-0.59346838096042953</v>
      </c>
      <c r="O212">
        <f t="shared" si="46"/>
        <v>0.27643386877950454</v>
      </c>
      <c r="P212">
        <f t="shared" si="47"/>
        <v>0.19041608743769695</v>
      </c>
      <c r="Q212">
        <f t="shared" si="48"/>
        <v>2.0945769618146666</v>
      </c>
      <c r="R212">
        <f t="shared" si="49"/>
        <v>-1.0945769618146666</v>
      </c>
      <c r="S212">
        <f t="shared" si="50"/>
        <v>1.1980987253354261</v>
      </c>
      <c r="T212">
        <f t="shared" si="51"/>
        <v>0.5720003357133443</v>
      </c>
    </row>
    <row r="213" spans="1:21" x14ac:dyDescent="0.45">
      <c r="A213">
        <v>4</v>
      </c>
      <c r="B213" t="s">
        <v>151</v>
      </c>
      <c r="C213">
        <f>COUNTIFS(AnalizaCzyste[Moja satysfakcja z (efektów) usług edukacyjnych ocenianej uczelni jest wysoka.8],B213,AnalizaCzyste[Czy jesteś rodzicem / opiekunem absolwenta uczelni wyższej?],"*"&amp;"Tak"&amp;"*")</f>
        <v>1</v>
      </c>
      <c r="D213">
        <f>COUNTIFS(AnalizaCzyste[Moja satysfakcja z (efektów) usług edukacyjnych ocenianej uczelni jest wysoka.15],B213,AnalizaCzyste[Czy jesteś rodzicem / opiekunem absolwenta uczelni wyższej?],"*"&amp;"Tak"&amp;"*")</f>
        <v>1</v>
      </c>
      <c r="E213">
        <f>COUNTIFS(AnalizaCzyste[Moja satysfakcja z (efektów) usług edukacyjnych ocenianej uczelni jest wysoka.29],B213,AnalizaCzyste[Czy jesteś rodzicem / opiekunem absolwenta uczelni wyższej?],"*"&amp;"Tak"&amp;"*")</f>
        <v>1</v>
      </c>
      <c r="F213">
        <f t="shared" si="38"/>
        <v>3</v>
      </c>
      <c r="G213">
        <f t="shared" si="39"/>
        <v>4</v>
      </c>
      <c r="H213">
        <f t="shared" si="40"/>
        <v>4</v>
      </c>
      <c r="I213">
        <f t="shared" si="41"/>
        <v>4</v>
      </c>
      <c r="J213">
        <f t="shared" si="42"/>
        <v>12</v>
      </c>
      <c r="K213" s="44">
        <f t="shared" si="43"/>
        <v>3.7808641975308648</v>
      </c>
      <c r="L213">
        <f t="shared" si="44"/>
        <v>11.342592592592595</v>
      </c>
      <c r="M213" s="44">
        <f>VLOOKUP(A213,TabeleGrup!$C$45:$D$51,2,0)</f>
        <v>4.4285714285714288</v>
      </c>
      <c r="N213">
        <f t="shared" si="45"/>
        <v>-1.3656922983547226</v>
      </c>
      <c r="O213">
        <f t="shared" si="46"/>
        <v>8.6017781341807598E-2</v>
      </c>
      <c r="P213">
        <f t="shared" si="47"/>
        <v>6.9756009389074003E-2</v>
      </c>
      <c r="Q213">
        <f t="shared" si="48"/>
        <v>0.76731610327981403</v>
      </c>
      <c r="R213">
        <f t="shared" si="49"/>
        <v>0.23268389672018597</v>
      </c>
      <c r="S213">
        <f t="shared" si="50"/>
        <v>5.414179579289017E-2</v>
      </c>
      <c r="T213">
        <f t="shared" si="51"/>
        <v>7.0559962916803928E-2</v>
      </c>
    </row>
    <row r="214" spans="1:21" x14ac:dyDescent="0.45">
      <c r="A214">
        <v>3</v>
      </c>
      <c r="B214" t="s">
        <v>128</v>
      </c>
      <c r="C214">
        <f>COUNTIFS(AnalizaCzyste[Moja satysfakcja z (efektów) usług edukacyjnych ocenianej uczelni jest wysoka.8],B214,AnalizaCzyste[Czy jesteś rodzicem / opiekunem absolwenta uczelni wyższej?],"*"&amp;"Tak"&amp;"*")</f>
        <v>0</v>
      </c>
      <c r="D214">
        <f>COUNTIFS(AnalizaCzyste[Moja satysfakcja z (efektów) usług edukacyjnych ocenianej uczelni jest wysoka.15],B214,AnalizaCzyste[Czy jesteś rodzicem / opiekunem absolwenta uczelni wyższej?],"*"&amp;"Tak"&amp;"*")</f>
        <v>0</v>
      </c>
      <c r="E214">
        <f>COUNTIFS(AnalizaCzyste[Moja satysfakcja z (efektów) usług edukacyjnych ocenianej uczelni jest wysoka.29],B214,AnalizaCzyste[Czy jesteś rodzicem / opiekunem absolwenta uczelni wyższej?],"*"&amp;"Tak"&amp;"*")</f>
        <v>0</v>
      </c>
      <c r="F214">
        <f t="shared" si="38"/>
        <v>0</v>
      </c>
      <c r="G214">
        <f t="shared" si="39"/>
        <v>0</v>
      </c>
      <c r="H214">
        <f t="shared" si="40"/>
        <v>0</v>
      </c>
      <c r="I214">
        <f t="shared" si="41"/>
        <v>0</v>
      </c>
      <c r="J214">
        <f t="shared" si="42"/>
        <v>0</v>
      </c>
      <c r="K214" s="44">
        <f t="shared" si="43"/>
        <v>8.669753086419755</v>
      </c>
      <c r="L214">
        <f t="shared" si="44"/>
        <v>0</v>
      </c>
      <c r="M214" s="44">
        <f>VLOOKUP(A214,TabeleGrup!$C$45:$D$51,2,0)</f>
        <v>3.5714285714285716</v>
      </c>
      <c r="N214">
        <f t="shared" si="45"/>
        <v>-2.1379162157490161</v>
      </c>
      <c r="O214">
        <f t="shared" si="46"/>
        <v>1.6261771952733588E-2</v>
      </c>
      <c r="P214">
        <f t="shared" si="47"/>
        <v>1.4455438270431059E-2</v>
      </c>
      <c r="Q214">
        <f t="shared" si="48"/>
        <v>0.15900982097474164</v>
      </c>
      <c r="R214">
        <f t="shared" si="49"/>
        <v>-0.15900982097474164</v>
      </c>
      <c r="S214">
        <f t="shared" si="50"/>
        <v>2.5284123166419387E-2</v>
      </c>
      <c r="T214">
        <f t="shared" si="51"/>
        <v>0.15900982097474164</v>
      </c>
    </row>
    <row r="215" spans="1:21" x14ac:dyDescent="0.45">
      <c r="A215">
        <v>2</v>
      </c>
      <c r="B215" t="s">
        <v>236</v>
      </c>
      <c r="C215">
        <f>COUNTIFS(AnalizaCzyste[Moja satysfakcja z (efektów) usług edukacyjnych ocenianej uczelni jest wysoka.8],B215,AnalizaCzyste[Czy jesteś rodzicem / opiekunem absolwenta uczelni wyższej?],"*"&amp;"Tak"&amp;"*")</f>
        <v>0</v>
      </c>
      <c r="D215">
        <f>COUNTIFS(AnalizaCzyste[Moja satysfakcja z (efektów) usług edukacyjnych ocenianej uczelni jest wysoka.15],B215,AnalizaCzyste[Czy jesteś rodzicem / opiekunem absolwenta uczelni wyższej?],"*"&amp;"Tak"&amp;"*")</f>
        <v>0</v>
      </c>
      <c r="E215">
        <f>COUNTIFS(AnalizaCzyste[Moja satysfakcja z (efektów) usług edukacyjnych ocenianej uczelni jest wysoka.29],B215,AnalizaCzyste[Czy jesteś rodzicem / opiekunem absolwenta uczelni wyższej?],"*"&amp;"Tak"&amp;"*")</f>
        <v>0</v>
      </c>
      <c r="F215">
        <f t="shared" si="38"/>
        <v>0</v>
      </c>
      <c r="G215">
        <f t="shared" si="39"/>
        <v>0</v>
      </c>
      <c r="H215">
        <f t="shared" si="40"/>
        <v>0</v>
      </c>
      <c r="I215">
        <f t="shared" si="41"/>
        <v>0</v>
      </c>
      <c r="J215">
        <f t="shared" si="42"/>
        <v>0</v>
      </c>
      <c r="K215" s="44">
        <f t="shared" si="43"/>
        <v>15.558641975308644</v>
      </c>
      <c r="L215">
        <f t="shared" si="44"/>
        <v>0</v>
      </c>
      <c r="M215" s="44">
        <f>VLOOKUP(A215,TabeleGrup!$C$45:$D$51,2,0)</f>
        <v>2.7142857142857144</v>
      </c>
      <c r="N215">
        <f t="shared" si="45"/>
        <v>-2.9101401331433094</v>
      </c>
      <c r="O215">
        <f t="shared" si="46"/>
        <v>1.8063336823025287E-3</v>
      </c>
      <c r="P215">
        <f t="shared" si="47"/>
        <v>1.6907931307337106E-3</v>
      </c>
      <c r="Q215">
        <f t="shared" si="48"/>
        <v>1.8598724438070816E-2</v>
      </c>
      <c r="R215">
        <f t="shared" si="49"/>
        <v>-1.8598724438070816E-2</v>
      </c>
      <c r="S215">
        <f t="shared" si="50"/>
        <v>3.4591255072329258E-4</v>
      </c>
      <c r="T215">
        <f t="shared" si="51"/>
        <v>1.8598724438070816E-2</v>
      </c>
    </row>
    <row r="216" spans="1:21" x14ac:dyDescent="0.45">
      <c r="A216">
        <v>1</v>
      </c>
      <c r="B216" t="s">
        <v>129</v>
      </c>
      <c r="C216">
        <f>COUNTIFS(AnalizaCzyste[Moja satysfakcja z (efektów) usług edukacyjnych ocenianej uczelni jest wysoka.8],B216,AnalizaCzyste[Czy jesteś rodzicem / opiekunem absolwenta uczelni wyższej?],"*"&amp;"Tak"&amp;"*")</f>
        <v>0</v>
      </c>
      <c r="D216">
        <f>COUNTIFS(AnalizaCzyste[Moja satysfakcja z (efektów) usług edukacyjnych ocenianej uczelni jest wysoka.15],B216,AnalizaCzyste[Czy jesteś rodzicem / opiekunem absolwenta uczelni wyższej?],"*"&amp;"Tak"&amp;"*")</f>
        <v>0</v>
      </c>
      <c r="E216">
        <f>COUNTIFS(AnalizaCzyste[Moja satysfakcja z (efektów) usług edukacyjnych ocenianej uczelni jest wysoka.29],B216,AnalizaCzyste[Czy jesteś rodzicem / opiekunem absolwenta uczelni wyższej?],"*"&amp;"Tak"&amp;"*")</f>
        <v>0</v>
      </c>
      <c r="F216">
        <f t="shared" si="38"/>
        <v>0</v>
      </c>
      <c r="G216">
        <f t="shared" si="39"/>
        <v>0</v>
      </c>
      <c r="H216">
        <f t="shared" si="40"/>
        <v>0</v>
      </c>
      <c r="I216">
        <f t="shared" si="41"/>
        <v>0</v>
      </c>
      <c r="J216">
        <f t="shared" si="42"/>
        <v>0</v>
      </c>
      <c r="K216" s="44">
        <f t="shared" si="43"/>
        <v>24.447530864197532</v>
      </c>
      <c r="L216">
        <f t="shared" si="44"/>
        <v>0</v>
      </c>
      <c r="M216" s="44">
        <f>VLOOKUP(A216,TabeleGrup!$C$45:$D$51,2,0)</f>
        <v>1.8571428571428572</v>
      </c>
      <c r="N216">
        <f t="shared" si="45"/>
        <v>-3.6823640505376027</v>
      </c>
      <c r="O216">
        <f t="shared" si="46"/>
        <v>1.1554055156881805E-4</v>
      </c>
      <c r="P216">
        <f t="shared" si="47"/>
        <v>1.1554055156881805E-4</v>
      </c>
      <c r="Q216">
        <f t="shared" si="48"/>
        <v>1.2709460672569986E-3</v>
      </c>
      <c r="R216">
        <f t="shared" si="49"/>
        <v>-1.2709460672569986E-3</v>
      </c>
      <c r="S216">
        <f t="shared" si="50"/>
        <v>1.6153039058760312E-6</v>
      </c>
      <c r="T216">
        <f t="shared" si="51"/>
        <v>1.2709460672569986E-3</v>
      </c>
      <c r="U216" s="20" t="s">
        <v>2425</v>
      </c>
    </row>
    <row r="217" spans="1:21" x14ac:dyDescent="0.45">
      <c r="A217" t="s">
        <v>2329</v>
      </c>
      <c r="B217" t="s">
        <v>132</v>
      </c>
      <c r="C217">
        <f>COUNTIFS(AnalizaCzyste[Moja satysfakcja z (efektów) usług edukacyjnych ocenianej uczelni jest wysoka.8],B217,AnalizaCzyste[Czy jesteś rodzicem / opiekunem absolwenta uczelni wyższej?],"*"&amp;"Tak"&amp;"*")</f>
        <v>1</v>
      </c>
      <c r="D217">
        <f>COUNTIFS(AnalizaCzyste[Moja satysfakcja z (efektów) usług edukacyjnych ocenianej uczelni jest wysoka.15],B217,AnalizaCzyste[Czy jesteś rodzicem / opiekunem absolwenta uczelni wyższej?],"*"&amp;"Tak"&amp;"*")</f>
        <v>0</v>
      </c>
      <c r="E217">
        <f>COUNTIFS(AnalizaCzyste[Moja satysfakcja z (efektów) usług edukacyjnych ocenianej uczelni jest wysoka.29],B217,AnalizaCzyste[Czy jesteś rodzicem / opiekunem absolwenta uczelni wyższej?],"*"&amp;"Tak"&amp;"*")</f>
        <v>0</v>
      </c>
      <c r="F217">
        <f t="shared" si="38"/>
        <v>1</v>
      </c>
      <c r="G217">
        <f t="shared" si="39"/>
        <v>1</v>
      </c>
      <c r="H217">
        <f t="shared" si="40"/>
        <v>0</v>
      </c>
      <c r="I217">
        <f t="shared" si="41"/>
        <v>0</v>
      </c>
      <c r="J217">
        <f t="shared" si="42"/>
        <v>1</v>
      </c>
      <c r="P217" s="47">
        <f>SUM(P210:P216)</f>
        <v>0.82919259703304371</v>
      </c>
      <c r="Q217" s="47">
        <f>SUM(Q210:Q216)</f>
        <v>9.1211185673634798</v>
      </c>
      <c r="S217" s="20" t="s">
        <v>2426</v>
      </c>
      <c r="T217" s="48">
        <f>SUM(T210:T216)</f>
        <v>2.6410375237762906</v>
      </c>
      <c r="U217">
        <f>CHIINV(O220,7-3)</f>
        <v>9.4877290367811575</v>
      </c>
    </row>
    <row r="218" spans="1:21" x14ac:dyDescent="0.45">
      <c r="B218" s="20" t="s">
        <v>2351</v>
      </c>
      <c r="C218" s="29">
        <f>SUM(C210:C217)</f>
        <v>12</v>
      </c>
      <c r="D218" s="29">
        <f>SUM(D210:D217)</f>
        <v>5</v>
      </c>
      <c r="E218" s="29">
        <f>SUM(E210:E217)</f>
        <v>2</v>
      </c>
      <c r="F218" s="29">
        <f t="shared" si="38"/>
        <v>19</v>
      </c>
      <c r="G218" s="44">
        <f>SUM(G210:G217)/$C219</f>
        <v>6.2727272727272725</v>
      </c>
      <c r="H218" s="44">
        <f>SUM(H210:H217)/$C219</f>
        <v>2.5454545454545454</v>
      </c>
      <c r="I218" s="44">
        <f>SUM(I210:I217)/$C219</f>
        <v>1</v>
      </c>
      <c r="J218" s="44">
        <f>SUM(J210:J216)/$F219</f>
        <v>5.9444444444444446</v>
      </c>
      <c r="K218" s="20" t="s">
        <v>2353</v>
      </c>
      <c r="L218" s="44">
        <f>SUM(L210:L217)/(F219-1)</f>
        <v>1.2320261437908495</v>
      </c>
      <c r="M218" s="20" t="s">
        <v>2349</v>
      </c>
      <c r="T218" s="20" t="s">
        <v>2427</v>
      </c>
    </row>
    <row r="219" spans="1:21" x14ac:dyDescent="0.45">
      <c r="B219" s="20" t="s">
        <v>2352</v>
      </c>
      <c r="C219">
        <f>C218-C217</f>
        <v>11</v>
      </c>
      <c r="D219">
        <f>D218-D217</f>
        <v>5</v>
      </c>
      <c r="E219">
        <f>E218-E217</f>
        <v>2</v>
      </c>
      <c r="F219">
        <f t="shared" si="38"/>
        <v>18</v>
      </c>
      <c r="G219" s="33">
        <f>G218/7</f>
        <v>0.89610389610389607</v>
      </c>
      <c r="H219" s="33"/>
      <c r="I219" s="33"/>
      <c r="J219" s="51" t="str">
        <f>VLOOKUP(J218,InterpretacjaŚredniej[],2,1)</f>
        <v>zgadzam się</v>
      </c>
      <c r="L219" s="44">
        <f>L218^(1/2)</f>
        <v>1.1099667309387473</v>
      </c>
      <c r="M219" t="s">
        <v>2404</v>
      </c>
    </row>
    <row r="220" spans="1:21" x14ac:dyDescent="0.45">
      <c r="B220" s="20"/>
      <c r="G220" s="33"/>
      <c r="H220" s="33"/>
      <c r="I220" s="33"/>
      <c r="J220" s="33"/>
      <c r="K220">
        <f>J218-(Q220*L219/SQRT(C219))</f>
        <v>5.1987586482070594</v>
      </c>
      <c r="L220" s="45" t="str">
        <f>"&lt; m &lt;"</f>
        <v>&lt; m &lt;</v>
      </c>
      <c r="M220">
        <f>J218+(Q220*L219/SQRT(C219))</f>
        <v>6.6901302406818299</v>
      </c>
      <c r="N220" t="s">
        <v>2407</v>
      </c>
      <c r="O220">
        <v>0.05</v>
      </c>
      <c r="P220" s="20" t="s">
        <v>2417</v>
      </c>
      <c r="Q220">
        <f>VLOOKUP($C$219-1,Tabl_tStudenta[],5,0)</f>
        <v>2.2281388519862744</v>
      </c>
    </row>
    <row r="221" spans="1:21" x14ac:dyDescent="0.45">
      <c r="B221" s="20"/>
      <c r="D221" s="33"/>
      <c r="F221" s="44"/>
      <c r="M221" s="42">
        <f>M220-K220</f>
        <v>1.4913715924747706</v>
      </c>
    </row>
    <row r="222" spans="1:21" x14ac:dyDescent="0.45">
      <c r="A222" s="29" t="s">
        <v>2366</v>
      </c>
      <c r="C222" t="s">
        <v>2367</v>
      </c>
      <c r="D222" t="s">
        <v>2368</v>
      </c>
      <c r="E222" t="s">
        <v>2369</v>
      </c>
      <c r="F222" s="20" t="s">
        <v>2374</v>
      </c>
      <c r="G222" s="20" t="s">
        <v>2370</v>
      </c>
      <c r="H222" s="20" t="s">
        <v>2371</v>
      </c>
      <c r="I222" s="20" t="s">
        <v>2372</v>
      </c>
      <c r="J222" s="20" t="s">
        <v>2373</v>
      </c>
      <c r="K222" s="20" t="s">
        <v>2362</v>
      </c>
      <c r="L222" s="20" t="s">
        <v>2363</v>
      </c>
    </row>
    <row r="223" spans="1:21" x14ac:dyDescent="0.45">
      <c r="A223">
        <v>7</v>
      </c>
      <c r="B223" t="s">
        <v>169</v>
      </c>
      <c r="C223">
        <f>COUNTIFS(AnalizaCzyste[Usługi edukacyjne ocenianej uczelni mają wysoką wartość (okazja / szansa rozwoju własnego lub kariery).9],B223,AnalizaCzyste[Czy jesteś rodzicem / opiekunem absolwenta uczelni wyższej?],"*"&amp;"Tak"&amp;"*")</f>
        <v>5</v>
      </c>
      <c r="D223">
        <f>COUNTIFS(AnalizaCzyste[Usługi edukacyjne ocenianej uczelni mają wysoką wartość (okazja / szansa rozwoju własnego lub kariery).16],B223,AnalizaCzyste[Czy jesteś rodzicem / opiekunem absolwenta uczelni wyższej?],"*"&amp;"Tak"&amp;"*")</f>
        <v>2</v>
      </c>
      <c r="E223">
        <f>COUNTIFS(AnalizaCzyste[Usługi edukacyjne ocenianej uczelni mają wysoką wartość (okazja / szansa rozwoju własnego lub kariery).30],B223,AnalizaCzyste[Czy jesteś rodzicem / opiekunem absolwenta uczelni wyższej?],"*"&amp;"Tak"&amp;"*")</f>
        <v>1</v>
      </c>
      <c r="F223">
        <f>SUM(C223:E223)</f>
        <v>8</v>
      </c>
      <c r="G223">
        <f>PRODUCT($A223,C223)</f>
        <v>35</v>
      </c>
      <c r="H223">
        <f t="shared" ref="H223:H230" si="52">PRODUCT($A223,D223)</f>
        <v>14</v>
      </c>
      <c r="I223">
        <f t="shared" ref="I223:I230" si="53">PRODUCT($A223,E223)</f>
        <v>7</v>
      </c>
      <c r="J223">
        <f>SUM(G223:I223)</f>
        <v>56</v>
      </c>
      <c r="K223" s="44">
        <f>(A223-$J$231)^2</f>
        <v>0.89197530864197572</v>
      </c>
      <c r="L223">
        <f>PRODUCT(F223,K223)</f>
        <v>7.1358024691358057</v>
      </c>
    </row>
    <row r="224" spans="1:21" x14ac:dyDescent="0.45">
      <c r="A224">
        <v>6</v>
      </c>
      <c r="B224" t="s">
        <v>150</v>
      </c>
      <c r="C224">
        <f>COUNTIFS(AnalizaCzyste[Usługi edukacyjne ocenianej uczelni mają wysoką wartość (okazja / szansa rozwoju własnego lub kariery).9],B224,AnalizaCzyste[Czy jesteś rodzicem / opiekunem absolwenta uczelni wyższej?],"*"&amp;"Tak"&amp;"*")</f>
        <v>4</v>
      </c>
      <c r="D224">
        <f>COUNTIFS(AnalizaCzyste[Usługi edukacyjne ocenianej uczelni mają wysoką wartość (okazja / szansa rozwoju własnego lub kariery).16],B224,AnalizaCzyste[Czy jesteś rodzicem / opiekunem absolwenta uczelni wyższej?],"*"&amp;"Tak"&amp;"*")</f>
        <v>2</v>
      </c>
      <c r="E224">
        <f>COUNTIFS(AnalizaCzyste[Usługi edukacyjne ocenianej uczelni mają wysoką wartość (okazja / szansa rozwoju własnego lub kariery).30],B224,AnalizaCzyste[Czy jesteś rodzicem / opiekunem absolwenta uczelni wyższej?],"*"&amp;"Tak"&amp;"*")</f>
        <v>0</v>
      </c>
      <c r="F224">
        <f t="shared" ref="F224:F232" si="54">SUM(C224:E224)</f>
        <v>6</v>
      </c>
      <c r="G224">
        <f t="shared" ref="G224:G230" si="55">PRODUCT($A224,C224)</f>
        <v>24</v>
      </c>
      <c r="H224">
        <f t="shared" si="52"/>
        <v>12</v>
      </c>
      <c r="I224">
        <f t="shared" si="53"/>
        <v>0</v>
      </c>
      <c r="J224">
        <f t="shared" ref="J224:J230" si="56">SUM(G224:I224)</f>
        <v>36</v>
      </c>
      <c r="K224" s="44">
        <f t="shared" ref="K224:K229" si="57">(A224-$J$231)^2</f>
        <v>3.0864197530863979E-3</v>
      </c>
      <c r="L224">
        <f t="shared" ref="L224:L229" si="58">PRODUCT(F224,K224)</f>
        <v>1.8518518518518386E-2</v>
      </c>
    </row>
    <row r="225" spans="1:13" x14ac:dyDescent="0.45">
      <c r="A225">
        <v>5</v>
      </c>
      <c r="B225" t="s">
        <v>162</v>
      </c>
      <c r="C225">
        <f>COUNTIFS(AnalizaCzyste[Usługi edukacyjne ocenianej uczelni mają wysoką wartość (okazja / szansa rozwoju własnego lub kariery).9],B225,AnalizaCzyste[Czy jesteś rodzicem / opiekunem absolwenta uczelni wyższej?],"*"&amp;"Tak"&amp;"*")</f>
        <v>1</v>
      </c>
      <c r="D225">
        <f>COUNTIFS(AnalizaCzyste[Usługi edukacyjne ocenianej uczelni mają wysoką wartość (okazja / szansa rozwoju własnego lub kariery).16],B225,AnalizaCzyste[Czy jesteś rodzicem / opiekunem absolwenta uczelni wyższej?],"*"&amp;"Tak"&amp;"*")</f>
        <v>0</v>
      </c>
      <c r="E225">
        <f>COUNTIFS(AnalizaCzyste[Usługi edukacyjne ocenianej uczelni mają wysoką wartość (okazja / szansa rozwoju własnego lub kariery).30],B225,AnalizaCzyste[Czy jesteś rodzicem / opiekunem absolwenta uczelni wyższej?],"*"&amp;"Tak"&amp;"*")</f>
        <v>1</v>
      </c>
      <c r="F225">
        <f t="shared" si="54"/>
        <v>2</v>
      </c>
      <c r="G225">
        <f t="shared" si="55"/>
        <v>5</v>
      </c>
      <c r="H225">
        <f t="shared" si="52"/>
        <v>0</v>
      </c>
      <c r="I225">
        <f t="shared" si="53"/>
        <v>5</v>
      </c>
      <c r="J225">
        <f t="shared" si="56"/>
        <v>10</v>
      </c>
      <c r="K225" s="44">
        <f t="shared" si="57"/>
        <v>1.1141975308641971</v>
      </c>
      <c r="L225">
        <f t="shared" si="58"/>
        <v>2.2283950617283943</v>
      </c>
    </row>
    <row r="226" spans="1:13" x14ac:dyDescent="0.45">
      <c r="A226">
        <v>4</v>
      </c>
      <c r="B226" t="s">
        <v>151</v>
      </c>
      <c r="C226">
        <f>COUNTIFS(AnalizaCzyste[Usługi edukacyjne ocenianej uczelni mają wysoką wartość (okazja / szansa rozwoju własnego lub kariery).9],B226,AnalizaCzyste[Czy jesteś rodzicem / opiekunem absolwenta uczelni wyższej?],"*"&amp;"Tak"&amp;"*")</f>
        <v>1</v>
      </c>
      <c r="D226">
        <f>COUNTIFS(AnalizaCzyste[Usługi edukacyjne ocenianej uczelni mają wysoką wartość (okazja / szansa rozwoju własnego lub kariery).16],B226,AnalizaCzyste[Czy jesteś rodzicem / opiekunem absolwenta uczelni wyższej?],"*"&amp;"Tak"&amp;"*")</f>
        <v>0</v>
      </c>
      <c r="E226">
        <f>COUNTIFS(AnalizaCzyste[Usługi edukacyjne ocenianej uczelni mają wysoką wartość (okazja / szansa rozwoju własnego lub kariery).30],B226,AnalizaCzyste[Czy jesteś rodzicem / opiekunem absolwenta uczelni wyższej?],"*"&amp;"Tak"&amp;"*")</f>
        <v>0</v>
      </c>
      <c r="F226">
        <f t="shared" si="54"/>
        <v>1</v>
      </c>
      <c r="G226">
        <f t="shared" si="55"/>
        <v>4</v>
      </c>
      <c r="H226">
        <f t="shared" si="52"/>
        <v>0</v>
      </c>
      <c r="I226">
        <f t="shared" si="53"/>
        <v>0</v>
      </c>
      <c r="J226">
        <f t="shared" si="56"/>
        <v>4</v>
      </c>
      <c r="K226" s="44">
        <f t="shared" si="57"/>
        <v>4.2253086419753076</v>
      </c>
      <c r="L226">
        <f t="shared" si="58"/>
        <v>4.2253086419753076</v>
      </c>
    </row>
    <row r="227" spans="1:13" x14ac:dyDescent="0.45">
      <c r="A227">
        <v>3</v>
      </c>
      <c r="B227" t="s">
        <v>128</v>
      </c>
      <c r="C227">
        <f>COUNTIFS(AnalizaCzyste[Usługi edukacyjne ocenianej uczelni mają wysoką wartość (okazja / szansa rozwoju własnego lub kariery).9],B227,AnalizaCzyste[Czy jesteś rodzicem / opiekunem absolwenta uczelni wyższej?],"*"&amp;"Tak"&amp;"*")</f>
        <v>0</v>
      </c>
      <c r="D227">
        <f>COUNTIFS(AnalizaCzyste[Usługi edukacyjne ocenianej uczelni mają wysoką wartość (okazja / szansa rozwoju własnego lub kariery).16],B227,AnalizaCzyste[Czy jesteś rodzicem / opiekunem absolwenta uczelni wyższej?],"*"&amp;"Tak"&amp;"*")</f>
        <v>1</v>
      </c>
      <c r="E227">
        <f>COUNTIFS(AnalizaCzyste[Usługi edukacyjne ocenianej uczelni mają wysoką wartość (okazja / szansa rozwoju własnego lub kariery).30],B227,AnalizaCzyste[Czy jesteś rodzicem / opiekunem absolwenta uczelni wyższej?],"*"&amp;"Tak"&amp;"*")</f>
        <v>0</v>
      </c>
      <c r="F227">
        <f t="shared" si="54"/>
        <v>1</v>
      </c>
      <c r="G227">
        <f t="shared" si="55"/>
        <v>0</v>
      </c>
      <c r="H227">
        <f t="shared" si="52"/>
        <v>3</v>
      </c>
      <c r="I227">
        <f t="shared" si="53"/>
        <v>0</v>
      </c>
      <c r="J227">
        <f t="shared" si="56"/>
        <v>3</v>
      </c>
      <c r="K227" s="44">
        <f t="shared" si="57"/>
        <v>9.3364197530864192</v>
      </c>
      <c r="L227">
        <f t="shared" si="58"/>
        <v>9.3364197530864192</v>
      </c>
    </row>
    <row r="228" spans="1:13" x14ac:dyDescent="0.45">
      <c r="A228">
        <v>2</v>
      </c>
      <c r="B228" t="s">
        <v>236</v>
      </c>
      <c r="C228">
        <f>COUNTIFS(AnalizaCzyste[Usługi edukacyjne ocenianej uczelni mają wysoką wartość (okazja / szansa rozwoju własnego lub kariery).9],B228,AnalizaCzyste[Czy jesteś rodzicem / opiekunem absolwenta uczelni wyższej?],"*"&amp;"Tak"&amp;"*")</f>
        <v>0</v>
      </c>
      <c r="D228">
        <f>COUNTIFS(AnalizaCzyste[Usługi edukacyjne ocenianej uczelni mają wysoką wartość (okazja / szansa rozwoju własnego lub kariery).16],B228,AnalizaCzyste[Czy jesteś rodzicem / opiekunem absolwenta uczelni wyższej?],"*"&amp;"Tak"&amp;"*")</f>
        <v>0</v>
      </c>
      <c r="E228">
        <f>COUNTIFS(AnalizaCzyste[Usługi edukacyjne ocenianej uczelni mają wysoką wartość (okazja / szansa rozwoju własnego lub kariery).30],B228,AnalizaCzyste[Czy jesteś rodzicem / opiekunem absolwenta uczelni wyższej?],"*"&amp;"Tak"&amp;"*")</f>
        <v>0</v>
      </c>
      <c r="F228">
        <f t="shared" si="54"/>
        <v>0</v>
      </c>
      <c r="G228">
        <f t="shared" si="55"/>
        <v>0</v>
      </c>
      <c r="H228">
        <f t="shared" si="52"/>
        <v>0</v>
      </c>
      <c r="I228">
        <f t="shared" si="53"/>
        <v>0</v>
      </c>
      <c r="J228">
        <f t="shared" si="56"/>
        <v>0</v>
      </c>
      <c r="K228" s="44">
        <f t="shared" si="57"/>
        <v>16.447530864197528</v>
      </c>
      <c r="L228">
        <f t="shared" si="58"/>
        <v>0</v>
      </c>
    </row>
    <row r="229" spans="1:13" x14ac:dyDescent="0.45">
      <c r="A229">
        <v>1</v>
      </c>
      <c r="B229" t="s">
        <v>129</v>
      </c>
      <c r="C229">
        <f>COUNTIFS(AnalizaCzyste[Usługi edukacyjne ocenianej uczelni mają wysoką wartość (okazja / szansa rozwoju własnego lub kariery).9],B229,AnalizaCzyste[Czy jesteś rodzicem / opiekunem absolwenta uczelni wyższej?],"*"&amp;"Tak"&amp;"*")</f>
        <v>0</v>
      </c>
      <c r="D229">
        <f>COUNTIFS(AnalizaCzyste[Usługi edukacyjne ocenianej uczelni mają wysoką wartość (okazja / szansa rozwoju własnego lub kariery).16],B229,AnalizaCzyste[Czy jesteś rodzicem / opiekunem absolwenta uczelni wyższej?],"*"&amp;"Tak"&amp;"*")</f>
        <v>0</v>
      </c>
      <c r="E229">
        <f>COUNTIFS(AnalizaCzyste[Usługi edukacyjne ocenianej uczelni mają wysoką wartość (okazja / szansa rozwoju własnego lub kariery).30],B229,AnalizaCzyste[Czy jesteś rodzicem / opiekunem absolwenta uczelni wyższej?],"*"&amp;"Tak"&amp;"*")</f>
        <v>0</v>
      </c>
      <c r="F229">
        <f t="shared" si="54"/>
        <v>0</v>
      </c>
      <c r="G229">
        <f t="shared" si="55"/>
        <v>0</v>
      </c>
      <c r="H229">
        <f t="shared" si="52"/>
        <v>0</v>
      </c>
      <c r="I229">
        <f t="shared" si="53"/>
        <v>0</v>
      </c>
      <c r="J229">
        <f t="shared" si="56"/>
        <v>0</v>
      </c>
      <c r="K229" s="44">
        <f t="shared" si="57"/>
        <v>25.558641975308639</v>
      </c>
      <c r="L229">
        <f t="shared" si="58"/>
        <v>0</v>
      </c>
    </row>
    <row r="230" spans="1:13" x14ac:dyDescent="0.45">
      <c r="A230" t="s">
        <v>2329</v>
      </c>
      <c r="B230" t="s">
        <v>132</v>
      </c>
      <c r="C230">
        <f>COUNTIFS(AnalizaCzyste[Usługi edukacyjne ocenianej uczelni mają wysoką wartość (okazja / szansa rozwoju własnego lub kariery).9],B230,AnalizaCzyste[Czy jesteś rodzicem / opiekunem absolwenta uczelni wyższej?],"*"&amp;"Tak"&amp;"*")</f>
        <v>1</v>
      </c>
      <c r="D230">
        <f>COUNTIFS(AnalizaCzyste[Usługi edukacyjne ocenianej uczelni mają wysoką wartość (okazja / szansa rozwoju własnego lub kariery).16],B230,AnalizaCzyste[Czy jesteś rodzicem / opiekunem absolwenta uczelni wyższej?],"*"&amp;"Tak"&amp;"*")</f>
        <v>0</v>
      </c>
      <c r="E230">
        <f>COUNTIFS(AnalizaCzyste[Usługi edukacyjne ocenianej uczelni mają wysoką wartość (okazja / szansa rozwoju własnego lub kariery).30],B230,AnalizaCzyste[Czy jesteś rodzicem / opiekunem absolwenta uczelni wyższej?],"*"&amp;"Tak"&amp;"*")</f>
        <v>0</v>
      </c>
      <c r="F230">
        <f t="shared" si="54"/>
        <v>1</v>
      </c>
      <c r="G230">
        <f t="shared" si="55"/>
        <v>1</v>
      </c>
      <c r="H230">
        <f t="shared" si="52"/>
        <v>0</v>
      </c>
      <c r="I230">
        <f t="shared" si="53"/>
        <v>0</v>
      </c>
      <c r="J230">
        <f t="shared" si="56"/>
        <v>1</v>
      </c>
    </row>
    <row r="231" spans="1:13" x14ac:dyDescent="0.45">
      <c r="B231" s="20" t="s">
        <v>2351</v>
      </c>
      <c r="C231" s="29">
        <f>SUM(C223:C230)</f>
        <v>12</v>
      </c>
      <c r="D231" s="29">
        <f>SUM(D223:D230)</f>
        <v>5</v>
      </c>
      <c r="E231" s="29">
        <f>SUM(E223:E230)</f>
        <v>2</v>
      </c>
      <c r="F231" s="29">
        <f t="shared" si="54"/>
        <v>19</v>
      </c>
      <c r="G231" s="44">
        <f>SUM(G223:G230)/$C232</f>
        <v>6.2727272727272725</v>
      </c>
      <c r="H231" s="44">
        <f>SUM(H223:H230)/$C232</f>
        <v>2.6363636363636362</v>
      </c>
      <c r="I231" s="44">
        <f>SUM(I223:I230)/$C232</f>
        <v>1.0909090909090908</v>
      </c>
      <c r="J231" s="44">
        <f>SUM(J223:J229)/$F232</f>
        <v>6.0555555555555554</v>
      </c>
      <c r="K231" s="20" t="s">
        <v>2353</v>
      </c>
      <c r="L231" s="44">
        <f>SUM(L223:L230)/(F232-1)</f>
        <v>1.349673202614379</v>
      </c>
      <c r="M231" s="20" t="s">
        <v>2349</v>
      </c>
    </row>
    <row r="232" spans="1:13" x14ac:dyDescent="0.45">
      <c r="B232" s="20" t="s">
        <v>2352</v>
      </c>
      <c r="C232">
        <f>C231-C230</f>
        <v>11</v>
      </c>
      <c r="D232">
        <f>D231-D230</f>
        <v>5</v>
      </c>
      <c r="E232">
        <f>E231-E230</f>
        <v>2</v>
      </c>
      <c r="F232">
        <f t="shared" si="54"/>
        <v>18</v>
      </c>
      <c r="G232" s="33">
        <f>G231/7</f>
        <v>0.89610389610389607</v>
      </c>
      <c r="H232" s="33"/>
      <c r="I232" s="33"/>
      <c r="J232" s="33"/>
      <c r="L232" s="44">
        <f>L231^(1/2)</f>
        <v>1.1617543641469048</v>
      </c>
      <c r="M232" t="s">
        <v>2404</v>
      </c>
    </row>
    <row r="233" spans="1:13" x14ac:dyDescent="0.45">
      <c r="B233" s="20"/>
      <c r="D233" s="33"/>
      <c r="F233" s="44"/>
    </row>
    <row r="234" spans="1:13" x14ac:dyDescent="0.45">
      <c r="A234" s="29" t="s">
        <v>2375</v>
      </c>
      <c r="C234" t="s">
        <v>2367</v>
      </c>
      <c r="D234" t="s">
        <v>2368</v>
      </c>
      <c r="E234" t="s">
        <v>2369</v>
      </c>
      <c r="F234" s="20" t="s">
        <v>2374</v>
      </c>
      <c r="G234" s="20" t="s">
        <v>2370</v>
      </c>
      <c r="H234" s="20" t="s">
        <v>2371</v>
      </c>
      <c r="I234" s="20" t="s">
        <v>2372</v>
      </c>
      <c r="J234" s="20" t="s">
        <v>2373</v>
      </c>
      <c r="K234" s="20" t="s">
        <v>2362</v>
      </c>
      <c r="L234" s="20" t="s">
        <v>2363</v>
      </c>
    </row>
    <row r="235" spans="1:13" x14ac:dyDescent="0.45">
      <c r="A235">
        <v>7</v>
      </c>
      <c r="B235" t="s">
        <v>169</v>
      </c>
      <c r="C235">
        <f>COUNTIFS(AnalizaCzyste[Kształcenie na ocenianej uczelni ma/będzie miało pozytywny wpływ na zwiększenie zarobków mojej/mojego podopiecznej/podopiecznego.],B235,AnalizaCzyste[Czy jesteś rodzicem / opiekunem absolwenta uczelni wyższej?],"*"&amp;"Tak"&amp;"*")</f>
        <v>7</v>
      </c>
      <c r="D235">
        <f>COUNTIFS(AnalizaCzyste[Kształcenie na ocenianej uczelni ma/będzie miało pozytywny wpływ na zwiększenie zarobków mojej/mojego podopiecznej/podopiecznego.17],B235,AnalizaCzyste[Czy jesteś rodzicem / opiekunem absolwenta uczelni wyższej?],"*"&amp;"Tak"&amp;"*")</f>
        <v>1</v>
      </c>
      <c r="E235">
        <f>COUNTIFS(AnalizaCzyste[Kształcenie na ocenianej uczelni ma/będzie miało pozytywny wpływ na zwiększenie zarobków mojej/mojego podopiecznej/podopiecznego.31],B235,AnalizaCzyste[Czy jesteś rodzicem / opiekunem absolwenta uczelni wyższej?],"*"&amp;"Tak"&amp;"*")</f>
        <v>1</v>
      </c>
      <c r="F235">
        <f>SUM(C235:E235)</f>
        <v>9</v>
      </c>
      <c r="G235">
        <f>PRODUCT($A235,C235)</f>
        <v>49</v>
      </c>
      <c r="H235">
        <f t="shared" ref="H235:H242" si="59">PRODUCT($A235,D235)</f>
        <v>7</v>
      </c>
      <c r="I235">
        <f t="shared" ref="I235:I242" si="60">PRODUCT($A235,E235)</f>
        <v>7</v>
      </c>
      <c r="J235">
        <f>SUM(G235:I235)</f>
        <v>63</v>
      </c>
      <c r="K235" s="44">
        <f>(A235-$J$243)^2</f>
        <v>1.1141975308641971</v>
      </c>
      <c r="L235">
        <f>PRODUCT(F235,K235)</f>
        <v>10.027777777777775</v>
      </c>
    </row>
    <row r="236" spans="1:13" x14ac:dyDescent="0.45">
      <c r="A236">
        <v>6</v>
      </c>
      <c r="B236" t="s">
        <v>150</v>
      </c>
      <c r="C236">
        <f>COUNTIFS(AnalizaCzyste[Kształcenie na ocenianej uczelni ma/będzie miało pozytywny wpływ na zwiększenie zarobków mojej/mojego podopiecznej/podopiecznego.],B236,AnalizaCzyste[Czy jesteś rodzicem / opiekunem absolwenta uczelni wyższej?],"*"&amp;"Tak"&amp;"*")</f>
        <v>2</v>
      </c>
      <c r="D236">
        <f>COUNTIFS(AnalizaCzyste[Kształcenie na ocenianej uczelni ma/będzie miało pozytywny wpływ na zwiększenie zarobków mojej/mojego podopiecznej/podopiecznego.17],B236,AnalizaCzyste[Czy jesteś rodzicem / opiekunem absolwenta uczelni wyższej?],"*"&amp;"Tak"&amp;"*")</f>
        <v>2</v>
      </c>
      <c r="E236">
        <f>COUNTIFS(AnalizaCzyste[Kształcenie na ocenianej uczelni ma/będzie miało pozytywny wpływ na zwiększenie zarobków mojej/mojego podopiecznej/podopiecznego.31],B236,AnalizaCzyste[Czy jesteś rodzicem / opiekunem absolwenta uczelni wyższej?],"*"&amp;"Tak"&amp;"*")</f>
        <v>1</v>
      </c>
      <c r="F236">
        <f t="shared" ref="F236:F244" si="61">SUM(C236:E236)</f>
        <v>5</v>
      </c>
      <c r="G236">
        <f t="shared" ref="G236:G242" si="62">PRODUCT($A236,C236)</f>
        <v>12</v>
      </c>
      <c r="H236">
        <f t="shared" si="59"/>
        <v>12</v>
      </c>
      <c r="I236">
        <f t="shared" si="60"/>
        <v>6</v>
      </c>
      <c r="J236">
        <f t="shared" ref="J236:J242" si="63">SUM(G236:I236)</f>
        <v>30</v>
      </c>
      <c r="K236" s="44">
        <f t="shared" ref="K236:K241" si="64">(A236-$J$243)^2</f>
        <v>3.0864197530863979E-3</v>
      </c>
      <c r="L236">
        <f t="shared" ref="L236:L241" si="65">PRODUCT(F236,K236)</f>
        <v>1.543209876543199E-2</v>
      </c>
    </row>
    <row r="237" spans="1:13" x14ac:dyDescent="0.45">
      <c r="A237">
        <v>5</v>
      </c>
      <c r="B237" t="s">
        <v>162</v>
      </c>
      <c r="C237">
        <f>COUNTIFS(AnalizaCzyste[Kształcenie na ocenianej uczelni ma/będzie miało pozytywny wpływ na zwiększenie zarobków mojej/mojego podopiecznej/podopiecznego.],B237,AnalizaCzyste[Czy jesteś rodzicem / opiekunem absolwenta uczelni wyższej?],"*"&amp;"Tak"&amp;"*")</f>
        <v>0</v>
      </c>
      <c r="D237">
        <f>COUNTIFS(AnalizaCzyste[Kształcenie na ocenianej uczelni ma/będzie miało pozytywny wpływ na zwiększenie zarobków mojej/mojego podopiecznej/podopiecznego.17],B237,AnalizaCzyste[Czy jesteś rodzicem / opiekunem absolwenta uczelni wyższej?],"*"&amp;"Tak"&amp;"*")</f>
        <v>1</v>
      </c>
      <c r="E237">
        <f>COUNTIFS(AnalizaCzyste[Kształcenie na ocenianej uczelni ma/będzie miało pozytywny wpływ na zwiększenie zarobków mojej/mojego podopiecznej/podopiecznego.31],B237,AnalizaCzyste[Czy jesteś rodzicem / opiekunem absolwenta uczelni wyższej?],"*"&amp;"Tak"&amp;"*")</f>
        <v>0</v>
      </c>
      <c r="F237">
        <f t="shared" si="61"/>
        <v>1</v>
      </c>
      <c r="G237">
        <f t="shared" si="62"/>
        <v>0</v>
      </c>
      <c r="H237">
        <f t="shared" si="59"/>
        <v>5</v>
      </c>
      <c r="I237">
        <f t="shared" si="60"/>
        <v>0</v>
      </c>
      <c r="J237">
        <f t="shared" si="63"/>
        <v>5</v>
      </c>
      <c r="K237" s="44">
        <f t="shared" si="64"/>
        <v>0.89197530864197572</v>
      </c>
      <c r="L237">
        <f t="shared" si="65"/>
        <v>0.89197530864197572</v>
      </c>
    </row>
    <row r="238" spans="1:13" x14ac:dyDescent="0.45">
      <c r="A238">
        <v>4</v>
      </c>
      <c r="B238" t="s">
        <v>151</v>
      </c>
      <c r="C238">
        <f>COUNTIFS(AnalizaCzyste[Kształcenie na ocenianej uczelni ma/będzie miało pozytywny wpływ na zwiększenie zarobków mojej/mojego podopiecznej/podopiecznego.],B238,AnalizaCzyste[Czy jesteś rodzicem / opiekunem absolwenta uczelni wyższej?],"*"&amp;"Tak"&amp;"*")</f>
        <v>1</v>
      </c>
      <c r="D238">
        <f>COUNTIFS(AnalizaCzyste[Kształcenie na ocenianej uczelni ma/będzie miało pozytywny wpływ na zwiększenie zarobków mojej/mojego podopiecznej/podopiecznego.17],B238,AnalizaCzyste[Czy jesteś rodzicem / opiekunem absolwenta uczelni wyższej?],"*"&amp;"Tak"&amp;"*")</f>
        <v>0</v>
      </c>
      <c r="E238">
        <f>COUNTIFS(AnalizaCzyste[Kształcenie na ocenianej uczelni ma/będzie miało pozytywny wpływ na zwiększenie zarobków mojej/mojego podopiecznej/podopiecznego.31],B238,AnalizaCzyste[Czy jesteś rodzicem / opiekunem absolwenta uczelni wyższej?],"*"&amp;"Tak"&amp;"*")</f>
        <v>0</v>
      </c>
      <c r="F238">
        <f t="shared" si="61"/>
        <v>1</v>
      </c>
      <c r="G238">
        <f t="shared" si="62"/>
        <v>4</v>
      </c>
      <c r="H238">
        <f t="shared" si="59"/>
        <v>0</v>
      </c>
      <c r="I238">
        <f t="shared" si="60"/>
        <v>0</v>
      </c>
      <c r="J238">
        <f t="shared" si="63"/>
        <v>4</v>
      </c>
      <c r="K238" s="44">
        <f t="shared" si="64"/>
        <v>3.7808641975308648</v>
      </c>
      <c r="L238">
        <f t="shared" si="65"/>
        <v>3.7808641975308648</v>
      </c>
    </row>
    <row r="239" spans="1:13" x14ac:dyDescent="0.45">
      <c r="A239">
        <v>3</v>
      </c>
      <c r="B239" t="s">
        <v>128</v>
      </c>
      <c r="C239">
        <f>COUNTIFS(AnalizaCzyste[Kształcenie na ocenianej uczelni ma/będzie miało pozytywny wpływ na zwiększenie zarobków mojej/mojego podopiecznej/podopiecznego.],B239,AnalizaCzyste[Czy jesteś rodzicem / opiekunem absolwenta uczelni wyższej?],"*"&amp;"Tak"&amp;"*")</f>
        <v>1</v>
      </c>
      <c r="D239">
        <f>COUNTIFS(AnalizaCzyste[Kształcenie na ocenianej uczelni ma/będzie miało pozytywny wpływ na zwiększenie zarobków mojej/mojego podopiecznej/podopiecznego.17],B239,AnalizaCzyste[Czy jesteś rodzicem / opiekunem absolwenta uczelni wyższej?],"*"&amp;"Tak"&amp;"*")</f>
        <v>0</v>
      </c>
      <c r="E239">
        <f>COUNTIFS(AnalizaCzyste[Kształcenie na ocenianej uczelni ma/będzie miało pozytywny wpływ na zwiększenie zarobków mojej/mojego podopiecznej/podopiecznego.31],B239,AnalizaCzyste[Czy jesteś rodzicem / opiekunem absolwenta uczelni wyższej?],"*"&amp;"Tak"&amp;"*")</f>
        <v>0</v>
      </c>
      <c r="F239">
        <f t="shared" si="61"/>
        <v>1</v>
      </c>
      <c r="G239">
        <f t="shared" si="62"/>
        <v>3</v>
      </c>
      <c r="H239">
        <f t="shared" si="59"/>
        <v>0</v>
      </c>
      <c r="I239">
        <f t="shared" si="60"/>
        <v>0</v>
      </c>
      <c r="J239">
        <f t="shared" si="63"/>
        <v>3</v>
      </c>
      <c r="K239" s="44">
        <f t="shared" si="64"/>
        <v>8.669753086419755</v>
      </c>
      <c r="L239">
        <f t="shared" si="65"/>
        <v>8.669753086419755</v>
      </c>
    </row>
    <row r="240" spans="1:13" x14ac:dyDescent="0.45">
      <c r="A240">
        <v>2</v>
      </c>
      <c r="B240" t="s">
        <v>236</v>
      </c>
      <c r="C240">
        <f>COUNTIFS(AnalizaCzyste[Kształcenie na ocenianej uczelni ma/będzie miało pozytywny wpływ na zwiększenie zarobków mojej/mojego podopiecznej/podopiecznego.],B240,AnalizaCzyste[Czy jesteś rodzicem / opiekunem absolwenta uczelni wyższej?],"*"&amp;"Tak"&amp;"*")</f>
        <v>0</v>
      </c>
      <c r="D240">
        <f>COUNTIFS(AnalizaCzyste[Kształcenie na ocenianej uczelni ma/będzie miało pozytywny wpływ na zwiększenie zarobków mojej/mojego podopiecznej/podopiecznego.17],B240,AnalizaCzyste[Czy jesteś rodzicem / opiekunem absolwenta uczelni wyższej?],"*"&amp;"Tak"&amp;"*")</f>
        <v>1</v>
      </c>
      <c r="E240">
        <f>COUNTIFS(AnalizaCzyste[Kształcenie na ocenianej uczelni ma/będzie miało pozytywny wpływ na zwiększenie zarobków mojej/mojego podopiecznej/podopiecznego.31],B240,AnalizaCzyste[Czy jesteś rodzicem / opiekunem absolwenta uczelni wyższej?],"*"&amp;"Tak"&amp;"*")</f>
        <v>0</v>
      </c>
      <c r="F240">
        <f t="shared" si="61"/>
        <v>1</v>
      </c>
      <c r="G240">
        <f t="shared" si="62"/>
        <v>0</v>
      </c>
      <c r="H240">
        <f t="shared" si="59"/>
        <v>2</v>
      </c>
      <c r="I240">
        <f t="shared" si="60"/>
        <v>0</v>
      </c>
      <c r="J240">
        <f t="shared" si="63"/>
        <v>2</v>
      </c>
      <c r="K240" s="44">
        <f t="shared" si="64"/>
        <v>15.558641975308644</v>
      </c>
      <c r="L240">
        <f t="shared" si="65"/>
        <v>15.558641975308644</v>
      </c>
    </row>
    <row r="241" spans="1:13" x14ac:dyDescent="0.45">
      <c r="A241">
        <v>1</v>
      </c>
      <c r="B241" t="s">
        <v>129</v>
      </c>
      <c r="C241">
        <f>COUNTIFS(AnalizaCzyste[Kształcenie na ocenianej uczelni ma/będzie miało pozytywny wpływ na zwiększenie zarobków mojej/mojego podopiecznej/podopiecznego.],B241,AnalizaCzyste[Czy jesteś rodzicem / opiekunem absolwenta uczelni wyższej?],"*"&amp;"Tak"&amp;"*")</f>
        <v>0</v>
      </c>
      <c r="D241">
        <f>COUNTIFS(AnalizaCzyste[Kształcenie na ocenianej uczelni ma/będzie miało pozytywny wpływ na zwiększenie zarobków mojej/mojego podopiecznej/podopiecznego.17],B241,AnalizaCzyste[Czy jesteś rodzicem / opiekunem absolwenta uczelni wyższej?],"*"&amp;"Tak"&amp;"*")</f>
        <v>0</v>
      </c>
      <c r="E241">
        <f>COUNTIFS(AnalizaCzyste[Kształcenie na ocenianej uczelni ma/będzie miało pozytywny wpływ na zwiększenie zarobków mojej/mojego podopiecznej/podopiecznego.31],B241,AnalizaCzyste[Czy jesteś rodzicem / opiekunem absolwenta uczelni wyższej?],"*"&amp;"Tak"&amp;"*")</f>
        <v>0</v>
      </c>
      <c r="F241">
        <f t="shared" si="61"/>
        <v>0</v>
      </c>
      <c r="G241">
        <f t="shared" si="62"/>
        <v>0</v>
      </c>
      <c r="H241">
        <f t="shared" si="59"/>
        <v>0</v>
      </c>
      <c r="I241">
        <f t="shared" si="60"/>
        <v>0</v>
      </c>
      <c r="J241">
        <f t="shared" si="63"/>
        <v>0</v>
      </c>
      <c r="K241" s="44">
        <f t="shared" si="64"/>
        <v>24.447530864197532</v>
      </c>
      <c r="L241">
        <f t="shared" si="65"/>
        <v>0</v>
      </c>
    </row>
    <row r="242" spans="1:13" x14ac:dyDescent="0.45">
      <c r="A242" t="s">
        <v>2329</v>
      </c>
      <c r="B242" t="s">
        <v>132</v>
      </c>
      <c r="C242">
        <f>COUNTIFS(AnalizaCzyste[Kształcenie na ocenianej uczelni ma/będzie miało pozytywny wpływ na zwiększenie zarobków mojej/mojego podopiecznej/podopiecznego.],B242,AnalizaCzyste[Czy jesteś rodzicem / opiekunem absolwenta uczelni wyższej?],"*"&amp;"Tak"&amp;"*")</f>
        <v>1</v>
      </c>
      <c r="D242">
        <f>COUNTIFS(AnalizaCzyste[Kształcenie na ocenianej uczelni ma/będzie miało pozytywny wpływ na zwiększenie zarobków mojej/mojego podopiecznej/podopiecznego.17],B242,AnalizaCzyste[Czy jesteś rodzicem / opiekunem absolwenta uczelni wyższej?],"*"&amp;"Tak"&amp;"*")</f>
        <v>0</v>
      </c>
      <c r="E242">
        <f>COUNTIFS(AnalizaCzyste[Kształcenie na ocenianej uczelni ma/będzie miało pozytywny wpływ na zwiększenie zarobków mojej/mojego podopiecznej/podopiecznego.31],B242,AnalizaCzyste[Czy jesteś rodzicem / opiekunem absolwenta uczelni wyższej?],"*"&amp;"Tak"&amp;"*")</f>
        <v>0</v>
      </c>
      <c r="F242">
        <f t="shared" si="61"/>
        <v>1</v>
      </c>
      <c r="G242">
        <f t="shared" si="62"/>
        <v>1</v>
      </c>
      <c r="H242">
        <f t="shared" si="59"/>
        <v>0</v>
      </c>
      <c r="I242">
        <f t="shared" si="60"/>
        <v>0</v>
      </c>
      <c r="J242">
        <f t="shared" si="63"/>
        <v>1</v>
      </c>
    </row>
    <row r="243" spans="1:13" x14ac:dyDescent="0.45">
      <c r="B243" s="20" t="s">
        <v>2351</v>
      </c>
      <c r="C243" s="29">
        <f>SUM(C235:C242)</f>
        <v>12</v>
      </c>
      <c r="D243" s="29">
        <f>SUM(D235:D242)</f>
        <v>5</v>
      </c>
      <c r="E243" s="29">
        <f>SUM(E235:E242)</f>
        <v>2</v>
      </c>
      <c r="F243" s="29">
        <f t="shared" si="61"/>
        <v>19</v>
      </c>
      <c r="G243" s="44">
        <f>SUM(G235:G242)/$C244</f>
        <v>6.2727272727272725</v>
      </c>
      <c r="H243" s="44">
        <f>SUM(H235:H242)/$C244</f>
        <v>2.3636363636363638</v>
      </c>
      <c r="I243" s="44">
        <f>SUM(I235:I242)/$C244</f>
        <v>1.1818181818181819</v>
      </c>
      <c r="J243" s="44">
        <f>SUM(J235:J241)/$F244</f>
        <v>5.9444444444444446</v>
      </c>
      <c r="K243" s="20" t="s">
        <v>2353</v>
      </c>
      <c r="L243" s="44">
        <f>SUM(L235:L242)/(F244-1)</f>
        <v>2.2908496732026147</v>
      </c>
      <c r="M243" s="20" t="s">
        <v>2349</v>
      </c>
    </row>
    <row r="244" spans="1:13" x14ac:dyDescent="0.45">
      <c r="B244" s="20" t="s">
        <v>2352</v>
      </c>
      <c r="C244">
        <f>C243-C242</f>
        <v>11</v>
      </c>
      <c r="D244">
        <f>D243-D242</f>
        <v>5</v>
      </c>
      <c r="E244">
        <f>E243-E242</f>
        <v>2</v>
      </c>
      <c r="F244">
        <f t="shared" si="61"/>
        <v>18</v>
      </c>
      <c r="G244" s="33">
        <f>G243/7</f>
        <v>0.89610389610389607</v>
      </c>
      <c r="H244" s="33"/>
      <c r="I244" s="33"/>
      <c r="J244" s="33"/>
      <c r="L244" s="44">
        <f>L243^(1/2)</f>
        <v>1.5135553089341052</v>
      </c>
      <c r="M244" t="s">
        <v>2404</v>
      </c>
    </row>
    <row r="245" spans="1:13" x14ac:dyDescent="0.45">
      <c r="B245" s="20"/>
      <c r="D245" s="33"/>
      <c r="F245" s="44"/>
    </row>
    <row r="246" spans="1:13" x14ac:dyDescent="0.45">
      <c r="B246" s="20"/>
      <c r="D246" s="33"/>
      <c r="F246" s="44"/>
    </row>
    <row r="247" spans="1:13" x14ac:dyDescent="0.45">
      <c r="B247" s="20"/>
      <c r="D247" s="33"/>
      <c r="F247" s="44"/>
    </row>
    <row r="249" spans="1:13" x14ac:dyDescent="0.45">
      <c r="A249" s="29" t="s">
        <v>2355</v>
      </c>
      <c r="C249" t="s">
        <v>2348</v>
      </c>
      <c r="E249" s="20" t="s">
        <v>2362</v>
      </c>
      <c r="F249" s="20" t="s">
        <v>2363</v>
      </c>
    </row>
    <row r="250" spans="1:13" x14ac:dyDescent="0.45">
      <c r="A250">
        <v>7</v>
      </c>
      <c r="B250" t="s">
        <v>169</v>
      </c>
      <c r="C250">
        <f>COUNTIFS(AnalizaCzyste[Moja satysfakcja z pracy na ocenianej uczelni jest wysoka.],B250,AnalizaCzyste[Czy jesteś aktualnie pracownikiem administracyjnym uczelni wyższej?],"*"&amp;"Tak"&amp;"*")</f>
        <v>3</v>
      </c>
      <c r="D250">
        <f>PRODUCT(A250,C250)</f>
        <v>21</v>
      </c>
      <c r="E250" s="44">
        <f>(A250-$D$258)^2</f>
        <v>6.25E-2</v>
      </c>
      <c r="F250">
        <f>PRODUCT(C250,E250)</f>
        <v>0.1875</v>
      </c>
    </row>
    <row r="251" spans="1:13" x14ac:dyDescent="0.45">
      <c r="A251">
        <v>6</v>
      </c>
      <c r="B251" t="s">
        <v>150</v>
      </c>
      <c r="C251">
        <f>COUNTIFS(AnalizaCzyste[Moja satysfakcja z pracy na ocenianej uczelni jest wysoka.],B251,AnalizaCzyste[Czy jesteś aktualnie pracownikiem administracyjnym uczelni wyższej?],"*"&amp;"Tak"&amp;"*")</f>
        <v>1</v>
      </c>
      <c r="D251">
        <f t="shared" ref="D251:D257" si="66">PRODUCT(A251,C251)</f>
        <v>6</v>
      </c>
      <c r="E251" s="44">
        <f t="shared" ref="E251:E256" si="67">(A251-$D$258)^2</f>
        <v>0.5625</v>
      </c>
      <c r="F251">
        <f t="shared" ref="F251:F256" si="68">PRODUCT(C251,E251)</f>
        <v>0.5625</v>
      </c>
    </row>
    <row r="252" spans="1:13" x14ac:dyDescent="0.45">
      <c r="A252">
        <v>5</v>
      </c>
      <c r="B252" t="s">
        <v>162</v>
      </c>
      <c r="C252">
        <f>COUNTIFS(AnalizaCzyste[Moja satysfakcja z pracy na ocenianej uczelni jest wysoka.],B252,AnalizaCzyste[Czy jesteś aktualnie pracownikiem administracyjnym uczelni wyższej?],"*"&amp;"Tak"&amp;"*")</f>
        <v>0</v>
      </c>
      <c r="D252">
        <f t="shared" si="66"/>
        <v>0</v>
      </c>
      <c r="E252" s="44">
        <f t="shared" si="67"/>
        <v>3.0625</v>
      </c>
      <c r="F252">
        <f t="shared" si="68"/>
        <v>0</v>
      </c>
    </row>
    <row r="253" spans="1:13" x14ac:dyDescent="0.45">
      <c r="A253">
        <v>4</v>
      </c>
      <c r="B253" t="s">
        <v>151</v>
      </c>
      <c r="C253">
        <f>COUNTIFS(AnalizaCzyste[Moja satysfakcja z pracy na ocenianej uczelni jest wysoka.],B253,AnalizaCzyste[Czy jesteś aktualnie pracownikiem administracyjnym uczelni wyższej?],"*"&amp;"Tak"&amp;"*")</f>
        <v>0</v>
      </c>
      <c r="D253">
        <f t="shared" si="66"/>
        <v>0</v>
      </c>
      <c r="E253" s="44">
        <f t="shared" si="67"/>
        <v>7.5625</v>
      </c>
      <c r="F253">
        <f t="shared" si="68"/>
        <v>0</v>
      </c>
    </row>
    <row r="254" spans="1:13" x14ac:dyDescent="0.45">
      <c r="A254">
        <v>3</v>
      </c>
      <c r="B254" t="s">
        <v>128</v>
      </c>
      <c r="C254">
        <f>COUNTIFS(AnalizaCzyste[Moja satysfakcja z pracy na ocenianej uczelni jest wysoka.],B254,AnalizaCzyste[Czy jesteś aktualnie pracownikiem administracyjnym uczelni wyższej?],"*"&amp;"Tak"&amp;"*")</f>
        <v>0</v>
      </c>
      <c r="D254">
        <f t="shared" si="66"/>
        <v>0</v>
      </c>
      <c r="E254" s="44">
        <f t="shared" si="67"/>
        <v>14.0625</v>
      </c>
      <c r="F254">
        <f t="shared" si="68"/>
        <v>0</v>
      </c>
    </row>
    <row r="255" spans="1:13" x14ac:dyDescent="0.45">
      <c r="A255">
        <v>2</v>
      </c>
      <c r="B255" t="s">
        <v>236</v>
      </c>
      <c r="C255">
        <f>COUNTIFS(AnalizaCzyste[Moja satysfakcja z pracy na ocenianej uczelni jest wysoka.],B255,AnalizaCzyste[Czy jesteś aktualnie pracownikiem administracyjnym uczelni wyższej?],"*"&amp;"Tak"&amp;"*")</f>
        <v>0</v>
      </c>
      <c r="D255">
        <f t="shared" si="66"/>
        <v>0</v>
      </c>
      <c r="E255" s="44">
        <f t="shared" si="67"/>
        <v>22.5625</v>
      </c>
      <c r="F255">
        <f t="shared" si="68"/>
        <v>0</v>
      </c>
    </row>
    <row r="256" spans="1:13" x14ac:dyDescent="0.45">
      <c r="A256">
        <v>1</v>
      </c>
      <c r="B256" t="s">
        <v>129</v>
      </c>
      <c r="C256">
        <f>COUNTIFS(AnalizaCzyste[Moja satysfakcja z pracy na ocenianej uczelni jest wysoka.],B256,AnalizaCzyste[Czy jesteś aktualnie pracownikiem administracyjnym uczelni wyższej?],"*"&amp;"Tak"&amp;"*")</f>
        <v>0</v>
      </c>
      <c r="D256">
        <f t="shared" si="66"/>
        <v>0</v>
      </c>
      <c r="E256" s="44">
        <f t="shared" si="67"/>
        <v>33.0625</v>
      </c>
      <c r="F256">
        <f t="shared" si="68"/>
        <v>0</v>
      </c>
    </row>
    <row r="257" spans="1:11" x14ac:dyDescent="0.45">
      <c r="A257" t="s">
        <v>2329</v>
      </c>
      <c r="B257" t="s">
        <v>132</v>
      </c>
      <c r="C257">
        <f>COUNTIFS(AnalizaCzyste[Moja satysfakcja z pracy na ocenianej uczelni jest wysoka.],B257,AnalizaCzyste[Czy jesteś aktualnie pracownikiem administracyjnym uczelni wyższej?],"*"&amp;"Tak"&amp;"*")</f>
        <v>0</v>
      </c>
      <c r="D257">
        <f t="shared" si="66"/>
        <v>0</v>
      </c>
    </row>
    <row r="258" spans="1:11" x14ac:dyDescent="0.45">
      <c r="B258" s="20" t="s">
        <v>2351</v>
      </c>
      <c r="C258" s="29">
        <f>SUM(C250:C257)</f>
        <v>4</v>
      </c>
      <c r="D258" s="44">
        <f>SUM(D250:D256)/C259</f>
        <v>6.75</v>
      </c>
      <c r="E258" s="20" t="s">
        <v>2353</v>
      </c>
      <c r="F258" s="44">
        <f>SUM(F250:F257)/(C259-1)</f>
        <v>0.25</v>
      </c>
      <c r="G258" s="20" t="s">
        <v>2349</v>
      </c>
    </row>
    <row r="259" spans="1:11" x14ac:dyDescent="0.45">
      <c r="B259" s="20" t="s">
        <v>2352</v>
      </c>
      <c r="C259">
        <f>C258-C257</f>
        <v>4</v>
      </c>
      <c r="D259" s="33">
        <f>D258/7</f>
        <v>0.9642857142857143</v>
      </c>
      <c r="F259" s="44">
        <f>F258^(1/2)</f>
        <v>0.5</v>
      </c>
      <c r="G259" t="s">
        <v>2404</v>
      </c>
    </row>
    <row r="260" spans="1:11" x14ac:dyDescent="0.45">
      <c r="B260" s="20"/>
      <c r="D260" s="52" t="str">
        <f>VLOOKUP(D258,InterpretacjaŚredniej[],2,1)</f>
        <v>zdecydowanie się zgadzam</v>
      </c>
      <c r="E260">
        <f>D258-(K260*F259/SQRT(C259))</f>
        <v>5.954388423679073</v>
      </c>
      <c r="F260" s="45" t="str">
        <f>"&lt; m &lt;"</f>
        <v>&lt; m &lt;</v>
      </c>
      <c r="G260">
        <f>D258+(K260*F259/SQRT(C259))</f>
        <v>7.545611576320927</v>
      </c>
      <c r="H260" t="s">
        <v>2407</v>
      </c>
      <c r="I260">
        <v>0.05</v>
      </c>
      <c r="J260" s="20" t="s">
        <v>2417</v>
      </c>
      <c r="K260">
        <f>VLOOKUP($C$259-1,Tabl_tStudenta[],5,0)</f>
        <v>3.1824463052837091</v>
      </c>
    </row>
    <row r="261" spans="1:11" x14ac:dyDescent="0.45">
      <c r="B261" s="20"/>
      <c r="D261" s="33"/>
      <c r="F261" s="44"/>
      <c r="G261" s="42">
        <f>G260-E260</f>
        <v>1.5912231526418541</v>
      </c>
    </row>
    <row r="262" spans="1:11" x14ac:dyDescent="0.45">
      <c r="A262" s="29" t="s">
        <v>2376</v>
      </c>
      <c r="C262" t="s">
        <v>2348</v>
      </c>
      <c r="E262" s="20" t="s">
        <v>2362</v>
      </c>
      <c r="F262" s="20" t="s">
        <v>2363</v>
      </c>
    </row>
    <row r="263" spans="1:11" x14ac:dyDescent="0.45">
      <c r="A263">
        <v>7</v>
      </c>
      <c r="B263" t="s">
        <v>169</v>
      </c>
      <c r="C263">
        <f>COUNTIFS(AnalizaCzyste[Atmosfera w zespole współpracowników jest dobra.],B263,AnalizaCzyste[Czy jesteś aktualnie pracownikiem administracyjnym uczelni wyższej?],"*"&amp;"Tak"&amp;"*")</f>
        <v>2</v>
      </c>
      <c r="D263">
        <f>PRODUCT(A263,C263)</f>
        <v>14</v>
      </c>
      <c r="E263" s="44">
        <f>(A263-$D$271)^2</f>
        <v>0.5625</v>
      </c>
      <c r="F263">
        <f>PRODUCT(C263,E263)</f>
        <v>1.125</v>
      </c>
    </row>
    <row r="264" spans="1:11" x14ac:dyDescent="0.45">
      <c r="A264">
        <v>6</v>
      </c>
      <c r="B264" t="s">
        <v>150</v>
      </c>
      <c r="C264">
        <f>COUNTIFS(AnalizaCzyste[Atmosfera w zespole współpracowników jest dobra.],B264,AnalizaCzyste[Czy jesteś aktualnie pracownikiem administracyjnym uczelni wyższej?],"*"&amp;"Tak"&amp;"*")</f>
        <v>1</v>
      </c>
      <c r="D264">
        <f t="shared" ref="D264:D270" si="69">PRODUCT(A264,C264)</f>
        <v>6</v>
      </c>
      <c r="E264" s="44">
        <f t="shared" ref="E264:E269" si="70">(A264-$D$271)^2</f>
        <v>6.25E-2</v>
      </c>
      <c r="F264">
        <f t="shared" ref="F264:F269" si="71">PRODUCT(C264,E264)</f>
        <v>6.25E-2</v>
      </c>
    </row>
    <row r="265" spans="1:11" x14ac:dyDescent="0.45">
      <c r="A265">
        <v>5</v>
      </c>
      <c r="B265" t="s">
        <v>162</v>
      </c>
      <c r="C265">
        <f>COUNTIFS(AnalizaCzyste[Atmosfera w zespole współpracowników jest dobra.],B265,AnalizaCzyste[Czy jesteś aktualnie pracownikiem administracyjnym uczelni wyższej?],"*"&amp;"Tak"&amp;"*")</f>
        <v>1</v>
      </c>
      <c r="D265">
        <f t="shared" si="69"/>
        <v>5</v>
      </c>
      <c r="E265" s="44">
        <f t="shared" si="70"/>
        <v>1.5625</v>
      </c>
      <c r="F265">
        <f t="shared" si="71"/>
        <v>1.5625</v>
      </c>
    </row>
    <row r="266" spans="1:11" x14ac:dyDescent="0.45">
      <c r="A266">
        <v>4</v>
      </c>
      <c r="B266" t="s">
        <v>151</v>
      </c>
      <c r="C266">
        <f>COUNTIFS(AnalizaCzyste[Atmosfera w zespole współpracowników jest dobra.],B266,AnalizaCzyste[Czy jesteś aktualnie pracownikiem administracyjnym uczelni wyższej?],"*"&amp;"Tak"&amp;"*")</f>
        <v>0</v>
      </c>
      <c r="D266">
        <f t="shared" si="69"/>
        <v>0</v>
      </c>
      <c r="E266" s="44">
        <f t="shared" si="70"/>
        <v>5.0625</v>
      </c>
      <c r="F266">
        <f t="shared" si="71"/>
        <v>0</v>
      </c>
    </row>
    <row r="267" spans="1:11" x14ac:dyDescent="0.45">
      <c r="A267">
        <v>3</v>
      </c>
      <c r="B267" t="s">
        <v>128</v>
      </c>
      <c r="C267">
        <f>COUNTIFS(AnalizaCzyste[Atmosfera w zespole współpracowników jest dobra.],B267,AnalizaCzyste[Czy jesteś aktualnie pracownikiem administracyjnym uczelni wyższej?],"*"&amp;"Tak"&amp;"*")</f>
        <v>0</v>
      </c>
      <c r="D267">
        <f t="shared" si="69"/>
        <v>0</v>
      </c>
      <c r="E267" s="44">
        <f t="shared" si="70"/>
        <v>10.5625</v>
      </c>
      <c r="F267">
        <f t="shared" si="71"/>
        <v>0</v>
      </c>
    </row>
    <row r="268" spans="1:11" x14ac:dyDescent="0.45">
      <c r="A268">
        <v>2</v>
      </c>
      <c r="B268" t="s">
        <v>236</v>
      </c>
      <c r="C268">
        <f>COUNTIFS(AnalizaCzyste[Atmosfera w zespole współpracowników jest dobra.],B268,AnalizaCzyste[Czy jesteś aktualnie pracownikiem administracyjnym uczelni wyższej?],"*"&amp;"Tak"&amp;"*")</f>
        <v>0</v>
      </c>
      <c r="D268">
        <f t="shared" si="69"/>
        <v>0</v>
      </c>
      <c r="E268" s="44">
        <f t="shared" si="70"/>
        <v>18.0625</v>
      </c>
      <c r="F268">
        <f t="shared" si="71"/>
        <v>0</v>
      </c>
    </row>
    <row r="269" spans="1:11" x14ac:dyDescent="0.45">
      <c r="A269">
        <v>1</v>
      </c>
      <c r="B269" t="s">
        <v>129</v>
      </c>
      <c r="C269">
        <f>COUNTIFS(AnalizaCzyste[Atmosfera w zespole współpracowników jest dobra.],B269,AnalizaCzyste[Czy jesteś aktualnie pracownikiem administracyjnym uczelni wyższej?],"*"&amp;"Tak"&amp;"*")</f>
        <v>0</v>
      </c>
      <c r="D269">
        <f t="shared" si="69"/>
        <v>0</v>
      </c>
      <c r="E269" s="44">
        <f t="shared" si="70"/>
        <v>27.5625</v>
      </c>
      <c r="F269">
        <f t="shared" si="71"/>
        <v>0</v>
      </c>
    </row>
    <row r="270" spans="1:11" x14ac:dyDescent="0.45">
      <c r="A270" t="s">
        <v>2329</v>
      </c>
      <c r="B270" t="s">
        <v>132</v>
      </c>
      <c r="C270">
        <f>COUNTIFS(AnalizaCzyste[Moja satysfakcja z pracy na ocenianej uczelni jest wysoka.],B270,AnalizaCzyste[Czy jesteś aktualnie pracownikiem administracyjnym uczelni wyższej?],"*"&amp;"Tak"&amp;"*")</f>
        <v>0</v>
      </c>
      <c r="D270">
        <f t="shared" si="69"/>
        <v>0</v>
      </c>
    </row>
    <row r="271" spans="1:11" x14ac:dyDescent="0.45">
      <c r="B271" s="20" t="s">
        <v>2351</v>
      </c>
      <c r="C271" s="29">
        <f>SUM(C263:C270)</f>
        <v>4</v>
      </c>
      <c r="D271" s="44">
        <f>SUM(D263:D269)/C272</f>
        <v>6.25</v>
      </c>
      <c r="E271" s="20" t="s">
        <v>2353</v>
      </c>
      <c r="F271" s="44">
        <f>SUM(F263:F270)/(C272-1)</f>
        <v>0.91666666666666663</v>
      </c>
      <c r="G271" s="20" t="s">
        <v>2349</v>
      </c>
    </row>
    <row r="272" spans="1:11" x14ac:dyDescent="0.45">
      <c r="B272" s="20" t="s">
        <v>2352</v>
      </c>
      <c r="C272">
        <f>C271-C270</f>
        <v>4</v>
      </c>
      <c r="D272" s="33">
        <f>D271/7</f>
        <v>0.8928571428571429</v>
      </c>
      <c r="F272" s="44">
        <f>F271^(1/2)</f>
        <v>0.9574271077563381</v>
      </c>
      <c r="G272" t="s">
        <v>2404</v>
      </c>
    </row>
    <row r="273" spans="1:7" x14ac:dyDescent="0.45">
      <c r="B273" s="20"/>
      <c r="D273" s="33"/>
      <c r="F273" s="44"/>
    </row>
    <row r="274" spans="1:7" x14ac:dyDescent="0.45">
      <c r="A274" s="29" t="s">
        <v>2377</v>
      </c>
      <c r="C274" t="s">
        <v>2348</v>
      </c>
      <c r="E274" s="20" t="s">
        <v>2362</v>
      </c>
      <c r="F274" s="20" t="s">
        <v>2363</v>
      </c>
    </row>
    <row r="275" spans="1:7" x14ac:dyDescent="0.45">
      <c r="A275">
        <v>7</v>
      </c>
      <c r="B275" t="s">
        <v>169</v>
      </c>
      <c r="C275">
        <f>COUNTIFS(AnalizaCzyste[Moje zarobki są satysfakcjonujące.],B275,AnalizaCzyste[Czy jesteś aktualnie pracownikiem administracyjnym uczelni wyższej?],"*"&amp;"Tak"&amp;"*")</f>
        <v>3</v>
      </c>
      <c r="D275">
        <f>PRODUCT(A275,C275)</f>
        <v>21</v>
      </c>
      <c r="E275" s="44">
        <f>(A275-$D$283)^2</f>
        <v>1</v>
      </c>
      <c r="F275">
        <f>PRODUCT(C275,E275)</f>
        <v>3</v>
      </c>
    </row>
    <row r="276" spans="1:7" x14ac:dyDescent="0.45">
      <c r="A276">
        <v>6</v>
      </c>
      <c r="B276" t="s">
        <v>150</v>
      </c>
      <c r="C276">
        <f>COUNTIFS(AnalizaCzyste[Moje zarobki są satysfakcjonujące.],B276,AnalizaCzyste[Czy jesteś aktualnie pracownikiem administracyjnym uczelni wyższej?],"*"&amp;"Tak"&amp;"*")</f>
        <v>0</v>
      </c>
      <c r="D276">
        <f t="shared" ref="D276:D282" si="72">PRODUCT(A276,C276)</f>
        <v>0</v>
      </c>
      <c r="E276" s="44">
        <f t="shared" ref="E276:E281" si="73">(A276-$D$283)^2</f>
        <v>0</v>
      </c>
      <c r="F276">
        <f t="shared" ref="F276:F281" si="74">PRODUCT(C276,E276)</f>
        <v>0</v>
      </c>
    </row>
    <row r="277" spans="1:7" x14ac:dyDescent="0.45">
      <c r="A277">
        <v>5</v>
      </c>
      <c r="B277" t="s">
        <v>162</v>
      </c>
      <c r="C277">
        <f>COUNTIFS(AnalizaCzyste[Moje zarobki są satysfakcjonujące.],B277,AnalizaCzyste[Czy jesteś aktualnie pracownikiem administracyjnym uczelni wyższej?],"*"&amp;"Tak"&amp;"*")</f>
        <v>0</v>
      </c>
      <c r="D277">
        <f t="shared" si="72"/>
        <v>0</v>
      </c>
      <c r="E277" s="44">
        <f t="shared" si="73"/>
        <v>1</v>
      </c>
      <c r="F277">
        <f t="shared" si="74"/>
        <v>0</v>
      </c>
    </row>
    <row r="278" spans="1:7" x14ac:dyDescent="0.45">
      <c r="A278">
        <v>4</v>
      </c>
      <c r="B278" t="s">
        <v>151</v>
      </c>
      <c r="C278">
        <f>COUNTIFS(AnalizaCzyste[Moje zarobki są satysfakcjonujące.],B278,AnalizaCzyste[Czy jesteś aktualnie pracownikiem administracyjnym uczelni wyższej?],"*"&amp;"Tak"&amp;"*")</f>
        <v>0</v>
      </c>
      <c r="D278">
        <f t="shared" si="72"/>
        <v>0</v>
      </c>
      <c r="E278" s="44">
        <f t="shared" si="73"/>
        <v>4</v>
      </c>
      <c r="F278">
        <f t="shared" si="74"/>
        <v>0</v>
      </c>
    </row>
    <row r="279" spans="1:7" x14ac:dyDescent="0.45">
      <c r="A279">
        <v>3</v>
      </c>
      <c r="B279" t="s">
        <v>128</v>
      </c>
      <c r="C279">
        <f>COUNTIFS(AnalizaCzyste[Moje zarobki są satysfakcjonujące.],B279,AnalizaCzyste[Czy jesteś aktualnie pracownikiem administracyjnym uczelni wyższej?],"*"&amp;"Tak"&amp;"*")</f>
        <v>1</v>
      </c>
      <c r="D279">
        <f t="shared" si="72"/>
        <v>3</v>
      </c>
      <c r="E279" s="44">
        <f t="shared" si="73"/>
        <v>9</v>
      </c>
      <c r="F279">
        <f t="shared" si="74"/>
        <v>9</v>
      </c>
    </row>
    <row r="280" spans="1:7" x14ac:dyDescent="0.45">
      <c r="A280">
        <v>2</v>
      </c>
      <c r="B280" t="s">
        <v>236</v>
      </c>
      <c r="C280">
        <f>COUNTIFS(AnalizaCzyste[Moje zarobki są satysfakcjonujące.],B280,AnalizaCzyste[Czy jesteś aktualnie pracownikiem administracyjnym uczelni wyższej?],"*"&amp;"Tak"&amp;"*")</f>
        <v>0</v>
      </c>
      <c r="D280">
        <f t="shared" si="72"/>
        <v>0</v>
      </c>
      <c r="E280" s="44">
        <f t="shared" si="73"/>
        <v>16</v>
      </c>
      <c r="F280">
        <f t="shared" si="74"/>
        <v>0</v>
      </c>
    </row>
    <row r="281" spans="1:7" x14ac:dyDescent="0.45">
      <c r="A281">
        <v>1</v>
      </c>
      <c r="B281" t="s">
        <v>129</v>
      </c>
      <c r="C281">
        <f>COUNTIFS(AnalizaCzyste[Moje zarobki są satysfakcjonujące.],B281,AnalizaCzyste[Czy jesteś aktualnie pracownikiem administracyjnym uczelni wyższej?],"*"&amp;"Tak"&amp;"*")</f>
        <v>0</v>
      </c>
      <c r="D281">
        <f t="shared" si="72"/>
        <v>0</v>
      </c>
      <c r="E281" s="44">
        <f t="shared" si="73"/>
        <v>25</v>
      </c>
      <c r="F281">
        <f t="shared" si="74"/>
        <v>0</v>
      </c>
    </row>
    <row r="282" spans="1:7" x14ac:dyDescent="0.45">
      <c r="A282" t="s">
        <v>2329</v>
      </c>
      <c r="B282" t="s">
        <v>132</v>
      </c>
      <c r="C282">
        <f>COUNTIFS(AnalizaCzyste[Moje zarobki są satysfakcjonujące.],B282,AnalizaCzyste[Czy jesteś aktualnie pracownikiem administracyjnym uczelni wyższej?],"*"&amp;"Tak"&amp;"*")</f>
        <v>0</v>
      </c>
      <c r="D282">
        <f t="shared" si="72"/>
        <v>0</v>
      </c>
    </row>
    <row r="283" spans="1:7" x14ac:dyDescent="0.45">
      <c r="B283" s="20" t="s">
        <v>2351</v>
      </c>
      <c r="C283" s="29">
        <f>SUM(C275:C282)</f>
        <v>4</v>
      </c>
      <c r="D283" s="44">
        <f>SUM(D275:D281)/C284</f>
        <v>6</v>
      </c>
      <c r="E283" s="20" t="s">
        <v>2353</v>
      </c>
      <c r="F283" s="44">
        <f>SUM(F275:F282)/(C284-1)</f>
        <v>4</v>
      </c>
      <c r="G283" s="20" t="s">
        <v>2349</v>
      </c>
    </row>
    <row r="284" spans="1:7" x14ac:dyDescent="0.45">
      <c r="B284" s="20" t="s">
        <v>2352</v>
      </c>
      <c r="C284">
        <f>C283-C282</f>
        <v>4</v>
      </c>
      <c r="D284" s="33">
        <f>D283/7</f>
        <v>0.8571428571428571</v>
      </c>
      <c r="F284" s="44">
        <f>F283^(1/2)</f>
        <v>2</v>
      </c>
      <c r="G284" t="s">
        <v>2404</v>
      </c>
    </row>
    <row r="285" spans="1:7" x14ac:dyDescent="0.45">
      <c r="B285" s="20"/>
      <c r="D285" s="33"/>
      <c r="F285" s="44"/>
    </row>
    <row r="286" spans="1:7" x14ac:dyDescent="0.45">
      <c r="A286" s="29" t="s">
        <v>2378</v>
      </c>
      <c r="C286" t="s">
        <v>2348</v>
      </c>
      <c r="E286" s="20" t="s">
        <v>2362</v>
      </c>
      <c r="F286" s="20" t="s">
        <v>2363</v>
      </c>
    </row>
    <row r="287" spans="1:7" x14ac:dyDescent="0.45">
      <c r="A287">
        <v>7</v>
      </c>
      <c r="B287" t="s">
        <v>169</v>
      </c>
      <c r="C287">
        <f>COUNTIFS(AnalizaCzyste[Praca na ocenianej uczelni daje mi duże szanse rozwoju.],B287,AnalizaCzyste[Czy jesteś aktualnie pracownikiem administracyjnym uczelni wyższej?],"*"&amp;"Tak"&amp;"*")</f>
        <v>3</v>
      </c>
      <c r="D287">
        <f>PRODUCT(A287,C287)</f>
        <v>21</v>
      </c>
      <c r="E287" s="44">
        <f>(A287-$D$295)^2</f>
        <v>6.25E-2</v>
      </c>
      <c r="F287">
        <f>PRODUCT(C287,E287)</f>
        <v>0.1875</v>
      </c>
    </row>
    <row r="288" spans="1:7" x14ac:dyDescent="0.45">
      <c r="A288">
        <v>6</v>
      </c>
      <c r="B288" t="s">
        <v>150</v>
      </c>
      <c r="C288">
        <f>COUNTIFS(AnalizaCzyste[Praca na ocenianej uczelni daje mi duże szanse rozwoju.],B288,AnalizaCzyste[Czy jesteś aktualnie pracownikiem administracyjnym uczelni wyższej?],"*"&amp;"Tak"&amp;"*")</f>
        <v>1</v>
      </c>
      <c r="D288">
        <f t="shared" ref="D288:D294" si="75">PRODUCT(A288,C288)</f>
        <v>6</v>
      </c>
      <c r="E288" s="44">
        <f t="shared" ref="E288:E293" si="76">(A288-$D$295)^2</f>
        <v>0.5625</v>
      </c>
      <c r="F288">
        <f t="shared" ref="F288:F293" si="77">PRODUCT(C288,E288)</f>
        <v>0.5625</v>
      </c>
    </row>
    <row r="289" spans="1:7" x14ac:dyDescent="0.45">
      <c r="A289">
        <v>5</v>
      </c>
      <c r="B289" t="s">
        <v>162</v>
      </c>
      <c r="C289">
        <f>COUNTIFS(AnalizaCzyste[Praca na ocenianej uczelni daje mi duże szanse rozwoju.],B289,AnalizaCzyste[Czy jesteś aktualnie pracownikiem administracyjnym uczelni wyższej?],"*"&amp;"Tak"&amp;"*")</f>
        <v>0</v>
      </c>
      <c r="D289">
        <f t="shared" si="75"/>
        <v>0</v>
      </c>
      <c r="E289" s="44">
        <f t="shared" si="76"/>
        <v>3.0625</v>
      </c>
      <c r="F289">
        <f t="shared" si="77"/>
        <v>0</v>
      </c>
    </row>
    <row r="290" spans="1:7" x14ac:dyDescent="0.45">
      <c r="A290">
        <v>4</v>
      </c>
      <c r="B290" t="s">
        <v>151</v>
      </c>
      <c r="C290">
        <f>COUNTIFS(AnalizaCzyste[Praca na ocenianej uczelni daje mi duże szanse rozwoju.],B290,AnalizaCzyste[Czy jesteś aktualnie pracownikiem administracyjnym uczelni wyższej?],"*"&amp;"Tak"&amp;"*")</f>
        <v>0</v>
      </c>
      <c r="D290">
        <f t="shared" si="75"/>
        <v>0</v>
      </c>
      <c r="E290" s="44">
        <f t="shared" si="76"/>
        <v>7.5625</v>
      </c>
      <c r="F290">
        <f t="shared" si="77"/>
        <v>0</v>
      </c>
    </row>
    <row r="291" spans="1:7" x14ac:dyDescent="0.45">
      <c r="A291">
        <v>3</v>
      </c>
      <c r="B291" t="s">
        <v>128</v>
      </c>
      <c r="C291">
        <f>COUNTIFS(AnalizaCzyste[Praca na ocenianej uczelni daje mi duże szanse rozwoju.],B291,AnalizaCzyste[Czy jesteś aktualnie pracownikiem administracyjnym uczelni wyższej?],"*"&amp;"Tak"&amp;"*")</f>
        <v>0</v>
      </c>
      <c r="D291">
        <f t="shared" si="75"/>
        <v>0</v>
      </c>
      <c r="E291" s="44">
        <f t="shared" si="76"/>
        <v>14.0625</v>
      </c>
      <c r="F291">
        <f t="shared" si="77"/>
        <v>0</v>
      </c>
    </row>
    <row r="292" spans="1:7" x14ac:dyDescent="0.45">
      <c r="A292">
        <v>2</v>
      </c>
      <c r="B292" t="s">
        <v>236</v>
      </c>
      <c r="C292">
        <f>COUNTIFS(AnalizaCzyste[Praca na ocenianej uczelni daje mi duże szanse rozwoju.],B292,AnalizaCzyste[Czy jesteś aktualnie pracownikiem administracyjnym uczelni wyższej?],"*"&amp;"Tak"&amp;"*")</f>
        <v>0</v>
      </c>
      <c r="D292">
        <f t="shared" si="75"/>
        <v>0</v>
      </c>
      <c r="E292" s="44">
        <f t="shared" si="76"/>
        <v>22.5625</v>
      </c>
      <c r="F292">
        <f t="shared" si="77"/>
        <v>0</v>
      </c>
    </row>
    <row r="293" spans="1:7" x14ac:dyDescent="0.45">
      <c r="A293">
        <v>1</v>
      </c>
      <c r="B293" t="s">
        <v>129</v>
      </c>
      <c r="C293">
        <f>COUNTIFS(AnalizaCzyste[Praca na ocenianej uczelni daje mi duże szanse rozwoju.],B293,AnalizaCzyste[Czy jesteś aktualnie pracownikiem administracyjnym uczelni wyższej?],"*"&amp;"Tak"&amp;"*")</f>
        <v>0</v>
      </c>
      <c r="D293">
        <f t="shared" si="75"/>
        <v>0</v>
      </c>
      <c r="E293" s="44">
        <f t="shared" si="76"/>
        <v>33.0625</v>
      </c>
      <c r="F293">
        <f t="shared" si="77"/>
        <v>0</v>
      </c>
    </row>
    <row r="294" spans="1:7" x14ac:dyDescent="0.45">
      <c r="A294" t="s">
        <v>2329</v>
      </c>
      <c r="B294" t="s">
        <v>132</v>
      </c>
      <c r="C294">
        <f>COUNTIFS(AnalizaCzyste[Praca na ocenianej uczelni daje mi duże szanse rozwoju.],B294,AnalizaCzyste[Czy jesteś aktualnie pracownikiem administracyjnym uczelni wyższej?],"*"&amp;"Tak"&amp;"*")</f>
        <v>0</v>
      </c>
      <c r="D294">
        <f t="shared" si="75"/>
        <v>0</v>
      </c>
    </row>
    <row r="295" spans="1:7" x14ac:dyDescent="0.45">
      <c r="B295" s="20" t="s">
        <v>2351</v>
      </c>
      <c r="C295" s="29">
        <f>SUM(C287:C294)</f>
        <v>4</v>
      </c>
      <c r="D295" s="44">
        <f>SUM(D287:D293)/C296</f>
        <v>6.75</v>
      </c>
      <c r="E295" s="20" t="s">
        <v>2353</v>
      </c>
      <c r="F295" s="44">
        <f>SUM(F287:F294)/(C296-1)</f>
        <v>0.25</v>
      </c>
      <c r="G295" s="20" t="s">
        <v>2349</v>
      </c>
    </row>
    <row r="296" spans="1:7" x14ac:dyDescent="0.45">
      <c r="B296" s="20" t="s">
        <v>2352</v>
      </c>
      <c r="C296">
        <f>C295-C294</f>
        <v>4</v>
      </c>
      <c r="D296" s="33">
        <f>D295/7</f>
        <v>0.9642857142857143</v>
      </c>
      <c r="F296" s="44">
        <f>F295^(1/2)</f>
        <v>0.5</v>
      </c>
      <c r="G296" t="s">
        <v>2404</v>
      </c>
    </row>
    <row r="297" spans="1:7" x14ac:dyDescent="0.45">
      <c r="B297" s="20"/>
      <c r="D297" s="33"/>
      <c r="F297" s="44"/>
    </row>
    <row r="298" spans="1:7" x14ac:dyDescent="0.45">
      <c r="A298" s="29" t="s">
        <v>2378</v>
      </c>
      <c r="C298" t="s">
        <v>2348</v>
      </c>
      <c r="E298" s="20" t="s">
        <v>2362</v>
      </c>
      <c r="F298" s="20" t="s">
        <v>2363</v>
      </c>
    </row>
    <row r="299" spans="1:7" x14ac:dyDescent="0.45">
      <c r="A299">
        <v>7</v>
      </c>
      <c r="B299" t="s">
        <v>169</v>
      </c>
      <c r="C299">
        <f>COUNTIFS(AnalizaCzyste[Wartość wykształcenia zdobywanego przez studentów ocenianej uczelni jest wysoka.],B299,AnalizaCzyste[Czy jesteś aktualnie pracownikiem administracyjnym uczelni wyższej?],"*"&amp;"Tak"&amp;"*")</f>
        <v>2</v>
      </c>
      <c r="D299">
        <f>PRODUCT(A299,C299)</f>
        <v>14</v>
      </c>
      <c r="E299" s="44">
        <f>(A299-$D$307)^2</f>
        <v>0.25</v>
      </c>
      <c r="F299">
        <f>PRODUCT(C299,E299)</f>
        <v>0.5</v>
      </c>
    </row>
    <row r="300" spans="1:7" x14ac:dyDescent="0.45">
      <c r="A300">
        <v>6</v>
      </c>
      <c r="B300" t="s">
        <v>150</v>
      </c>
      <c r="C300">
        <f>COUNTIFS(AnalizaCzyste[Wartość wykształcenia zdobywanego przez studentów ocenianej uczelni jest wysoka.],B300,AnalizaCzyste[Czy jesteś aktualnie pracownikiem administracyjnym uczelni wyższej?],"*"&amp;"Tak"&amp;"*")</f>
        <v>2</v>
      </c>
      <c r="D300">
        <f t="shared" ref="D300:D306" si="78">PRODUCT(A300,C300)</f>
        <v>12</v>
      </c>
      <c r="E300" s="44">
        <f t="shared" ref="E300:E305" si="79">(A300-$D$307)^2</f>
        <v>0.25</v>
      </c>
      <c r="F300">
        <f t="shared" ref="F300:F305" si="80">PRODUCT(C300,E300)</f>
        <v>0.5</v>
      </c>
    </row>
    <row r="301" spans="1:7" x14ac:dyDescent="0.45">
      <c r="A301">
        <v>5</v>
      </c>
      <c r="B301" t="s">
        <v>162</v>
      </c>
      <c r="C301">
        <f>COUNTIFS(AnalizaCzyste[Wartość wykształcenia zdobywanego przez studentów ocenianej uczelni jest wysoka.],B301,AnalizaCzyste[Czy jesteś aktualnie pracownikiem administracyjnym uczelni wyższej?],"*"&amp;"Tak"&amp;"*")</f>
        <v>0</v>
      </c>
      <c r="D301">
        <f t="shared" si="78"/>
        <v>0</v>
      </c>
      <c r="E301" s="44">
        <f t="shared" si="79"/>
        <v>2.25</v>
      </c>
      <c r="F301">
        <f t="shared" si="80"/>
        <v>0</v>
      </c>
    </row>
    <row r="302" spans="1:7" x14ac:dyDescent="0.45">
      <c r="A302">
        <v>4</v>
      </c>
      <c r="B302" t="s">
        <v>151</v>
      </c>
      <c r="C302">
        <f>COUNTIFS(AnalizaCzyste[Wartość wykształcenia zdobywanego przez studentów ocenianej uczelni jest wysoka.],B302,AnalizaCzyste[Czy jesteś aktualnie pracownikiem administracyjnym uczelni wyższej?],"*"&amp;"Tak"&amp;"*")</f>
        <v>0</v>
      </c>
      <c r="D302">
        <f t="shared" si="78"/>
        <v>0</v>
      </c>
      <c r="E302" s="44">
        <f t="shared" si="79"/>
        <v>6.25</v>
      </c>
      <c r="F302">
        <f t="shared" si="80"/>
        <v>0</v>
      </c>
    </row>
    <row r="303" spans="1:7" x14ac:dyDescent="0.45">
      <c r="A303">
        <v>3</v>
      </c>
      <c r="B303" t="s">
        <v>128</v>
      </c>
      <c r="C303">
        <f>COUNTIFS(AnalizaCzyste[Wartość wykształcenia zdobywanego przez studentów ocenianej uczelni jest wysoka.],B303,AnalizaCzyste[Czy jesteś aktualnie pracownikiem administracyjnym uczelni wyższej?],"*"&amp;"Tak"&amp;"*")</f>
        <v>0</v>
      </c>
      <c r="D303">
        <f t="shared" si="78"/>
        <v>0</v>
      </c>
      <c r="E303" s="44">
        <f t="shared" si="79"/>
        <v>12.25</v>
      </c>
      <c r="F303">
        <f t="shared" si="80"/>
        <v>0</v>
      </c>
    </row>
    <row r="304" spans="1:7" x14ac:dyDescent="0.45">
      <c r="A304">
        <v>2</v>
      </c>
      <c r="B304" t="s">
        <v>236</v>
      </c>
      <c r="C304">
        <f>COUNTIFS(AnalizaCzyste[Wartość wykształcenia zdobywanego przez studentów ocenianej uczelni jest wysoka.],B304,AnalizaCzyste[Czy jesteś aktualnie pracownikiem administracyjnym uczelni wyższej?],"*"&amp;"Tak"&amp;"*")</f>
        <v>0</v>
      </c>
      <c r="D304">
        <f t="shared" si="78"/>
        <v>0</v>
      </c>
      <c r="E304" s="44">
        <f t="shared" si="79"/>
        <v>20.25</v>
      </c>
      <c r="F304">
        <f t="shared" si="80"/>
        <v>0</v>
      </c>
    </row>
    <row r="305" spans="1:7" x14ac:dyDescent="0.45">
      <c r="A305">
        <v>1</v>
      </c>
      <c r="B305" t="s">
        <v>129</v>
      </c>
      <c r="C305">
        <f>COUNTIFS(AnalizaCzyste[Wartość wykształcenia zdobywanego przez studentów ocenianej uczelni jest wysoka.],B305,AnalizaCzyste[Czy jesteś aktualnie pracownikiem administracyjnym uczelni wyższej?],"*"&amp;"Tak"&amp;"*")</f>
        <v>0</v>
      </c>
      <c r="D305">
        <f t="shared" si="78"/>
        <v>0</v>
      </c>
      <c r="E305" s="44">
        <f t="shared" si="79"/>
        <v>30.25</v>
      </c>
      <c r="F305">
        <f t="shared" si="80"/>
        <v>0</v>
      </c>
    </row>
    <row r="306" spans="1:7" x14ac:dyDescent="0.45">
      <c r="A306" t="s">
        <v>2329</v>
      </c>
      <c r="B306" t="s">
        <v>132</v>
      </c>
      <c r="C306">
        <f>COUNTIFS(AnalizaCzyste[Wartość wykształcenia zdobywanego przez studentów ocenianej uczelni jest wysoka.],B306,AnalizaCzyste[Czy jesteś aktualnie pracownikiem administracyjnym uczelni wyższej?],"*"&amp;"Tak"&amp;"*")</f>
        <v>0</v>
      </c>
      <c r="D306">
        <f t="shared" si="78"/>
        <v>0</v>
      </c>
    </row>
    <row r="307" spans="1:7" x14ac:dyDescent="0.45">
      <c r="B307" s="20" t="s">
        <v>2351</v>
      </c>
      <c r="C307" s="29">
        <f>SUM(C299:C306)</f>
        <v>4</v>
      </c>
      <c r="D307" s="44">
        <f>SUM(D299:D305)/C308</f>
        <v>6.5</v>
      </c>
      <c r="E307" s="20" t="s">
        <v>2353</v>
      </c>
      <c r="F307" s="44">
        <f>SUM(F299:F306)/(C308-1)</f>
        <v>0.33333333333333331</v>
      </c>
      <c r="G307" s="20" t="s">
        <v>2349</v>
      </c>
    </row>
    <row r="308" spans="1:7" x14ac:dyDescent="0.45">
      <c r="B308" s="20" t="s">
        <v>2352</v>
      </c>
      <c r="C308">
        <f>C307-C306</f>
        <v>4</v>
      </c>
      <c r="D308" s="33">
        <f>D307/7</f>
        <v>0.9285714285714286</v>
      </c>
      <c r="F308" s="44">
        <f>F307^(1/2)</f>
        <v>0.57735026918962573</v>
      </c>
      <c r="G308" t="s">
        <v>2404</v>
      </c>
    </row>
    <row r="309" spans="1:7" x14ac:dyDescent="0.45">
      <c r="B309" s="20"/>
      <c r="D309" s="33"/>
      <c r="F309" s="44"/>
    </row>
    <row r="310" spans="1:7" x14ac:dyDescent="0.45">
      <c r="A310" s="29" t="s">
        <v>2378</v>
      </c>
      <c r="C310" t="s">
        <v>2348</v>
      </c>
      <c r="E310" s="20" t="s">
        <v>2362</v>
      </c>
      <c r="F310" s="20" t="s">
        <v>2363</v>
      </c>
    </row>
    <row r="311" spans="1:7" x14ac:dyDescent="0.45">
      <c r="A311">
        <v>7</v>
      </c>
      <c r="B311" t="s">
        <v>169</v>
      </c>
      <c r="C311">
        <f>COUNTIFS(AnalizaCzyste[Zdobyte na ocenianej uczelni wykształcenie ma pozytywny wpływ na zwiększenie zarobków absolwentów.],B311,AnalizaCzyste[Czy jesteś aktualnie pracownikiem administracyjnym uczelni wyższej?],"*"&amp;"Tak"&amp;"*")</f>
        <v>2</v>
      </c>
      <c r="D311">
        <f>PRODUCT(A311,C311)</f>
        <v>14</v>
      </c>
      <c r="E311" s="44">
        <f>(A311-$D$319)^2</f>
        <v>0.25</v>
      </c>
      <c r="F311">
        <f>PRODUCT(C311,E311)</f>
        <v>0.5</v>
      </c>
    </row>
    <row r="312" spans="1:7" x14ac:dyDescent="0.45">
      <c r="A312">
        <v>6</v>
      </c>
      <c r="B312" t="s">
        <v>150</v>
      </c>
      <c r="C312">
        <f>COUNTIFS(AnalizaCzyste[Zdobyte na ocenianej uczelni wykształcenie ma pozytywny wpływ na zwiększenie zarobków absolwentów.],B312,AnalizaCzyste[Czy jesteś aktualnie pracownikiem administracyjnym uczelni wyższej?],"*"&amp;"Tak"&amp;"*")</f>
        <v>2</v>
      </c>
      <c r="D312">
        <f t="shared" ref="D312:D318" si="81">PRODUCT(A312,C312)</f>
        <v>12</v>
      </c>
      <c r="E312" s="44">
        <f t="shared" ref="E312:E317" si="82">(A312-$D$319)^2</f>
        <v>0.25</v>
      </c>
      <c r="F312">
        <f t="shared" ref="F312:F317" si="83">PRODUCT(C312,E312)</f>
        <v>0.5</v>
      </c>
    </row>
    <row r="313" spans="1:7" x14ac:dyDescent="0.45">
      <c r="A313">
        <v>5</v>
      </c>
      <c r="B313" t="s">
        <v>162</v>
      </c>
      <c r="C313">
        <f>COUNTIFS(AnalizaCzyste[Zdobyte na ocenianej uczelni wykształcenie ma pozytywny wpływ na zwiększenie zarobków absolwentów.],B313,AnalizaCzyste[Czy jesteś aktualnie pracownikiem administracyjnym uczelni wyższej?],"*"&amp;"Tak"&amp;"*")</f>
        <v>0</v>
      </c>
      <c r="D313">
        <f t="shared" si="81"/>
        <v>0</v>
      </c>
      <c r="E313" s="44">
        <f t="shared" si="82"/>
        <v>2.25</v>
      </c>
      <c r="F313">
        <f t="shared" si="83"/>
        <v>0</v>
      </c>
    </row>
    <row r="314" spans="1:7" x14ac:dyDescent="0.45">
      <c r="A314">
        <v>4</v>
      </c>
      <c r="B314" t="s">
        <v>151</v>
      </c>
      <c r="C314">
        <f>COUNTIFS(AnalizaCzyste[Zdobyte na ocenianej uczelni wykształcenie ma pozytywny wpływ na zwiększenie zarobków absolwentów.],B314,AnalizaCzyste[Czy jesteś aktualnie pracownikiem administracyjnym uczelni wyższej?],"*"&amp;"Tak"&amp;"*")</f>
        <v>0</v>
      </c>
      <c r="D314">
        <f t="shared" si="81"/>
        <v>0</v>
      </c>
      <c r="E314" s="44">
        <f t="shared" si="82"/>
        <v>6.25</v>
      </c>
      <c r="F314">
        <f t="shared" si="83"/>
        <v>0</v>
      </c>
    </row>
    <row r="315" spans="1:7" x14ac:dyDescent="0.45">
      <c r="A315">
        <v>3</v>
      </c>
      <c r="B315" t="s">
        <v>128</v>
      </c>
      <c r="C315">
        <f>COUNTIFS(AnalizaCzyste[Zdobyte na ocenianej uczelni wykształcenie ma pozytywny wpływ na zwiększenie zarobków absolwentów.],B315,AnalizaCzyste[Czy jesteś aktualnie pracownikiem administracyjnym uczelni wyższej?],"*"&amp;"Tak"&amp;"*")</f>
        <v>0</v>
      </c>
      <c r="D315">
        <f t="shared" si="81"/>
        <v>0</v>
      </c>
      <c r="E315" s="44">
        <f t="shared" si="82"/>
        <v>12.25</v>
      </c>
      <c r="F315">
        <f t="shared" si="83"/>
        <v>0</v>
      </c>
    </row>
    <row r="316" spans="1:7" x14ac:dyDescent="0.45">
      <c r="A316">
        <v>2</v>
      </c>
      <c r="B316" t="s">
        <v>236</v>
      </c>
      <c r="C316">
        <f>COUNTIFS(AnalizaCzyste[Zdobyte na ocenianej uczelni wykształcenie ma pozytywny wpływ na zwiększenie zarobków absolwentów.],B316,AnalizaCzyste[Czy jesteś aktualnie pracownikiem administracyjnym uczelni wyższej?],"*"&amp;"Tak"&amp;"*")</f>
        <v>0</v>
      </c>
      <c r="D316">
        <f t="shared" si="81"/>
        <v>0</v>
      </c>
      <c r="E316" s="44">
        <f t="shared" si="82"/>
        <v>20.25</v>
      </c>
      <c r="F316">
        <f t="shared" si="83"/>
        <v>0</v>
      </c>
    </row>
    <row r="317" spans="1:7" x14ac:dyDescent="0.45">
      <c r="A317">
        <v>1</v>
      </c>
      <c r="B317" t="s">
        <v>129</v>
      </c>
      <c r="C317">
        <f>COUNTIFS(AnalizaCzyste[Zdobyte na ocenianej uczelni wykształcenie ma pozytywny wpływ na zwiększenie zarobków absolwentów.],B317,AnalizaCzyste[Czy jesteś aktualnie pracownikiem administracyjnym uczelni wyższej?],"*"&amp;"Tak"&amp;"*")</f>
        <v>0</v>
      </c>
      <c r="D317">
        <f t="shared" si="81"/>
        <v>0</v>
      </c>
      <c r="E317" s="44">
        <f t="shared" si="82"/>
        <v>30.25</v>
      </c>
      <c r="F317">
        <f t="shared" si="83"/>
        <v>0</v>
      </c>
    </row>
    <row r="318" spans="1:7" x14ac:dyDescent="0.45">
      <c r="A318" t="s">
        <v>2329</v>
      </c>
      <c r="B318" t="s">
        <v>132</v>
      </c>
      <c r="C318">
        <f>COUNTIFS(AnalizaCzyste[Zdobyte na ocenianej uczelni wykształcenie ma pozytywny wpływ na zwiększenie zarobków absolwentów.],B318,AnalizaCzyste[Czy jesteś aktualnie pracownikiem administracyjnym uczelni wyższej?],"*"&amp;"Tak"&amp;"*")</f>
        <v>0</v>
      </c>
      <c r="D318">
        <f t="shared" si="81"/>
        <v>0</v>
      </c>
    </row>
    <row r="319" spans="1:7" x14ac:dyDescent="0.45">
      <c r="B319" s="20" t="s">
        <v>2351</v>
      </c>
      <c r="C319" s="29">
        <f>SUM(C311:C318)</f>
        <v>4</v>
      </c>
      <c r="D319" s="44">
        <f>SUM(D311:D317)/C320</f>
        <v>6.5</v>
      </c>
      <c r="E319" s="20" t="s">
        <v>2353</v>
      </c>
      <c r="F319" s="44">
        <f>SUM(F311:F318)/(C320-1)</f>
        <v>0.33333333333333331</v>
      </c>
      <c r="G319" s="20" t="s">
        <v>2349</v>
      </c>
    </row>
    <row r="320" spans="1:7" x14ac:dyDescent="0.45">
      <c r="B320" s="20" t="s">
        <v>2352</v>
      </c>
      <c r="C320">
        <f>C319-C318</f>
        <v>4</v>
      </c>
      <c r="D320" s="33">
        <f>D319/7</f>
        <v>0.9285714285714286</v>
      </c>
      <c r="F320" s="44">
        <f>F319^(1/2)</f>
        <v>0.57735026918962573</v>
      </c>
      <c r="G320" t="s">
        <v>2404</v>
      </c>
    </row>
    <row r="322" spans="1:15" x14ac:dyDescent="0.45">
      <c r="A322" s="29" t="s">
        <v>2356</v>
      </c>
      <c r="C322" t="s">
        <v>2348</v>
      </c>
      <c r="E322" s="20" t="s">
        <v>2362</v>
      </c>
      <c r="F322" s="20" t="s">
        <v>2363</v>
      </c>
      <c r="G322" s="20" t="s">
        <v>2430</v>
      </c>
      <c r="H322" s="20" t="s">
        <v>2418</v>
      </c>
      <c r="I322" s="20" t="s">
        <v>2419</v>
      </c>
      <c r="J322" s="20" t="s">
        <v>2420</v>
      </c>
      <c r="K322" s="20" t="s">
        <v>2421</v>
      </c>
      <c r="L322" s="20" t="s">
        <v>2422</v>
      </c>
      <c r="M322" s="20" t="s">
        <v>2423</v>
      </c>
      <c r="N322" s="20" t="s">
        <v>2424</v>
      </c>
    </row>
    <row r="323" spans="1:15" x14ac:dyDescent="0.45">
      <c r="A323">
        <v>7</v>
      </c>
      <c r="B323" t="s">
        <v>169</v>
      </c>
      <c r="C323">
        <f>COUNTIFS(AnalizaCzyste[Moja satysfakcja z pracy na ocenianej uczelni jest wysoka.42],B323,AnalizaCzyste[Czy jesteś aktualnie pracownikiem naukowym lub dydaktycznym uczelni wyższej?],"*"&amp;"Tak"&amp;"*")</f>
        <v>5</v>
      </c>
      <c r="D323">
        <f>PRODUCT(A323,C323)</f>
        <v>35</v>
      </c>
      <c r="E323" s="44">
        <f>(A323-$D$331)^2</f>
        <v>0.49000000000000027</v>
      </c>
      <c r="F323">
        <f>PRODUCT(C323,E323)</f>
        <v>2.4500000000000015</v>
      </c>
      <c r="G323" s="44">
        <f>VLOOKUP(A323,TabeleGrup!$C$45:$D$51,2,0)</f>
        <v>6.9999999999999991</v>
      </c>
      <c r="H323" s="44">
        <f>(G323-$D$331)/$F$332</f>
        <v>0.85026514668786091</v>
      </c>
      <c r="I323" s="44">
        <f>NORMDIST(H323,0,1,1)</f>
        <v>0.80241115534308094</v>
      </c>
      <c r="J323" s="44">
        <f>I323-I324</f>
        <v>0.3780997244510198</v>
      </c>
      <c r="K323" s="44">
        <f>$C$332*J323</f>
        <v>3.780997244510198</v>
      </c>
      <c r="L323" s="44">
        <f>C323-K323</f>
        <v>1.219002755489802</v>
      </c>
      <c r="M323" s="44">
        <f>L323^2</f>
        <v>1.4859677178917299</v>
      </c>
      <c r="N323" s="44">
        <f>M323/K323</f>
        <v>0.39300946861288355</v>
      </c>
    </row>
    <row r="324" spans="1:15" x14ac:dyDescent="0.45">
      <c r="A324">
        <v>6</v>
      </c>
      <c r="B324" t="s">
        <v>150</v>
      </c>
      <c r="C324">
        <f>COUNTIFS(AnalizaCzyste[Moja satysfakcja z pracy na ocenianej uczelni jest wysoka.42],B324,AnalizaCzyste[Czy jesteś aktualnie pracownikiem naukowym lub dydaktycznym uczelni wyższej?],"*"&amp;"Tak"&amp;"*")</f>
        <v>3</v>
      </c>
      <c r="D324">
        <f t="shared" ref="D324:D330" si="84">PRODUCT(A324,C324)</f>
        <v>18</v>
      </c>
      <c r="E324" s="44">
        <f t="shared" ref="E324:E329" si="85">(A324-$D$331)^2</f>
        <v>8.99999999999999E-2</v>
      </c>
      <c r="F324">
        <f t="shared" ref="F324:F329" si="86">PRODUCT(C324,E324)</f>
        <v>0.26999999999999968</v>
      </c>
      <c r="G324" s="44">
        <f>VLOOKUP(A324,TabeleGrup!$C$45:$D$51,2,0)</f>
        <v>6.1428571428571423</v>
      </c>
      <c r="H324" s="44">
        <f t="shared" ref="H324:H329" si="87">(G324-$D$331)/$F$332</f>
        <v>-0.19087584925645917</v>
      </c>
      <c r="I324" s="44">
        <f t="shared" ref="I324:I329" si="88">NORMDIST(H324,0,1,1)</f>
        <v>0.42431143089206114</v>
      </c>
      <c r="J324" s="44">
        <f t="shared" ref="J324:J329" si="89">I324-I325</f>
        <v>0.31534003506177699</v>
      </c>
      <c r="K324" s="44">
        <f t="shared" ref="K324:K329" si="90">$C$332*J324</f>
        <v>3.1534003506177699</v>
      </c>
      <c r="L324" s="44">
        <f t="shared" ref="L324:L329" si="91">C324-K324</f>
        <v>-0.15340035061776991</v>
      </c>
      <c r="M324" s="44">
        <f t="shared" ref="M324:M329" si="92">L324^2</f>
        <v>2.3531667569654743E-2</v>
      </c>
      <c r="N324" s="44">
        <f t="shared" ref="N324:N329" si="93">M324/K324</f>
        <v>7.4623152639165368E-3</v>
      </c>
    </row>
    <row r="325" spans="1:15" x14ac:dyDescent="0.45">
      <c r="A325">
        <v>5</v>
      </c>
      <c r="B325" t="s">
        <v>162</v>
      </c>
      <c r="C325">
        <f>COUNTIFS(AnalizaCzyste[Moja satysfakcja z pracy na ocenianej uczelni jest wysoka.42],B325,AnalizaCzyste[Czy jesteś aktualnie pracownikiem naukowym lub dydaktycznym uczelni wyższej?],"*"&amp;"Tak"&amp;"*")</f>
        <v>2</v>
      </c>
      <c r="D325">
        <f t="shared" si="84"/>
        <v>10</v>
      </c>
      <c r="E325" s="44">
        <f t="shared" si="85"/>
        <v>1.6899999999999995</v>
      </c>
      <c r="F325">
        <f t="shared" si="86"/>
        <v>3.379999999999999</v>
      </c>
      <c r="G325" s="44">
        <f>VLOOKUP(A325,TabeleGrup!$C$45:$D$51,2,0)</f>
        <v>5.2857142857142856</v>
      </c>
      <c r="H325" s="44">
        <f t="shared" si="87"/>
        <v>-1.2320168452007794</v>
      </c>
      <c r="I325" s="44">
        <f t="shared" si="88"/>
        <v>0.10897139583028417</v>
      </c>
      <c r="J325" s="44">
        <f t="shared" si="89"/>
        <v>9.7463060908031821E-2</v>
      </c>
      <c r="K325" s="44">
        <f t="shared" si="90"/>
        <v>0.97463060908031818</v>
      </c>
      <c r="L325" s="44">
        <f t="shared" si="91"/>
        <v>1.0253693909196819</v>
      </c>
      <c r="M325" s="44">
        <f t="shared" si="92"/>
        <v>1.0513823878349995</v>
      </c>
      <c r="N325" s="44">
        <f t="shared" si="93"/>
        <v>1.0787496083537802</v>
      </c>
    </row>
    <row r="326" spans="1:15" x14ac:dyDescent="0.45">
      <c r="A326">
        <v>4</v>
      </c>
      <c r="B326" t="s">
        <v>151</v>
      </c>
      <c r="C326">
        <f>COUNTIFS(AnalizaCzyste[Moja satysfakcja z pracy na ocenianej uczelni jest wysoka.42],B326,AnalizaCzyste[Czy jesteś aktualnie pracownikiem naukowym lub dydaktycznym uczelni wyższej?],"*"&amp;"Tak"&amp;"*")</f>
        <v>0</v>
      </c>
      <c r="D326">
        <f t="shared" si="84"/>
        <v>0</v>
      </c>
      <c r="E326" s="44">
        <f t="shared" si="85"/>
        <v>5.2899999999999991</v>
      </c>
      <c r="F326">
        <f t="shared" si="86"/>
        <v>0</v>
      </c>
      <c r="G326" s="44">
        <f>VLOOKUP(A326,TabeleGrup!$C$45:$D$51,2,0)</f>
        <v>4.4285714285714288</v>
      </c>
      <c r="H326" s="44">
        <f t="shared" si="87"/>
        <v>-2.2731578411450992</v>
      </c>
      <c r="I326" s="44">
        <f t="shared" si="88"/>
        <v>1.1508334922252355E-2</v>
      </c>
      <c r="J326" s="44">
        <f t="shared" si="89"/>
        <v>1.104896862086366E-2</v>
      </c>
      <c r="K326" s="44">
        <f t="shared" si="90"/>
        <v>0.1104896862086366</v>
      </c>
      <c r="L326" s="44">
        <f t="shared" si="91"/>
        <v>-0.1104896862086366</v>
      </c>
      <c r="M326" s="44">
        <f t="shared" si="92"/>
        <v>1.220797075848298E-2</v>
      </c>
      <c r="N326" s="44">
        <f t="shared" si="93"/>
        <v>0.1104896862086366</v>
      </c>
    </row>
    <row r="327" spans="1:15" x14ac:dyDescent="0.45">
      <c r="A327">
        <v>3</v>
      </c>
      <c r="B327" t="s">
        <v>128</v>
      </c>
      <c r="C327">
        <f>COUNTIFS(AnalizaCzyste[Moja satysfakcja z pracy na ocenianej uczelni jest wysoka.42],B327,AnalizaCzyste[Czy jesteś aktualnie pracownikiem naukowym lub dydaktycznym uczelni wyższej?],"*"&amp;"Tak"&amp;"*")</f>
        <v>0</v>
      </c>
      <c r="D327">
        <f t="shared" si="84"/>
        <v>0</v>
      </c>
      <c r="E327" s="44">
        <f t="shared" si="85"/>
        <v>10.889999999999999</v>
      </c>
      <c r="F327">
        <f t="shared" si="86"/>
        <v>0</v>
      </c>
      <c r="G327" s="44">
        <f>VLOOKUP(A327,TabeleGrup!$C$45:$D$51,2,0)</f>
        <v>3.5714285714285716</v>
      </c>
      <c r="H327" s="44">
        <f t="shared" si="87"/>
        <v>-3.31429883708942</v>
      </c>
      <c r="I327" s="44">
        <f t="shared" si="88"/>
        <v>4.593663013886945E-4</v>
      </c>
      <c r="J327" s="44">
        <f t="shared" si="89"/>
        <v>4.5272630181776986E-4</v>
      </c>
      <c r="K327" s="44">
        <f t="shared" si="90"/>
        <v>4.527263018177699E-3</v>
      </c>
      <c r="L327" s="44">
        <f t="shared" si="91"/>
        <v>-4.527263018177699E-3</v>
      </c>
      <c r="M327" s="44">
        <f t="shared" si="92"/>
        <v>2.049611043575945E-5</v>
      </c>
      <c r="N327" s="44">
        <f t="shared" si="93"/>
        <v>4.527263018177699E-3</v>
      </c>
    </row>
    <row r="328" spans="1:15" x14ac:dyDescent="0.45">
      <c r="A328">
        <v>2</v>
      </c>
      <c r="B328" t="s">
        <v>236</v>
      </c>
      <c r="C328">
        <f>COUNTIFS(AnalizaCzyste[Moja satysfakcja z pracy na ocenianej uczelni jest wysoka.42],B328,AnalizaCzyste[Czy jesteś aktualnie pracownikiem naukowym lub dydaktycznym uczelni wyższej?],"*"&amp;"Tak"&amp;"*")</f>
        <v>0</v>
      </c>
      <c r="D328">
        <f t="shared" si="84"/>
        <v>0</v>
      </c>
      <c r="E328" s="44">
        <f t="shared" si="85"/>
        <v>18.489999999999998</v>
      </c>
      <c r="F328">
        <f t="shared" si="86"/>
        <v>0</v>
      </c>
      <c r="G328" s="44">
        <f>VLOOKUP(A328,TabeleGrup!$C$45:$D$51,2,0)</f>
        <v>2.7142857142857144</v>
      </c>
      <c r="H328" s="44">
        <f t="shared" si="87"/>
        <v>-4.3554398330337412</v>
      </c>
      <c r="I328" s="44">
        <f t="shared" si="88"/>
        <v>6.6399995709246278E-6</v>
      </c>
      <c r="J328" s="44">
        <f t="shared" si="89"/>
        <v>6.6060381609071658E-6</v>
      </c>
      <c r="K328" s="44">
        <f t="shared" si="90"/>
        <v>6.6060381609071655E-5</v>
      </c>
      <c r="L328" s="44">
        <f t="shared" si="91"/>
        <v>-6.6060381609071655E-5</v>
      </c>
      <c r="M328" s="44">
        <f t="shared" si="92"/>
        <v>4.3639740183361724E-9</v>
      </c>
      <c r="N328" s="44">
        <f t="shared" si="93"/>
        <v>6.6060381609071655E-5</v>
      </c>
    </row>
    <row r="329" spans="1:15" x14ac:dyDescent="0.45">
      <c r="A329">
        <v>1</v>
      </c>
      <c r="B329" t="s">
        <v>129</v>
      </c>
      <c r="C329">
        <f>COUNTIFS(AnalizaCzyste[Moja satysfakcja z pracy na ocenianej uczelni jest wysoka.42],B329,AnalizaCzyste[Czy jesteś aktualnie pracownikiem naukowym lub dydaktycznym uczelni wyższej?],"*"&amp;"Tak"&amp;"*")</f>
        <v>0</v>
      </c>
      <c r="D329">
        <f t="shared" si="84"/>
        <v>0</v>
      </c>
      <c r="E329" s="44">
        <f t="shared" si="85"/>
        <v>28.09</v>
      </c>
      <c r="F329">
        <f t="shared" si="86"/>
        <v>0</v>
      </c>
      <c r="G329" s="44">
        <f>VLOOKUP(A329,TabeleGrup!$C$45:$D$51,2,0)</f>
        <v>1.8571428571428572</v>
      </c>
      <c r="H329" s="44">
        <f t="shared" si="87"/>
        <v>-5.3965808289780623</v>
      </c>
      <c r="I329" s="44">
        <f t="shared" si="88"/>
        <v>3.3961410017462233E-8</v>
      </c>
      <c r="J329" s="44">
        <f t="shared" si="89"/>
        <v>3.3961410017462233E-8</v>
      </c>
      <c r="K329" s="44">
        <f t="shared" si="90"/>
        <v>3.3961410017462231E-7</v>
      </c>
      <c r="L329" s="44">
        <f t="shared" si="91"/>
        <v>-3.3961410017462231E-7</v>
      </c>
      <c r="M329" s="44">
        <f t="shared" si="92"/>
        <v>1.153377370374184E-13</v>
      </c>
      <c r="N329" s="44">
        <f t="shared" si="93"/>
        <v>3.3961410017462231E-7</v>
      </c>
      <c r="O329" s="20" t="s">
        <v>2425</v>
      </c>
    </row>
    <row r="330" spans="1:15" x14ac:dyDescent="0.45">
      <c r="A330" t="s">
        <v>2329</v>
      </c>
      <c r="B330" t="s">
        <v>132</v>
      </c>
      <c r="C330">
        <f>COUNTIFS(AnalizaCzyste[Moja satysfakcja z pracy na ocenianej uczelni jest wysoka.42],B330,AnalizaCzyste[Czy jesteś aktualnie pracownikiem naukowym lub dydaktycznym uczelni wyższej?],"*"&amp;"Tak"&amp;"*")</f>
        <v>0</v>
      </c>
      <c r="D330">
        <f t="shared" si="84"/>
        <v>0</v>
      </c>
      <c r="J330" s="47">
        <f>SUM(J323:J329)</f>
        <v>0.80241115534308105</v>
      </c>
      <c r="K330" s="47">
        <f>SUM(K323:K329)</f>
        <v>8.0241115534308101</v>
      </c>
      <c r="M330" s="20" t="s">
        <v>2426</v>
      </c>
      <c r="N330" s="48">
        <f>SUM(N323:N329)</f>
        <v>1.594304741453104</v>
      </c>
      <c r="O330">
        <f>CHIINV(I333,7-3)</f>
        <v>9.4877290367811575</v>
      </c>
    </row>
    <row r="331" spans="1:15" x14ac:dyDescent="0.45">
      <c r="B331" s="20" t="s">
        <v>2351</v>
      </c>
      <c r="C331" s="29">
        <f>SUM(C323:C330)</f>
        <v>10</v>
      </c>
      <c r="D331" s="44">
        <f>SUM(D323:D329)/C332</f>
        <v>6.3</v>
      </c>
      <c r="E331" s="20" t="s">
        <v>2353</v>
      </c>
      <c r="F331" s="44">
        <f>SUM(F323:F330)/(C332-1)</f>
        <v>0.6777777777777777</v>
      </c>
      <c r="H331" s="20" t="s">
        <v>2405</v>
      </c>
      <c r="N331" s="20" t="s">
        <v>2428</v>
      </c>
    </row>
    <row r="332" spans="1:15" x14ac:dyDescent="0.45">
      <c r="B332" s="20" t="s">
        <v>2352</v>
      </c>
      <c r="C332">
        <f>C331-C330</f>
        <v>10</v>
      </c>
      <c r="D332" s="33">
        <f>D331/7</f>
        <v>0.9</v>
      </c>
      <c r="F332" s="44">
        <f>F331^(1/2)</f>
        <v>0.82327260234856459</v>
      </c>
      <c r="G332" t="s">
        <v>2404</v>
      </c>
    </row>
    <row r="333" spans="1:15" x14ac:dyDescent="0.45">
      <c r="B333" s="20"/>
      <c r="D333" s="51" t="str">
        <f>VLOOKUP(D331,InterpretacjaŚredniej[],2,1)</f>
        <v>zdecydowanie się zgadzam</v>
      </c>
      <c r="E333">
        <f>D331-(K333*F332/SQRT(C332))</f>
        <v>5.7110662584135135</v>
      </c>
      <c r="F333" s="45" t="str">
        <f>"&lt; m &lt;"</f>
        <v>&lt; m &lt;</v>
      </c>
      <c r="G333">
        <f>D331+(K333*F332/SQRT(C332))</f>
        <v>6.8889337415864862</v>
      </c>
      <c r="H333" t="s">
        <v>2407</v>
      </c>
      <c r="I333">
        <v>0.05</v>
      </c>
      <c r="J333" s="20" t="s">
        <v>2417</v>
      </c>
      <c r="K333">
        <f>VLOOKUP($C$332-1,Tabl_tStudenta[],5,0)</f>
        <v>2.2621571627982053</v>
      </c>
    </row>
    <row r="334" spans="1:15" x14ac:dyDescent="0.45">
      <c r="G334" s="42">
        <f>G333-E333</f>
        <v>1.1778674831729727</v>
      </c>
    </row>
    <row r="335" spans="1:15" x14ac:dyDescent="0.45">
      <c r="A335" s="29" t="s">
        <v>2379</v>
      </c>
      <c r="C335" t="s">
        <v>2348</v>
      </c>
      <c r="E335" s="20" t="s">
        <v>2362</v>
      </c>
      <c r="F335" s="20" t="s">
        <v>2363</v>
      </c>
    </row>
    <row r="336" spans="1:15" x14ac:dyDescent="0.45">
      <c r="A336">
        <v>7</v>
      </c>
      <c r="B336" t="s">
        <v>169</v>
      </c>
      <c r="C336">
        <f>COUNTIFS(AnalizaCzyste[Atmosfera w zespole współpracowników jest dobra.43],B336,AnalizaCzyste[Czy jesteś aktualnie pracownikiem naukowym lub dydaktycznym uczelni wyższej?],"*"&amp;"Tak"&amp;"*")</f>
        <v>3</v>
      </c>
      <c r="D336">
        <f>PRODUCT(A336,C336)</f>
        <v>21</v>
      </c>
      <c r="E336" s="44">
        <f>(A336-$D$344)^2</f>
        <v>1.2099999999999993</v>
      </c>
      <c r="F336">
        <f>PRODUCT(C336,E336)</f>
        <v>3.6299999999999981</v>
      </c>
    </row>
    <row r="337" spans="1:7" x14ac:dyDescent="0.45">
      <c r="A337">
        <v>6</v>
      </c>
      <c r="B337" t="s">
        <v>150</v>
      </c>
      <c r="C337">
        <f>COUNTIFS(AnalizaCzyste[Atmosfera w zespole współpracowników jest dobra.43],B337,AnalizaCzyste[Czy jesteś aktualnie pracownikiem naukowym lub dydaktycznym uczelni wyższej?],"*"&amp;"Tak"&amp;"*")</f>
        <v>3</v>
      </c>
      <c r="D337">
        <f t="shared" ref="D337:D343" si="94">PRODUCT(A337,C337)</f>
        <v>18</v>
      </c>
      <c r="E337" s="44">
        <f t="shared" ref="E337:E342" si="95">(A337-$D$344)^2</f>
        <v>9.9999999999999291E-3</v>
      </c>
      <c r="F337">
        <f t="shared" ref="F337:F342" si="96">PRODUCT(C337,E337)</f>
        <v>2.9999999999999787E-2</v>
      </c>
    </row>
    <row r="338" spans="1:7" x14ac:dyDescent="0.45">
      <c r="A338">
        <v>5</v>
      </c>
      <c r="B338" t="s">
        <v>162</v>
      </c>
      <c r="C338">
        <f>COUNTIFS(AnalizaCzyste[Atmosfera w zespole współpracowników jest dobra.43],B338,AnalizaCzyste[Czy jesteś aktualnie pracownikiem naukowym lub dydaktycznym uczelni wyższej?],"*"&amp;"Tak"&amp;"*")</f>
        <v>4</v>
      </c>
      <c r="D338">
        <f t="shared" si="94"/>
        <v>20</v>
      </c>
      <c r="E338" s="44">
        <f t="shared" si="95"/>
        <v>0.81000000000000061</v>
      </c>
      <c r="F338">
        <f t="shared" si="96"/>
        <v>3.2400000000000024</v>
      </c>
    </row>
    <row r="339" spans="1:7" x14ac:dyDescent="0.45">
      <c r="A339">
        <v>4</v>
      </c>
      <c r="B339" t="s">
        <v>151</v>
      </c>
      <c r="C339">
        <f>COUNTIFS(AnalizaCzyste[Atmosfera w zespole współpracowników jest dobra.43],B339,AnalizaCzyste[Czy jesteś aktualnie pracownikiem naukowym lub dydaktycznym uczelni wyższej?],"*"&amp;"Tak"&amp;"*")</f>
        <v>0</v>
      </c>
      <c r="D339">
        <f t="shared" si="94"/>
        <v>0</v>
      </c>
      <c r="E339" s="44">
        <f t="shared" si="95"/>
        <v>3.6100000000000012</v>
      </c>
      <c r="F339">
        <f t="shared" si="96"/>
        <v>0</v>
      </c>
    </row>
    <row r="340" spans="1:7" x14ac:dyDescent="0.45">
      <c r="A340">
        <v>3</v>
      </c>
      <c r="B340" t="s">
        <v>128</v>
      </c>
      <c r="C340">
        <f>COUNTIFS(AnalizaCzyste[Atmosfera w zespole współpracowników jest dobra.43],B340,AnalizaCzyste[Czy jesteś aktualnie pracownikiem naukowym lub dydaktycznym uczelni wyższej?],"*"&amp;"Tak"&amp;"*")</f>
        <v>0</v>
      </c>
      <c r="D340">
        <f t="shared" si="94"/>
        <v>0</v>
      </c>
      <c r="E340" s="44">
        <f t="shared" si="95"/>
        <v>8.4100000000000019</v>
      </c>
      <c r="F340">
        <f t="shared" si="96"/>
        <v>0</v>
      </c>
    </row>
    <row r="341" spans="1:7" x14ac:dyDescent="0.45">
      <c r="A341">
        <v>2</v>
      </c>
      <c r="B341" t="s">
        <v>236</v>
      </c>
      <c r="C341">
        <f>COUNTIFS(AnalizaCzyste[Atmosfera w zespole współpracowników jest dobra.43],B341,AnalizaCzyste[Czy jesteś aktualnie pracownikiem naukowym lub dydaktycznym uczelni wyższej?],"*"&amp;"Tak"&amp;"*")</f>
        <v>0</v>
      </c>
      <c r="D341">
        <f t="shared" si="94"/>
        <v>0</v>
      </c>
      <c r="E341" s="44">
        <f t="shared" si="95"/>
        <v>15.210000000000003</v>
      </c>
      <c r="F341">
        <f t="shared" si="96"/>
        <v>0</v>
      </c>
    </row>
    <row r="342" spans="1:7" x14ac:dyDescent="0.45">
      <c r="A342">
        <v>1</v>
      </c>
      <c r="B342" t="s">
        <v>129</v>
      </c>
      <c r="C342">
        <f>COUNTIFS(AnalizaCzyste[Atmosfera w zespole współpracowników jest dobra.43],B342,AnalizaCzyste[Czy jesteś aktualnie pracownikiem naukowym lub dydaktycznym uczelni wyższej?],"*"&amp;"Tak"&amp;"*")</f>
        <v>0</v>
      </c>
      <c r="D342">
        <f t="shared" si="94"/>
        <v>0</v>
      </c>
      <c r="E342" s="44">
        <f t="shared" si="95"/>
        <v>24.010000000000005</v>
      </c>
      <c r="F342">
        <f t="shared" si="96"/>
        <v>0</v>
      </c>
    </row>
    <row r="343" spans="1:7" x14ac:dyDescent="0.45">
      <c r="A343" t="s">
        <v>2329</v>
      </c>
      <c r="B343" t="s">
        <v>132</v>
      </c>
      <c r="C343">
        <f>COUNTIFS(AnalizaCzyste[Atmosfera w zespole współpracowników jest dobra.43],B343,AnalizaCzyste[Czy jesteś aktualnie pracownikiem naukowym lub dydaktycznym uczelni wyższej?],"*"&amp;"Tak"&amp;"*")</f>
        <v>0</v>
      </c>
      <c r="D343">
        <f t="shared" si="94"/>
        <v>0</v>
      </c>
    </row>
    <row r="344" spans="1:7" x14ac:dyDescent="0.45">
      <c r="B344" s="20" t="s">
        <v>2351</v>
      </c>
      <c r="C344" s="29">
        <f>SUM(C336:C343)</f>
        <v>10</v>
      </c>
      <c r="D344" s="44">
        <f>SUM(D336:D342)/C345</f>
        <v>5.9</v>
      </c>
      <c r="E344" s="20" t="s">
        <v>2353</v>
      </c>
      <c r="F344" s="44">
        <f>SUM(F336:F343)/(C345-1)</f>
        <v>0.76666666666666672</v>
      </c>
      <c r="G344" s="20" t="s">
        <v>2349</v>
      </c>
    </row>
    <row r="345" spans="1:7" x14ac:dyDescent="0.45">
      <c r="B345" s="20" t="s">
        <v>2352</v>
      </c>
      <c r="C345">
        <f>C344-C343</f>
        <v>10</v>
      </c>
      <c r="D345" s="33">
        <f>D344/7</f>
        <v>0.84285714285714286</v>
      </c>
      <c r="F345" s="44">
        <f>F344^(1/2)</f>
        <v>0.87559503577091313</v>
      </c>
      <c r="G345" t="s">
        <v>2404</v>
      </c>
    </row>
    <row r="347" spans="1:7" x14ac:dyDescent="0.45">
      <c r="A347" s="29" t="s">
        <v>2380</v>
      </c>
      <c r="C347" t="s">
        <v>2348</v>
      </c>
      <c r="E347" s="20" t="s">
        <v>2362</v>
      </c>
      <c r="F347" s="20" t="s">
        <v>2363</v>
      </c>
    </row>
    <row r="348" spans="1:7" x14ac:dyDescent="0.45">
      <c r="A348">
        <v>7</v>
      </c>
      <c r="B348" t="s">
        <v>169</v>
      </c>
      <c r="C348">
        <f>COUNTIFS(AnalizaCzyste[Moje zarobki są satysfakcjonujące.44],B348,AnalizaCzyste[Czy jesteś aktualnie pracownikiem naukowym lub dydaktycznym uczelni wyższej?],"*"&amp;"Tak"&amp;"*")</f>
        <v>3</v>
      </c>
      <c r="D348">
        <f>PRODUCT(A348,C348)</f>
        <v>21</v>
      </c>
      <c r="E348" s="44">
        <f>(A348-$D$356)^2</f>
        <v>1.6899999999999995</v>
      </c>
      <c r="F348">
        <f>PRODUCT(C348,E348)</f>
        <v>5.0699999999999985</v>
      </c>
    </row>
    <row r="349" spans="1:7" x14ac:dyDescent="0.45">
      <c r="A349">
        <v>6</v>
      </c>
      <c r="B349" t="s">
        <v>150</v>
      </c>
      <c r="C349">
        <f>COUNTIFS(AnalizaCzyste[Moje zarobki są satysfakcjonujące.44],B349,AnalizaCzyste[Czy jesteś aktualnie pracownikiem naukowym lub dydaktycznym uczelni wyższej?],"*"&amp;"Tak"&amp;"*")</f>
        <v>4</v>
      </c>
      <c r="D349">
        <f t="shared" ref="D349:D355" si="97">PRODUCT(A349,C349)</f>
        <v>24</v>
      </c>
      <c r="E349" s="44">
        <f t="shared" ref="E349:E354" si="98">(A349-$D$356)^2</f>
        <v>8.99999999999999E-2</v>
      </c>
      <c r="F349">
        <f t="shared" ref="F349:F354" si="99">PRODUCT(C349,E349)</f>
        <v>0.3599999999999996</v>
      </c>
    </row>
    <row r="350" spans="1:7" x14ac:dyDescent="0.45">
      <c r="A350">
        <v>5</v>
      </c>
      <c r="B350" t="s">
        <v>162</v>
      </c>
      <c r="C350">
        <f>COUNTIFS(AnalizaCzyste[Moje zarobki są satysfakcjonujące.44],B350,AnalizaCzyste[Czy jesteś aktualnie pracownikiem naukowym lub dydaktycznym uczelni wyższej?],"*"&amp;"Tak"&amp;"*")</f>
        <v>1</v>
      </c>
      <c r="D350">
        <f t="shared" si="97"/>
        <v>5</v>
      </c>
      <c r="E350" s="44">
        <f t="shared" si="98"/>
        <v>0.49000000000000027</v>
      </c>
      <c r="F350">
        <f t="shared" si="99"/>
        <v>0.49000000000000027</v>
      </c>
    </row>
    <row r="351" spans="1:7" x14ac:dyDescent="0.45">
      <c r="A351">
        <v>4</v>
      </c>
      <c r="B351" t="s">
        <v>151</v>
      </c>
      <c r="C351">
        <f>COUNTIFS(AnalizaCzyste[Moje zarobki są satysfakcjonujące.44],B351,AnalizaCzyste[Czy jesteś aktualnie pracownikiem naukowym lub dydaktycznym uczelni wyższej?],"*"&amp;"Tak"&amp;"*")</f>
        <v>1</v>
      </c>
      <c r="D351">
        <f t="shared" si="97"/>
        <v>4</v>
      </c>
      <c r="E351" s="44">
        <f t="shared" si="98"/>
        <v>2.8900000000000006</v>
      </c>
      <c r="F351">
        <f t="shared" si="99"/>
        <v>2.8900000000000006</v>
      </c>
    </row>
    <row r="352" spans="1:7" x14ac:dyDescent="0.45">
      <c r="A352">
        <v>3</v>
      </c>
      <c r="B352" t="s">
        <v>128</v>
      </c>
      <c r="C352">
        <f>COUNTIFS(AnalizaCzyste[Moje zarobki są satysfakcjonujące.44],B352,AnalizaCzyste[Czy jesteś aktualnie pracownikiem naukowym lub dydaktycznym uczelni wyższej?],"*"&amp;"Tak"&amp;"*")</f>
        <v>1</v>
      </c>
      <c r="D352">
        <f t="shared" si="97"/>
        <v>3</v>
      </c>
      <c r="E352" s="44">
        <f t="shared" si="98"/>
        <v>7.2900000000000009</v>
      </c>
      <c r="F352">
        <f t="shared" si="99"/>
        <v>7.2900000000000009</v>
      </c>
    </row>
    <row r="353" spans="1:7" x14ac:dyDescent="0.45">
      <c r="A353">
        <v>2</v>
      </c>
      <c r="B353" t="s">
        <v>236</v>
      </c>
      <c r="C353">
        <f>COUNTIFS(AnalizaCzyste[Moje zarobki są satysfakcjonujące.44],B353,AnalizaCzyste[Czy jesteś aktualnie pracownikiem naukowym lub dydaktycznym uczelni wyższej?],"*"&amp;"Tak"&amp;"*")</f>
        <v>0</v>
      </c>
      <c r="D353">
        <f t="shared" si="97"/>
        <v>0</v>
      </c>
      <c r="E353" s="44">
        <f t="shared" si="98"/>
        <v>13.690000000000001</v>
      </c>
      <c r="F353">
        <f t="shared" si="99"/>
        <v>0</v>
      </c>
    </row>
    <row r="354" spans="1:7" x14ac:dyDescent="0.45">
      <c r="A354">
        <v>1</v>
      </c>
      <c r="B354" t="s">
        <v>129</v>
      </c>
      <c r="C354">
        <f>COUNTIFS(AnalizaCzyste[Moje zarobki są satysfakcjonujące.44],B354,AnalizaCzyste[Czy jesteś aktualnie pracownikiem naukowym lub dydaktycznym uczelni wyższej?],"*"&amp;"Tak"&amp;"*")</f>
        <v>0</v>
      </c>
      <c r="D354">
        <f t="shared" si="97"/>
        <v>0</v>
      </c>
      <c r="E354" s="44">
        <f t="shared" si="98"/>
        <v>22.090000000000003</v>
      </c>
      <c r="F354">
        <f t="shared" si="99"/>
        <v>0</v>
      </c>
    </row>
    <row r="355" spans="1:7" x14ac:dyDescent="0.45">
      <c r="A355" t="s">
        <v>2329</v>
      </c>
      <c r="B355" t="s">
        <v>132</v>
      </c>
      <c r="C355">
        <f>COUNTIFS(AnalizaCzyste[Moje zarobki są satysfakcjonujące.44],B355,AnalizaCzyste[Czy jesteś aktualnie pracownikiem naukowym lub dydaktycznym uczelni wyższej?],"*"&amp;"Tak"&amp;"*")</f>
        <v>0</v>
      </c>
      <c r="D355">
        <f t="shared" si="97"/>
        <v>0</v>
      </c>
    </row>
    <row r="356" spans="1:7" x14ac:dyDescent="0.45">
      <c r="B356" s="20" t="s">
        <v>2351</v>
      </c>
      <c r="C356" s="29">
        <f>SUM(C348:C355)</f>
        <v>10</v>
      </c>
      <c r="D356" s="44">
        <f>SUM(D348:D354)/C357</f>
        <v>5.7</v>
      </c>
      <c r="E356" s="20" t="s">
        <v>2353</v>
      </c>
      <c r="F356" s="44">
        <f>SUM(F348:F355)/(C357-1)</f>
        <v>1.788888888888889</v>
      </c>
      <c r="G356" s="20" t="s">
        <v>2349</v>
      </c>
    </row>
    <row r="357" spans="1:7" x14ac:dyDescent="0.45">
      <c r="B357" s="20" t="s">
        <v>2352</v>
      </c>
      <c r="C357">
        <f>C356-C355</f>
        <v>10</v>
      </c>
      <c r="D357" s="33">
        <f>D356/7</f>
        <v>0.81428571428571428</v>
      </c>
      <c r="F357" s="44">
        <f>F356^(1/2)</f>
        <v>1.3374935098492586</v>
      </c>
      <c r="G357" t="s">
        <v>2404</v>
      </c>
    </row>
    <row r="358" spans="1:7" x14ac:dyDescent="0.45">
      <c r="B358" s="20"/>
      <c r="D358" s="33"/>
      <c r="F358" s="44"/>
    </row>
    <row r="359" spans="1:7" x14ac:dyDescent="0.45">
      <c r="A359" s="29" t="s">
        <v>2381</v>
      </c>
      <c r="C359" t="s">
        <v>2348</v>
      </c>
      <c r="E359" s="20" t="s">
        <v>2362</v>
      </c>
      <c r="F359" s="20" t="s">
        <v>2363</v>
      </c>
    </row>
    <row r="360" spans="1:7" x14ac:dyDescent="0.45">
      <c r="A360">
        <v>7</v>
      </c>
      <c r="B360" t="s">
        <v>169</v>
      </c>
      <c r="C360">
        <f>COUNTIFS(AnalizaCzyste[Praca na ocenianej uczelni daje mi duże szanse rozwoju.45],B360,AnalizaCzyste[Czy jesteś aktualnie pracownikiem naukowym lub dydaktycznym uczelni wyższej?],"*"&amp;"Tak"&amp;"*")</f>
        <v>4</v>
      </c>
      <c r="D360">
        <f>PRODUCT(A360,C360)</f>
        <v>28</v>
      </c>
      <c r="E360" s="44">
        <f>(A360-$D$368)^2</f>
        <v>0.81000000000000061</v>
      </c>
      <c r="F360">
        <f>PRODUCT(C360,E360)</f>
        <v>3.2400000000000024</v>
      </c>
    </row>
    <row r="361" spans="1:7" x14ac:dyDescent="0.45">
      <c r="A361">
        <v>6</v>
      </c>
      <c r="B361" t="s">
        <v>150</v>
      </c>
      <c r="C361">
        <f>COUNTIFS(AnalizaCzyste[Praca na ocenianej uczelni daje mi duże szanse rozwoju.45],B361,AnalizaCzyste[Czy jesteś aktualnie pracownikiem naukowym lub dydaktycznym uczelni wyższej?],"*"&amp;"Tak"&amp;"*")</f>
        <v>4</v>
      </c>
      <c r="D361">
        <f t="shared" ref="D361:D367" si="100">PRODUCT(A361,C361)</f>
        <v>24</v>
      </c>
      <c r="E361" s="44">
        <f t="shared" ref="E361:E366" si="101">(A361-$D$368)^2</f>
        <v>9.9999999999999291E-3</v>
      </c>
      <c r="F361">
        <f t="shared" ref="F361:F366" si="102">PRODUCT(C361,E361)</f>
        <v>3.9999999999999716E-2</v>
      </c>
    </row>
    <row r="362" spans="1:7" x14ac:dyDescent="0.45">
      <c r="A362">
        <v>5</v>
      </c>
      <c r="B362" t="s">
        <v>162</v>
      </c>
      <c r="C362">
        <f>COUNTIFS(AnalizaCzyste[Praca na ocenianej uczelni daje mi duże szanse rozwoju.45],B362,AnalizaCzyste[Czy jesteś aktualnie pracownikiem naukowym lub dydaktycznym uczelni wyższej?],"*"&amp;"Tak"&amp;"*")</f>
        <v>1</v>
      </c>
      <c r="D362">
        <f t="shared" si="100"/>
        <v>5</v>
      </c>
      <c r="E362" s="44">
        <f t="shared" si="101"/>
        <v>1.2099999999999993</v>
      </c>
      <c r="F362">
        <f t="shared" si="102"/>
        <v>1.2099999999999993</v>
      </c>
    </row>
    <row r="363" spans="1:7" x14ac:dyDescent="0.45">
      <c r="A363">
        <v>4</v>
      </c>
      <c r="B363" t="s">
        <v>151</v>
      </c>
      <c r="C363">
        <f>COUNTIFS(AnalizaCzyste[Praca na ocenianej uczelni daje mi duże szanse rozwoju.45],B363,AnalizaCzyste[Czy jesteś aktualnie pracownikiem naukowym lub dydaktycznym uczelni wyższej?],"*"&amp;"Tak"&amp;"*")</f>
        <v>1</v>
      </c>
      <c r="D363">
        <f t="shared" si="100"/>
        <v>4</v>
      </c>
      <c r="E363" s="44">
        <f t="shared" si="101"/>
        <v>4.4099999999999984</v>
      </c>
      <c r="F363">
        <f t="shared" si="102"/>
        <v>4.4099999999999984</v>
      </c>
    </row>
    <row r="364" spans="1:7" x14ac:dyDescent="0.45">
      <c r="A364">
        <v>3</v>
      </c>
      <c r="B364" t="s">
        <v>128</v>
      </c>
      <c r="C364">
        <f>COUNTIFS(AnalizaCzyste[Praca na ocenianej uczelni daje mi duże szanse rozwoju.45],B364,AnalizaCzyste[Czy jesteś aktualnie pracownikiem naukowym lub dydaktycznym uczelni wyższej?],"*"&amp;"Tak"&amp;"*")</f>
        <v>0</v>
      </c>
      <c r="D364">
        <f t="shared" si="100"/>
        <v>0</v>
      </c>
      <c r="E364" s="44">
        <f t="shared" si="101"/>
        <v>9.6099999999999977</v>
      </c>
      <c r="F364">
        <f t="shared" si="102"/>
        <v>0</v>
      </c>
    </row>
    <row r="365" spans="1:7" x14ac:dyDescent="0.45">
      <c r="A365">
        <v>2</v>
      </c>
      <c r="B365" t="s">
        <v>236</v>
      </c>
      <c r="C365">
        <f>COUNTIFS(AnalizaCzyste[Praca na ocenianej uczelni daje mi duże szanse rozwoju.45],B365,AnalizaCzyste[Czy jesteś aktualnie pracownikiem naukowym lub dydaktycznym uczelni wyższej?],"*"&amp;"Tak"&amp;"*")</f>
        <v>0</v>
      </c>
      <c r="D365">
        <f t="shared" si="100"/>
        <v>0</v>
      </c>
      <c r="E365" s="44">
        <f t="shared" si="101"/>
        <v>16.809999999999999</v>
      </c>
      <c r="F365">
        <f t="shared" si="102"/>
        <v>0</v>
      </c>
    </row>
    <row r="366" spans="1:7" x14ac:dyDescent="0.45">
      <c r="A366">
        <v>1</v>
      </c>
      <c r="B366" t="s">
        <v>129</v>
      </c>
      <c r="C366">
        <f>COUNTIFS(AnalizaCzyste[Praca na ocenianej uczelni daje mi duże szanse rozwoju.45],B366,AnalizaCzyste[Czy jesteś aktualnie pracownikiem naukowym lub dydaktycznym uczelni wyższej?],"*"&amp;"Tak"&amp;"*")</f>
        <v>0</v>
      </c>
      <c r="D366">
        <f t="shared" si="100"/>
        <v>0</v>
      </c>
      <c r="E366" s="44">
        <f t="shared" si="101"/>
        <v>26.009999999999998</v>
      </c>
      <c r="F366">
        <f t="shared" si="102"/>
        <v>0</v>
      </c>
    </row>
    <row r="367" spans="1:7" x14ac:dyDescent="0.45">
      <c r="A367" t="s">
        <v>2329</v>
      </c>
      <c r="B367" t="s">
        <v>132</v>
      </c>
      <c r="C367">
        <f>COUNTIFS(AnalizaCzyste[Praca na ocenianej uczelni daje mi duże szanse rozwoju.45],B367,AnalizaCzyste[Czy jesteś aktualnie pracownikiem naukowym lub dydaktycznym uczelni wyższej?],"*"&amp;"Tak"&amp;"*")</f>
        <v>0</v>
      </c>
      <c r="D367">
        <f t="shared" si="100"/>
        <v>0</v>
      </c>
    </row>
    <row r="368" spans="1:7" x14ac:dyDescent="0.45">
      <c r="B368" s="20" t="s">
        <v>2351</v>
      </c>
      <c r="C368" s="29">
        <f>SUM(C360:C367)</f>
        <v>10</v>
      </c>
      <c r="D368" s="44">
        <f>SUM(D360:D366)/C369</f>
        <v>6.1</v>
      </c>
      <c r="E368" s="20" t="s">
        <v>2353</v>
      </c>
      <c r="F368" s="44">
        <f>SUM(F360:F367)/(C369-1)</f>
        <v>0.98888888888888871</v>
      </c>
      <c r="G368" s="20" t="s">
        <v>2349</v>
      </c>
    </row>
    <row r="369" spans="1:7" x14ac:dyDescent="0.45">
      <c r="B369" s="20" t="s">
        <v>2352</v>
      </c>
      <c r="C369">
        <f>C368-C367</f>
        <v>10</v>
      </c>
      <c r="D369" s="33">
        <f>D368/7</f>
        <v>0.87142857142857133</v>
      </c>
      <c r="F369" s="44">
        <f>F368^(1/2)</f>
        <v>0.99442892601175314</v>
      </c>
      <c r="G369" t="s">
        <v>2404</v>
      </c>
    </row>
    <row r="370" spans="1:7" x14ac:dyDescent="0.45">
      <c r="B370" s="20"/>
      <c r="D370" s="33"/>
      <c r="F370" s="44"/>
    </row>
    <row r="371" spans="1:7" x14ac:dyDescent="0.45">
      <c r="A371" s="29" t="s">
        <v>2382</v>
      </c>
      <c r="C371" t="s">
        <v>2348</v>
      </c>
      <c r="E371" s="20" t="s">
        <v>2362</v>
      </c>
      <c r="F371" s="20" t="s">
        <v>2363</v>
      </c>
    </row>
    <row r="372" spans="1:7" x14ac:dyDescent="0.45">
      <c r="A372">
        <v>7</v>
      </c>
      <c r="B372" t="s">
        <v>169</v>
      </c>
      <c r="C372">
        <f>COUNTIFS(AnalizaCzyste[Wartość wykształcenia zdobywanego przez studentów ocenianej uczelni jest wysoka.46],B372,AnalizaCzyste[Czy jesteś aktualnie pracownikiem naukowym lub dydaktycznym uczelni wyższej?],"*"&amp;"Tak"&amp;"*")</f>
        <v>3</v>
      </c>
      <c r="D372">
        <f>PRODUCT(A372,C372)</f>
        <v>21</v>
      </c>
      <c r="E372" s="44">
        <f>(A372-$D$380)^2</f>
        <v>1.6899999999999995</v>
      </c>
      <c r="F372">
        <f>PRODUCT(C372,E372)</f>
        <v>5.0699999999999985</v>
      </c>
    </row>
    <row r="373" spans="1:7" x14ac:dyDescent="0.45">
      <c r="A373">
        <v>6</v>
      </c>
      <c r="B373" t="s">
        <v>150</v>
      </c>
      <c r="C373">
        <f>COUNTIFS(AnalizaCzyste[Wartość wykształcenia zdobywanego przez studentów ocenianej uczelni jest wysoka.46],B373,AnalizaCzyste[Czy jesteś aktualnie pracownikiem naukowym lub dydaktycznym uczelni wyższej?],"*"&amp;"Tak"&amp;"*")</f>
        <v>4</v>
      </c>
      <c r="D373">
        <f t="shared" ref="D373:D379" si="103">PRODUCT(A373,C373)</f>
        <v>24</v>
      </c>
      <c r="E373" s="44">
        <f t="shared" ref="E373:E378" si="104">(A373-$D$380)^2</f>
        <v>8.99999999999999E-2</v>
      </c>
      <c r="F373">
        <f t="shared" ref="F373:F378" si="105">PRODUCT(C373,E373)</f>
        <v>0.3599999999999996</v>
      </c>
    </row>
    <row r="374" spans="1:7" x14ac:dyDescent="0.45">
      <c r="A374">
        <v>5</v>
      </c>
      <c r="B374" t="s">
        <v>162</v>
      </c>
      <c r="C374">
        <f>COUNTIFS(AnalizaCzyste[Wartość wykształcenia zdobywanego przez studentów ocenianej uczelni jest wysoka.46],B374,AnalizaCzyste[Czy jesteś aktualnie pracownikiem naukowym lub dydaktycznym uczelni wyższej?],"*"&amp;"Tak"&amp;"*")</f>
        <v>1</v>
      </c>
      <c r="D374">
        <f t="shared" si="103"/>
        <v>5</v>
      </c>
      <c r="E374" s="44">
        <f t="shared" si="104"/>
        <v>0.49000000000000027</v>
      </c>
      <c r="F374">
        <f t="shared" si="105"/>
        <v>0.49000000000000027</v>
      </c>
    </row>
    <row r="375" spans="1:7" x14ac:dyDescent="0.45">
      <c r="A375">
        <v>4</v>
      </c>
      <c r="B375" t="s">
        <v>151</v>
      </c>
      <c r="C375">
        <f>COUNTIFS(AnalizaCzyste[Wartość wykształcenia zdobywanego przez studentów ocenianej uczelni jest wysoka.46],B375,AnalizaCzyste[Czy jesteś aktualnie pracownikiem naukowym lub dydaktycznym uczelni wyższej?],"*"&amp;"Tak"&amp;"*")</f>
        <v>1</v>
      </c>
      <c r="D375">
        <f t="shared" si="103"/>
        <v>4</v>
      </c>
      <c r="E375" s="44">
        <f t="shared" si="104"/>
        <v>2.8900000000000006</v>
      </c>
      <c r="F375">
        <f t="shared" si="105"/>
        <v>2.8900000000000006</v>
      </c>
    </row>
    <row r="376" spans="1:7" x14ac:dyDescent="0.45">
      <c r="A376">
        <v>3</v>
      </c>
      <c r="B376" t="s">
        <v>128</v>
      </c>
      <c r="C376">
        <f>COUNTIFS(AnalizaCzyste[Wartość wykształcenia zdobywanego przez studentów ocenianej uczelni jest wysoka.46],B376,AnalizaCzyste[Czy jesteś aktualnie pracownikiem naukowym lub dydaktycznym uczelni wyższej?],"*"&amp;"Tak"&amp;"*")</f>
        <v>1</v>
      </c>
      <c r="D376">
        <f t="shared" si="103"/>
        <v>3</v>
      </c>
      <c r="E376" s="44">
        <f t="shared" si="104"/>
        <v>7.2900000000000009</v>
      </c>
      <c r="F376">
        <f t="shared" si="105"/>
        <v>7.2900000000000009</v>
      </c>
    </row>
    <row r="377" spans="1:7" x14ac:dyDescent="0.45">
      <c r="A377">
        <v>2</v>
      </c>
      <c r="B377" t="s">
        <v>236</v>
      </c>
      <c r="C377">
        <f>COUNTIFS(AnalizaCzyste[Wartość wykształcenia zdobywanego przez studentów ocenianej uczelni jest wysoka.46],B377,AnalizaCzyste[Czy jesteś aktualnie pracownikiem naukowym lub dydaktycznym uczelni wyższej?],"*"&amp;"Tak"&amp;"*")</f>
        <v>0</v>
      </c>
      <c r="D377">
        <f t="shared" si="103"/>
        <v>0</v>
      </c>
      <c r="E377" s="44">
        <f t="shared" si="104"/>
        <v>13.690000000000001</v>
      </c>
      <c r="F377">
        <f t="shared" si="105"/>
        <v>0</v>
      </c>
    </row>
    <row r="378" spans="1:7" x14ac:dyDescent="0.45">
      <c r="A378">
        <v>1</v>
      </c>
      <c r="B378" t="s">
        <v>129</v>
      </c>
      <c r="C378">
        <f>COUNTIFS(AnalizaCzyste[Wartość wykształcenia zdobywanego przez studentów ocenianej uczelni jest wysoka.46],B378,AnalizaCzyste[Czy jesteś aktualnie pracownikiem naukowym lub dydaktycznym uczelni wyższej?],"*"&amp;"Tak"&amp;"*")</f>
        <v>0</v>
      </c>
      <c r="D378">
        <f t="shared" si="103"/>
        <v>0</v>
      </c>
      <c r="E378" s="44">
        <f t="shared" si="104"/>
        <v>22.090000000000003</v>
      </c>
      <c r="F378">
        <f t="shared" si="105"/>
        <v>0</v>
      </c>
    </row>
    <row r="379" spans="1:7" x14ac:dyDescent="0.45">
      <c r="A379" t="s">
        <v>2329</v>
      </c>
      <c r="B379" t="s">
        <v>132</v>
      </c>
      <c r="C379">
        <f>COUNTIFS(AnalizaCzyste[Wartość wykształcenia zdobywanego przez studentów ocenianej uczelni jest wysoka.46],B379,AnalizaCzyste[Czy jesteś aktualnie pracownikiem naukowym lub dydaktycznym uczelni wyższej?],"*"&amp;"Tak"&amp;"*")</f>
        <v>0</v>
      </c>
      <c r="D379">
        <f t="shared" si="103"/>
        <v>0</v>
      </c>
    </row>
    <row r="380" spans="1:7" x14ac:dyDescent="0.45">
      <c r="B380" s="20" t="s">
        <v>2351</v>
      </c>
      <c r="C380" s="29">
        <f>SUM(C372:C379)</f>
        <v>10</v>
      </c>
      <c r="D380" s="44">
        <f>SUM(D372:D378)/C381</f>
        <v>5.7</v>
      </c>
      <c r="E380" s="20" t="s">
        <v>2353</v>
      </c>
      <c r="F380" s="44">
        <f>SUM(F372:F379)/(C381-1)</f>
        <v>1.788888888888889</v>
      </c>
      <c r="G380" s="20" t="s">
        <v>2349</v>
      </c>
    </row>
    <row r="381" spans="1:7" x14ac:dyDescent="0.45">
      <c r="B381" s="20" t="s">
        <v>2352</v>
      </c>
      <c r="C381">
        <f>C380-C379</f>
        <v>10</v>
      </c>
      <c r="D381" s="33">
        <f>D380/7</f>
        <v>0.81428571428571428</v>
      </c>
      <c r="F381" s="44">
        <f>F380^(1/2)</f>
        <v>1.3374935098492586</v>
      </c>
      <c r="G381" t="s">
        <v>2404</v>
      </c>
    </row>
    <row r="382" spans="1:7" x14ac:dyDescent="0.45">
      <c r="B382" s="20"/>
      <c r="D382" s="33"/>
      <c r="F382" s="44"/>
    </row>
    <row r="383" spans="1:7" x14ac:dyDescent="0.45">
      <c r="A383" s="29" t="s">
        <v>2383</v>
      </c>
      <c r="C383" t="s">
        <v>2348</v>
      </c>
      <c r="E383" s="20" t="s">
        <v>2362</v>
      </c>
      <c r="F383" s="20" t="s">
        <v>2363</v>
      </c>
    </row>
    <row r="384" spans="1:7" x14ac:dyDescent="0.45">
      <c r="A384">
        <v>7</v>
      </c>
      <c r="B384" t="s">
        <v>169</v>
      </c>
      <c r="C384">
        <f>COUNTIFS(AnalizaCzyste[Zdobyte na ocenianej uczelni wykształcenie ma pozytywny wpływ na zwiększenie zarobków absolwentów.47],B384,AnalizaCzyste[Czy jesteś aktualnie pracownikiem naukowym lub dydaktycznym uczelni wyższej?],"*"&amp;"Tak"&amp;"*")</f>
        <v>3</v>
      </c>
      <c r="D384">
        <f>PRODUCT(A384,C384)</f>
        <v>21</v>
      </c>
      <c r="E384" s="44">
        <f>(A384-$D$392)^2</f>
        <v>1.9600000000000011</v>
      </c>
      <c r="F384">
        <f>PRODUCT(C384,E384)</f>
        <v>5.8800000000000034</v>
      </c>
    </row>
    <row r="385" spans="1:7" x14ac:dyDescent="0.45">
      <c r="A385">
        <v>6</v>
      </c>
      <c r="B385" t="s">
        <v>150</v>
      </c>
      <c r="C385">
        <f>COUNTIFS(AnalizaCzyste[Zdobyte na ocenianej uczelni wykształcenie ma pozytywny wpływ na zwiększenie zarobków absolwentów.47],B385,AnalizaCzyste[Czy jesteś aktualnie pracownikiem naukowym lub dydaktycznym uczelni wyższej?],"*"&amp;"Tak"&amp;"*")</f>
        <v>3</v>
      </c>
      <c r="D385">
        <f t="shared" ref="D385:D391" si="106">PRODUCT(A385,C385)</f>
        <v>18</v>
      </c>
      <c r="E385" s="44">
        <f t="shared" ref="E385:E390" si="107">(A385-$D$392)^2</f>
        <v>0.16000000000000028</v>
      </c>
      <c r="F385">
        <f t="shared" ref="F385:F390" si="108">PRODUCT(C385,E385)</f>
        <v>0.48000000000000087</v>
      </c>
    </row>
    <row r="386" spans="1:7" x14ac:dyDescent="0.45">
      <c r="A386">
        <v>5</v>
      </c>
      <c r="B386" t="s">
        <v>162</v>
      </c>
      <c r="C386">
        <f>COUNTIFS(AnalizaCzyste[Zdobyte na ocenianej uczelni wykształcenie ma pozytywny wpływ na zwiększenie zarobków absolwentów.47],B386,AnalizaCzyste[Czy jesteś aktualnie pracownikiem naukowym lub dydaktycznym uczelni wyższej?],"*"&amp;"Tak"&amp;"*")</f>
        <v>2</v>
      </c>
      <c r="D386">
        <f t="shared" si="106"/>
        <v>10</v>
      </c>
      <c r="E386" s="44">
        <f t="shared" si="107"/>
        <v>0.3599999999999996</v>
      </c>
      <c r="F386">
        <f t="shared" si="108"/>
        <v>0.7199999999999992</v>
      </c>
    </row>
    <row r="387" spans="1:7" x14ac:dyDescent="0.45">
      <c r="A387">
        <v>4</v>
      </c>
      <c r="B387" t="s">
        <v>151</v>
      </c>
      <c r="C387">
        <f>COUNTIFS(AnalizaCzyste[Zdobyte na ocenianej uczelni wykształcenie ma pozytywny wpływ na zwiększenie zarobków absolwentów.47],B387,AnalizaCzyste[Czy jesteś aktualnie pracownikiem naukowym lub dydaktycznym uczelni wyższej?],"*"&amp;"Tak"&amp;"*")</f>
        <v>1</v>
      </c>
      <c r="D387">
        <f t="shared" si="106"/>
        <v>4</v>
      </c>
      <c r="E387" s="44">
        <f t="shared" si="107"/>
        <v>2.5599999999999987</v>
      </c>
      <c r="F387">
        <f t="shared" si="108"/>
        <v>2.5599999999999987</v>
      </c>
    </row>
    <row r="388" spans="1:7" x14ac:dyDescent="0.45">
      <c r="A388">
        <v>3</v>
      </c>
      <c r="B388" t="s">
        <v>128</v>
      </c>
      <c r="C388">
        <f>COUNTIFS(AnalizaCzyste[Zdobyte na ocenianej uczelni wykształcenie ma pozytywny wpływ na zwiększenie zarobków absolwentów.47],B388,AnalizaCzyste[Czy jesteś aktualnie pracownikiem naukowym lub dydaktycznym uczelni wyższej?],"*"&amp;"Tak"&amp;"*")</f>
        <v>1</v>
      </c>
      <c r="D388">
        <f t="shared" si="106"/>
        <v>3</v>
      </c>
      <c r="E388" s="44">
        <f t="shared" si="107"/>
        <v>6.759999999999998</v>
      </c>
      <c r="F388">
        <f t="shared" si="108"/>
        <v>6.759999999999998</v>
      </c>
    </row>
    <row r="389" spans="1:7" x14ac:dyDescent="0.45">
      <c r="A389">
        <v>2</v>
      </c>
      <c r="B389" t="s">
        <v>236</v>
      </c>
      <c r="C389">
        <f>COUNTIFS(AnalizaCzyste[Zdobyte na ocenianej uczelni wykształcenie ma pozytywny wpływ na zwiększenie zarobków absolwentów.47],B389,AnalizaCzyste[Czy jesteś aktualnie pracownikiem naukowym lub dydaktycznym uczelni wyższej?],"*"&amp;"Tak"&amp;"*")</f>
        <v>0</v>
      </c>
      <c r="D389">
        <f t="shared" si="106"/>
        <v>0</v>
      </c>
      <c r="E389" s="44">
        <f t="shared" si="107"/>
        <v>12.959999999999997</v>
      </c>
      <c r="F389">
        <f t="shared" si="108"/>
        <v>0</v>
      </c>
    </row>
    <row r="390" spans="1:7" x14ac:dyDescent="0.45">
      <c r="A390">
        <v>1</v>
      </c>
      <c r="B390" t="s">
        <v>129</v>
      </c>
      <c r="C390">
        <f>COUNTIFS(AnalizaCzyste[Zdobyte na ocenianej uczelni wykształcenie ma pozytywny wpływ na zwiększenie zarobków absolwentów.47],B390,AnalizaCzyste[Czy jesteś aktualnie pracownikiem naukowym lub dydaktycznym uczelni wyższej?],"*"&amp;"Tak"&amp;"*")</f>
        <v>0</v>
      </c>
      <c r="D390">
        <f t="shared" si="106"/>
        <v>0</v>
      </c>
      <c r="E390" s="44">
        <f t="shared" si="107"/>
        <v>21.159999999999997</v>
      </c>
      <c r="F390">
        <f t="shared" si="108"/>
        <v>0</v>
      </c>
    </row>
    <row r="391" spans="1:7" x14ac:dyDescent="0.45">
      <c r="A391" t="s">
        <v>2329</v>
      </c>
      <c r="B391" t="s">
        <v>132</v>
      </c>
      <c r="C391">
        <f>COUNTIFS(AnalizaCzyste[Zdobyte na ocenianej uczelni wykształcenie ma pozytywny wpływ na zwiększenie zarobków absolwentów.47],B391,AnalizaCzyste[Czy jesteś aktualnie pracownikiem naukowym lub dydaktycznym uczelni wyższej?],"*"&amp;"Tak"&amp;"*")</f>
        <v>0</v>
      </c>
      <c r="D391">
        <f t="shared" si="106"/>
        <v>0</v>
      </c>
    </row>
    <row r="392" spans="1:7" x14ac:dyDescent="0.45">
      <c r="B392" s="20" t="s">
        <v>2351</v>
      </c>
      <c r="C392" s="29">
        <f>SUM(C384:C391)</f>
        <v>10</v>
      </c>
      <c r="D392" s="44">
        <f>SUM(D384:D390)/C393</f>
        <v>5.6</v>
      </c>
      <c r="E392" s="20" t="s">
        <v>2353</v>
      </c>
      <c r="F392" s="44">
        <f>SUM(F384:F391)/(C393-1)</f>
        <v>1.822222222222222</v>
      </c>
      <c r="G392" s="20" t="s">
        <v>2349</v>
      </c>
    </row>
    <row r="393" spans="1:7" x14ac:dyDescent="0.45">
      <c r="B393" s="20" t="s">
        <v>2352</v>
      </c>
      <c r="C393">
        <f>C392-C391</f>
        <v>10</v>
      </c>
      <c r="D393" s="33">
        <f>D392/7</f>
        <v>0.79999999999999993</v>
      </c>
      <c r="F393" s="44">
        <f>F392^(1/2)</f>
        <v>1.3498971154211057</v>
      </c>
      <c r="G393" t="s">
        <v>2404</v>
      </c>
    </row>
    <row r="394" spans="1:7" x14ac:dyDescent="0.45">
      <c r="B394" s="20"/>
      <c r="D394" s="33"/>
      <c r="F394" s="44"/>
    </row>
    <row r="395" spans="1:7" x14ac:dyDescent="0.45">
      <c r="A395" s="29" t="s">
        <v>2384</v>
      </c>
      <c r="C395" t="s">
        <v>2348</v>
      </c>
      <c r="E395" s="20" t="s">
        <v>2362</v>
      </c>
      <c r="F395" s="20" t="s">
        <v>2363</v>
      </c>
    </row>
    <row r="396" spans="1:7" x14ac:dyDescent="0.45">
      <c r="A396">
        <v>7</v>
      </c>
      <c r="B396" t="s">
        <v>169</v>
      </c>
      <c r="C396">
        <f>COUNTIFS(AnalizaCzyste[Ogólny poziom mojej satysfakcji z jakości usług edukacyjnych ocenianej uczelni jest wysoki.],B396,AnalizaCzyste[Czy jesteś przedstawicielem władz uczelni z grupy rektorów, prorektorów, dziekanów, prodziekanów, członków senatu lub członków rady uczelni?],"*"&amp;"Tak"&amp;"*")</f>
        <v>1</v>
      </c>
      <c r="D396">
        <f>PRODUCT(A396,C396)</f>
        <v>7</v>
      </c>
      <c r="E396" s="44">
        <f>(A396-$D$404)^2</f>
        <v>1.4400000000000004</v>
      </c>
      <c r="F396">
        <f>PRODUCT(C396,E396)</f>
        <v>1.4400000000000004</v>
      </c>
    </row>
    <row r="397" spans="1:7" x14ac:dyDescent="0.45">
      <c r="A397">
        <v>6</v>
      </c>
      <c r="B397" t="s">
        <v>150</v>
      </c>
      <c r="C397">
        <f>COUNTIFS(AnalizaCzyste[Ogólny poziom mojej satysfakcji z jakości usług edukacyjnych ocenianej uczelni jest wysoki.],B397,AnalizaCzyste[Czy jesteś przedstawicielem władz uczelni z grupy rektorów, prorektorów, dziekanów, prodziekanów, członków senatu lub członków rady uczelni?],"*"&amp;"Tak"&amp;"*")</f>
        <v>2</v>
      </c>
      <c r="D397">
        <f t="shared" ref="D397:D403" si="109">PRODUCT(A397,C397)</f>
        <v>12</v>
      </c>
      <c r="E397" s="44">
        <f t="shared" ref="E397:E402" si="110">(A397-$D$404)^2</f>
        <v>4.000000000000007E-2</v>
      </c>
      <c r="F397">
        <f t="shared" ref="F397:F402" si="111">PRODUCT(C397,E397)</f>
        <v>8.000000000000014E-2</v>
      </c>
    </row>
    <row r="398" spans="1:7" x14ac:dyDescent="0.45">
      <c r="A398">
        <v>5</v>
      </c>
      <c r="B398" t="s">
        <v>162</v>
      </c>
      <c r="C398">
        <f>COUNTIFS(AnalizaCzyste[Ogólny poziom mojej satysfakcji z jakości usług edukacyjnych ocenianej uczelni jest wysoki.],B398,AnalizaCzyste[Czy jesteś przedstawicielem władz uczelni z grupy rektorów, prorektorów, dziekanów, prodziekanów, członków senatu lub członków rady uczelni?],"*"&amp;"Tak"&amp;"*")</f>
        <v>2</v>
      </c>
      <c r="D398">
        <f t="shared" si="109"/>
        <v>10</v>
      </c>
      <c r="E398" s="44">
        <f t="shared" si="110"/>
        <v>0.63999999999999968</v>
      </c>
      <c r="F398">
        <f t="shared" si="111"/>
        <v>1.2799999999999994</v>
      </c>
    </row>
    <row r="399" spans="1:7" x14ac:dyDescent="0.45">
      <c r="A399">
        <v>4</v>
      </c>
      <c r="B399" t="s">
        <v>151</v>
      </c>
      <c r="C399">
        <f>COUNTIFS(AnalizaCzyste[Ogólny poziom mojej satysfakcji z jakości usług edukacyjnych ocenianej uczelni jest wysoki.],B399,AnalizaCzyste[Czy jesteś przedstawicielem władz uczelni z grupy rektorów, prorektorów, dziekanów, prodziekanów, członków senatu lub członków rady uczelni?],"*"&amp;"Tak"&amp;"*")</f>
        <v>0</v>
      </c>
      <c r="D399">
        <f t="shared" si="109"/>
        <v>0</v>
      </c>
      <c r="E399" s="44">
        <f t="shared" si="110"/>
        <v>3.2399999999999993</v>
      </c>
      <c r="F399">
        <f t="shared" si="111"/>
        <v>0</v>
      </c>
    </row>
    <row r="400" spans="1:7" x14ac:dyDescent="0.45">
      <c r="A400">
        <v>3</v>
      </c>
      <c r="B400" t="s">
        <v>128</v>
      </c>
      <c r="C400">
        <f>COUNTIFS(AnalizaCzyste[Ogólny poziom mojej satysfakcji z jakości usług edukacyjnych ocenianej uczelni jest wysoki.],B400,AnalizaCzyste[Czy jesteś przedstawicielem władz uczelni z grupy rektorów, prorektorów, dziekanów, prodziekanów, członków senatu lub członków rady uczelni?],"*"&amp;"Tak"&amp;"*")</f>
        <v>0</v>
      </c>
      <c r="D400">
        <f t="shared" si="109"/>
        <v>0</v>
      </c>
      <c r="E400" s="44">
        <f t="shared" si="110"/>
        <v>7.839999999999999</v>
      </c>
      <c r="F400">
        <f t="shared" si="111"/>
        <v>0</v>
      </c>
    </row>
    <row r="401" spans="1:11" x14ac:dyDescent="0.45">
      <c r="A401">
        <v>2</v>
      </c>
      <c r="B401" t="s">
        <v>236</v>
      </c>
      <c r="C401">
        <f>COUNTIFS(AnalizaCzyste[Ogólny poziom mojej satysfakcji z jakości usług edukacyjnych ocenianej uczelni jest wysoki.],B401,AnalizaCzyste[Czy jesteś przedstawicielem władz uczelni z grupy rektorów, prorektorów, dziekanów, prodziekanów, członków senatu lub członków rady uczelni?],"*"&amp;"Tak"&amp;"*")</f>
        <v>0</v>
      </c>
      <c r="D401">
        <f t="shared" si="109"/>
        <v>0</v>
      </c>
      <c r="E401" s="44">
        <f t="shared" si="110"/>
        <v>14.44</v>
      </c>
      <c r="F401">
        <f t="shared" si="111"/>
        <v>0</v>
      </c>
    </row>
    <row r="402" spans="1:11" x14ac:dyDescent="0.45">
      <c r="A402">
        <v>1</v>
      </c>
      <c r="B402" t="s">
        <v>129</v>
      </c>
      <c r="C402">
        <f>COUNTIFS(AnalizaCzyste[Ogólny poziom mojej satysfakcji z jakości usług edukacyjnych ocenianej uczelni jest wysoki.],B402,AnalizaCzyste[Czy jesteś przedstawicielem władz uczelni z grupy rektorów, prorektorów, dziekanów, prodziekanów, członków senatu lub członków rady uczelni?],"*"&amp;"Tak"&amp;"*")</f>
        <v>0</v>
      </c>
      <c r="D402">
        <f t="shared" si="109"/>
        <v>0</v>
      </c>
      <c r="E402" s="44">
        <f t="shared" si="110"/>
        <v>23.04</v>
      </c>
      <c r="F402">
        <f t="shared" si="111"/>
        <v>0</v>
      </c>
    </row>
    <row r="403" spans="1:11" x14ac:dyDescent="0.45">
      <c r="A403" t="s">
        <v>2329</v>
      </c>
      <c r="B403" t="s">
        <v>132</v>
      </c>
      <c r="C403">
        <f>COUNTIFS(AnalizaCzyste[Ogólny poziom mojej satysfakcji z jakości usług edukacyjnych ocenianej uczelni jest wysoki.],B403,AnalizaCzyste[Czy jesteś przedstawicielem władz uczelni z grupy rektorów, prorektorów, dziekanów, prodziekanów, członków senatu lub członków rady uczelni?],"*"&amp;"Tak"&amp;"*")</f>
        <v>0</v>
      </c>
      <c r="D403">
        <f t="shared" si="109"/>
        <v>0</v>
      </c>
    </row>
    <row r="404" spans="1:11" x14ac:dyDescent="0.45">
      <c r="B404" s="20" t="s">
        <v>2351</v>
      </c>
      <c r="C404" s="29">
        <f>SUM(C396:C403)</f>
        <v>5</v>
      </c>
      <c r="D404" s="44">
        <f>SUM(D396:D402)/C405</f>
        <v>5.8</v>
      </c>
      <c r="E404" s="20" t="s">
        <v>2353</v>
      </c>
      <c r="F404" s="44">
        <f>SUM(F396:F403)/(C405-1)</f>
        <v>0.7</v>
      </c>
      <c r="G404" s="20" t="s">
        <v>2349</v>
      </c>
    </row>
    <row r="405" spans="1:11" x14ac:dyDescent="0.45">
      <c r="B405" s="20" t="s">
        <v>2352</v>
      </c>
      <c r="C405">
        <f>C404-C403</f>
        <v>5</v>
      </c>
      <c r="D405" s="33">
        <f>D404/7</f>
        <v>0.82857142857142851</v>
      </c>
      <c r="F405" s="44">
        <f>F404^(1/2)</f>
        <v>0.83666002653407556</v>
      </c>
      <c r="G405" t="s">
        <v>2404</v>
      </c>
    </row>
    <row r="406" spans="1:11" x14ac:dyDescent="0.45">
      <c r="B406" s="20"/>
      <c r="D406" s="51" t="str">
        <f>VLOOKUP(D404,InterpretacjaŚredniej[],2,1)</f>
        <v>zgadzam się</v>
      </c>
      <c r="E406">
        <f>D404-(K406*F405/SQRT(C405))</f>
        <v>4.7611493663164319</v>
      </c>
      <c r="F406" s="45" t="str">
        <f>"&lt; m &lt;"</f>
        <v>&lt; m &lt;</v>
      </c>
      <c r="G406">
        <f>D404+(K406*F405/SQRT(C405))</f>
        <v>6.8388506336835677</v>
      </c>
      <c r="H406" t="s">
        <v>2407</v>
      </c>
      <c r="I406">
        <v>0.05</v>
      </c>
      <c r="J406" s="20" t="s">
        <v>2417</v>
      </c>
      <c r="K406">
        <f>VLOOKUP($C$405-1,Tabl_tStudenta[],5,0)</f>
        <v>2.7764451051977934</v>
      </c>
    </row>
    <row r="407" spans="1:11" x14ac:dyDescent="0.45">
      <c r="B407" s="20"/>
      <c r="D407" s="33"/>
      <c r="F407" s="44"/>
      <c r="G407" s="42">
        <f>G406-E406</f>
        <v>2.0777012673671358</v>
      </c>
    </row>
    <row r="408" spans="1:11" x14ac:dyDescent="0.45">
      <c r="A408" s="29" t="s">
        <v>2357</v>
      </c>
      <c r="C408" t="s">
        <v>2348</v>
      </c>
      <c r="E408" s="20" t="s">
        <v>2362</v>
      </c>
      <c r="F408" s="20" t="s">
        <v>2363</v>
      </c>
    </row>
    <row r="409" spans="1:11" x14ac:dyDescent="0.45">
      <c r="A409">
        <v>7</v>
      </c>
      <c r="B409" t="s">
        <v>169</v>
      </c>
      <c r="C409">
        <f>COUNTIFS(AnalizaCzyste[Efekty działań ocenianej uczelni na rzesz jakości edukacji są dobre],B409,AnalizaCzyste[Czy jesteś przedstawicielem władz uczelni z grupy rektorów, prorektorów, dziekanów, prodziekanów, członków senatu lub członków rady uczelni?],"*"&amp;"Tak"&amp;"*")</f>
        <v>1</v>
      </c>
      <c r="D409">
        <f>PRODUCT(A409,C409)</f>
        <v>7</v>
      </c>
      <c r="E409" s="44">
        <f>(A409-$D$417)^2</f>
        <v>1.4400000000000004</v>
      </c>
      <c r="F409">
        <f>PRODUCT(C409,E409)</f>
        <v>1.4400000000000004</v>
      </c>
    </row>
    <row r="410" spans="1:11" x14ac:dyDescent="0.45">
      <c r="A410">
        <v>6</v>
      </c>
      <c r="B410" t="s">
        <v>150</v>
      </c>
      <c r="C410">
        <f>COUNTIFS(AnalizaCzyste[Efekty działań ocenianej uczelni na rzesz jakości edukacji są dobre],B410,AnalizaCzyste[Czy jesteś przedstawicielem władz uczelni z grupy rektorów, prorektorów, dziekanów, prodziekanów, członków senatu lub członków rady uczelni?],"*"&amp;"Tak"&amp;"*")</f>
        <v>2</v>
      </c>
      <c r="D410">
        <f t="shared" ref="D410:D416" si="112">PRODUCT(A410,C410)</f>
        <v>12</v>
      </c>
      <c r="E410" s="44">
        <f t="shared" ref="E410:E415" si="113">(A410-$D$417)^2</f>
        <v>4.000000000000007E-2</v>
      </c>
      <c r="F410">
        <f t="shared" ref="F410:F415" si="114">PRODUCT(C410,E410)</f>
        <v>8.000000000000014E-2</v>
      </c>
    </row>
    <row r="411" spans="1:11" x14ac:dyDescent="0.45">
      <c r="A411">
        <v>5</v>
      </c>
      <c r="B411" t="s">
        <v>162</v>
      </c>
      <c r="C411">
        <f>COUNTIFS(AnalizaCzyste[Efekty działań ocenianej uczelni na rzesz jakości edukacji są dobre],B411,AnalizaCzyste[Czy jesteś przedstawicielem władz uczelni z grupy rektorów, prorektorów, dziekanów, prodziekanów, członków senatu lub członków rady uczelni?],"*"&amp;"Tak"&amp;"*")</f>
        <v>2</v>
      </c>
      <c r="D411">
        <f t="shared" si="112"/>
        <v>10</v>
      </c>
      <c r="E411" s="44">
        <f t="shared" si="113"/>
        <v>0.63999999999999968</v>
      </c>
      <c r="F411">
        <f t="shared" si="114"/>
        <v>1.2799999999999994</v>
      </c>
    </row>
    <row r="412" spans="1:11" x14ac:dyDescent="0.45">
      <c r="A412">
        <v>4</v>
      </c>
      <c r="B412" t="s">
        <v>151</v>
      </c>
      <c r="C412">
        <f>COUNTIFS(AnalizaCzyste[Efekty działań ocenianej uczelni na rzesz jakości edukacji są dobre],B412,AnalizaCzyste[Czy jesteś przedstawicielem władz uczelni z grupy rektorów, prorektorów, dziekanów, prodziekanów, członków senatu lub członków rady uczelni?],"*"&amp;"Tak"&amp;"*")</f>
        <v>0</v>
      </c>
      <c r="D412">
        <f t="shared" si="112"/>
        <v>0</v>
      </c>
      <c r="E412" s="44">
        <f t="shared" si="113"/>
        <v>3.2399999999999993</v>
      </c>
      <c r="F412">
        <f t="shared" si="114"/>
        <v>0</v>
      </c>
    </row>
    <row r="413" spans="1:11" x14ac:dyDescent="0.45">
      <c r="A413">
        <v>3</v>
      </c>
      <c r="B413" t="s">
        <v>128</v>
      </c>
      <c r="C413">
        <f>COUNTIFS(AnalizaCzyste[Efekty działań ocenianej uczelni na rzesz jakości edukacji są dobre],B413,AnalizaCzyste[Czy jesteś przedstawicielem władz uczelni z grupy rektorów, prorektorów, dziekanów, prodziekanów, członków senatu lub członków rady uczelni?],"*"&amp;"Tak"&amp;"*")</f>
        <v>0</v>
      </c>
      <c r="D413">
        <f t="shared" si="112"/>
        <v>0</v>
      </c>
      <c r="E413" s="44">
        <f t="shared" si="113"/>
        <v>7.839999999999999</v>
      </c>
      <c r="F413">
        <f t="shared" si="114"/>
        <v>0</v>
      </c>
    </row>
    <row r="414" spans="1:11" x14ac:dyDescent="0.45">
      <c r="A414">
        <v>2</v>
      </c>
      <c r="B414" t="s">
        <v>236</v>
      </c>
      <c r="C414">
        <f>COUNTIFS(AnalizaCzyste[Efekty działań ocenianej uczelni na rzesz jakości edukacji są dobre],B414,AnalizaCzyste[Czy jesteś przedstawicielem władz uczelni z grupy rektorów, prorektorów, dziekanów, prodziekanów, członków senatu lub członków rady uczelni?],"*"&amp;"Tak"&amp;"*")</f>
        <v>0</v>
      </c>
      <c r="D414">
        <f t="shared" si="112"/>
        <v>0</v>
      </c>
      <c r="E414" s="44">
        <f t="shared" si="113"/>
        <v>14.44</v>
      </c>
      <c r="F414">
        <f t="shared" si="114"/>
        <v>0</v>
      </c>
    </row>
    <row r="415" spans="1:11" x14ac:dyDescent="0.45">
      <c r="A415">
        <v>1</v>
      </c>
      <c r="B415" t="s">
        <v>129</v>
      </c>
      <c r="C415">
        <f>COUNTIFS(AnalizaCzyste[Efekty działań ocenianej uczelni na rzesz jakości edukacji są dobre],B415,AnalizaCzyste[Czy jesteś przedstawicielem władz uczelni z grupy rektorów, prorektorów, dziekanów, prodziekanów, członków senatu lub członków rady uczelni?],"*"&amp;"Tak"&amp;"*")</f>
        <v>0</v>
      </c>
      <c r="D415">
        <f t="shared" si="112"/>
        <v>0</v>
      </c>
      <c r="E415" s="44">
        <f t="shared" si="113"/>
        <v>23.04</v>
      </c>
      <c r="F415">
        <f t="shared" si="114"/>
        <v>0</v>
      </c>
    </row>
    <row r="416" spans="1:11" x14ac:dyDescent="0.45">
      <c r="A416" t="s">
        <v>2329</v>
      </c>
      <c r="B416" t="s">
        <v>132</v>
      </c>
      <c r="C416">
        <f>COUNTIFS(AnalizaCzyste[Efekty działań ocenianej uczelni na rzesz jakości edukacji są dobre],B416,AnalizaCzyste[Czy jesteś przedstawicielem władz uczelni z grupy rektorów, prorektorów, dziekanów, prodziekanów, członków senatu lub członków rady uczelni?],"*"&amp;"Tak"&amp;"*")</f>
        <v>0</v>
      </c>
      <c r="D416">
        <f t="shared" si="112"/>
        <v>0</v>
      </c>
    </row>
    <row r="417" spans="1:7" x14ac:dyDescent="0.45">
      <c r="B417" s="20" t="s">
        <v>2351</v>
      </c>
      <c r="C417" s="29">
        <f>SUM(C409:C416)</f>
        <v>5</v>
      </c>
      <c r="D417" s="44">
        <f>SUM(D409:D415)/C418</f>
        <v>5.8</v>
      </c>
      <c r="E417" s="20" t="s">
        <v>2353</v>
      </c>
      <c r="F417" s="44">
        <f>SUM(F409:F416)/(C418-1)</f>
        <v>0.7</v>
      </c>
      <c r="G417" s="20" t="s">
        <v>2349</v>
      </c>
    </row>
    <row r="418" spans="1:7" x14ac:dyDescent="0.45">
      <c r="B418" s="20" t="s">
        <v>2352</v>
      </c>
      <c r="C418">
        <f>C417-C416</f>
        <v>5</v>
      </c>
      <c r="D418" s="33">
        <f>D417/7</f>
        <v>0.82857142857142851</v>
      </c>
      <c r="F418" s="44">
        <f>F417^(1/2)</f>
        <v>0.83666002653407556</v>
      </c>
      <c r="G418" t="s">
        <v>2404</v>
      </c>
    </row>
    <row r="419" spans="1:7" x14ac:dyDescent="0.45">
      <c r="B419" s="20"/>
      <c r="D419" s="33"/>
      <c r="F419" s="44"/>
    </row>
    <row r="420" spans="1:7" x14ac:dyDescent="0.45">
      <c r="A420" s="29" t="s">
        <v>2385</v>
      </c>
      <c r="C420" t="s">
        <v>2348</v>
      </c>
      <c r="E420" s="20" t="s">
        <v>2362</v>
      </c>
      <c r="F420" s="20" t="s">
        <v>2363</v>
      </c>
    </row>
    <row r="421" spans="1:7" x14ac:dyDescent="0.45">
      <c r="A421">
        <v>7</v>
      </c>
      <c r="B421" t="s">
        <v>169</v>
      </c>
      <c r="C421">
        <f>COUNTIFS(AnalizaCzyste[Wartość wykształcenia zdobywanego przez studentów na ocenianej uczelni jest wysoka.],B421,AnalizaCzyste[Czy jesteś przedstawicielem władz uczelni z grupy rektorów, prorektorów, dziekanów, prodziekanów, członków senatu lub członków rady uczelni?],"*"&amp;"Tak"&amp;"*")</f>
        <v>1</v>
      </c>
      <c r="D421">
        <f>PRODUCT(A421,C421)</f>
        <v>7</v>
      </c>
      <c r="E421" s="44">
        <f>(A421-$D$429)^2</f>
        <v>1</v>
      </c>
      <c r="F421">
        <f>PRODUCT(C421,E421)</f>
        <v>1</v>
      </c>
    </row>
    <row r="422" spans="1:7" x14ac:dyDescent="0.45">
      <c r="A422">
        <v>6</v>
      </c>
      <c r="B422" t="s">
        <v>150</v>
      </c>
      <c r="C422">
        <f>COUNTIFS(AnalizaCzyste[Wartość wykształcenia zdobywanego przez studentów na ocenianej uczelni jest wysoka.],B422,AnalizaCzyste[Czy jesteś przedstawicielem władz uczelni z grupy rektorów, prorektorów, dziekanów, prodziekanów, członków senatu lub członków rady uczelni?],"*"&amp;"Tak"&amp;"*")</f>
        <v>3</v>
      </c>
      <c r="D422">
        <f t="shared" ref="D422:D428" si="115">PRODUCT(A422,C422)</f>
        <v>18</v>
      </c>
      <c r="E422" s="44">
        <f t="shared" ref="E422:E427" si="116">(A422-$D$429)^2</f>
        <v>0</v>
      </c>
      <c r="F422">
        <f t="shared" ref="F422:F427" si="117">PRODUCT(C422,E422)</f>
        <v>0</v>
      </c>
    </row>
    <row r="423" spans="1:7" x14ac:dyDescent="0.45">
      <c r="A423">
        <v>5</v>
      </c>
      <c r="B423" t="s">
        <v>162</v>
      </c>
      <c r="C423">
        <f>COUNTIFS(AnalizaCzyste[Wartość wykształcenia zdobywanego przez studentów na ocenianej uczelni jest wysoka.],B423,AnalizaCzyste[Czy jesteś przedstawicielem władz uczelni z grupy rektorów, prorektorów, dziekanów, prodziekanów, członków senatu lub członków rady uczelni?],"*"&amp;"Tak"&amp;"*")</f>
        <v>1</v>
      </c>
      <c r="D423">
        <f t="shared" si="115"/>
        <v>5</v>
      </c>
      <c r="E423" s="44">
        <f t="shared" si="116"/>
        <v>1</v>
      </c>
      <c r="F423">
        <f t="shared" si="117"/>
        <v>1</v>
      </c>
    </row>
    <row r="424" spans="1:7" x14ac:dyDescent="0.45">
      <c r="A424">
        <v>4</v>
      </c>
      <c r="B424" t="s">
        <v>151</v>
      </c>
      <c r="C424">
        <f>COUNTIFS(AnalizaCzyste[Wartość wykształcenia zdobywanego przez studentów na ocenianej uczelni jest wysoka.],B424,AnalizaCzyste[Czy jesteś przedstawicielem władz uczelni z grupy rektorów, prorektorów, dziekanów, prodziekanów, członków senatu lub członków rady uczelni?],"*"&amp;"Tak"&amp;"*")</f>
        <v>0</v>
      </c>
      <c r="D424">
        <f t="shared" si="115"/>
        <v>0</v>
      </c>
      <c r="E424" s="44">
        <f t="shared" si="116"/>
        <v>4</v>
      </c>
      <c r="F424">
        <f t="shared" si="117"/>
        <v>0</v>
      </c>
    </row>
    <row r="425" spans="1:7" x14ac:dyDescent="0.45">
      <c r="A425">
        <v>3</v>
      </c>
      <c r="B425" t="s">
        <v>128</v>
      </c>
      <c r="C425">
        <f>COUNTIFS(AnalizaCzyste[Wartość wykształcenia zdobywanego przez studentów na ocenianej uczelni jest wysoka.],B425,AnalizaCzyste[Czy jesteś przedstawicielem władz uczelni z grupy rektorów, prorektorów, dziekanów, prodziekanów, członków senatu lub członków rady uczelni?],"*"&amp;"Tak"&amp;"*")</f>
        <v>0</v>
      </c>
      <c r="D425">
        <f t="shared" si="115"/>
        <v>0</v>
      </c>
      <c r="E425" s="44">
        <f t="shared" si="116"/>
        <v>9</v>
      </c>
      <c r="F425">
        <f t="shared" si="117"/>
        <v>0</v>
      </c>
    </row>
    <row r="426" spans="1:7" x14ac:dyDescent="0.45">
      <c r="A426">
        <v>2</v>
      </c>
      <c r="B426" t="s">
        <v>236</v>
      </c>
      <c r="C426">
        <f>COUNTIFS(AnalizaCzyste[Wartość wykształcenia zdobywanego przez studentów na ocenianej uczelni jest wysoka.],B426,AnalizaCzyste[Czy jesteś przedstawicielem władz uczelni z grupy rektorów, prorektorów, dziekanów, prodziekanów, członków senatu lub członków rady uczelni?],"*"&amp;"Tak"&amp;"*")</f>
        <v>0</v>
      </c>
      <c r="D426">
        <f t="shared" si="115"/>
        <v>0</v>
      </c>
      <c r="E426" s="44">
        <f t="shared" si="116"/>
        <v>16</v>
      </c>
      <c r="F426">
        <f t="shared" si="117"/>
        <v>0</v>
      </c>
    </row>
    <row r="427" spans="1:7" x14ac:dyDescent="0.45">
      <c r="A427">
        <v>1</v>
      </c>
      <c r="B427" t="s">
        <v>129</v>
      </c>
      <c r="C427">
        <f>COUNTIFS(AnalizaCzyste[Wartość wykształcenia zdobywanego przez studentów na ocenianej uczelni jest wysoka.],B427,AnalizaCzyste[Czy jesteś przedstawicielem władz uczelni z grupy rektorów, prorektorów, dziekanów, prodziekanów, członków senatu lub członków rady uczelni?],"*"&amp;"Tak"&amp;"*")</f>
        <v>0</v>
      </c>
      <c r="D427">
        <f t="shared" si="115"/>
        <v>0</v>
      </c>
      <c r="E427" s="44">
        <f t="shared" si="116"/>
        <v>25</v>
      </c>
      <c r="F427">
        <f t="shared" si="117"/>
        <v>0</v>
      </c>
    </row>
    <row r="428" spans="1:7" x14ac:dyDescent="0.45">
      <c r="A428" t="s">
        <v>2329</v>
      </c>
      <c r="B428" t="s">
        <v>132</v>
      </c>
      <c r="C428">
        <f>COUNTIFS(AnalizaCzyste[Wartość wykształcenia zdobywanego przez studentów na ocenianej uczelni jest wysoka.],B428,AnalizaCzyste[Czy jesteś przedstawicielem władz uczelni z grupy rektorów, prorektorów, dziekanów, prodziekanów, członków senatu lub członków rady uczelni?],"*"&amp;"Tak"&amp;"*")</f>
        <v>0</v>
      </c>
      <c r="D428">
        <f t="shared" si="115"/>
        <v>0</v>
      </c>
    </row>
    <row r="429" spans="1:7" x14ac:dyDescent="0.45">
      <c r="B429" s="20" t="s">
        <v>2351</v>
      </c>
      <c r="C429" s="29">
        <f>SUM(C421:C428)</f>
        <v>5</v>
      </c>
      <c r="D429" s="44">
        <f>SUM(D421:D427)/C430</f>
        <v>6</v>
      </c>
      <c r="E429" s="20" t="s">
        <v>2353</v>
      </c>
      <c r="F429" s="44">
        <f>SUM(F421:F428)/(C430-1)</f>
        <v>0.5</v>
      </c>
      <c r="G429" s="20" t="s">
        <v>2349</v>
      </c>
    </row>
    <row r="430" spans="1:7" x14ac:dyDescent="0.45">
      <c r="B430" s="20" t="s">
        <v>2352</v>
      </c>
      <c r="C430">
        <f>C429-C428</f>
        <v>5</v>
      </c>
      <c r="D430" s="33">
        <f>D429/7</f>
        <v>0.8571428571428571</v>
      </c>
      <c r="F430" s="44">
        <f>F429^(1/2)</f>
        <v>0.70710678118654757</v>
      </c>
      <c r="G430" t="s">
        <v>2404</v>
      </c>
    </row>
    <row r="431" spans="1:7" x14ac:dyDescent="0.45">
      <c r="B431" s="20"/>
      <c r="D431" s="33"/>
      <c r="F431" s="44"/>
    </row>
    <row r="432" spans="1:7" x14ac:dyDescent="0.45">
      <c r="A432" s="29" t="s">
        <v>2386</v>
      </c>
      <c r="C432" t="s">
        <v>2348</v>
      </c>
      <c r="E432" s="20" t="s">
        <v>2362</v>
      </c>
      <c r="F432" s="20" t="s">
        <v>2363</v>
      </c>
    </row>
    <row r="433" spans="1:7" x14ac:dyDescent="0.45">
      <c r="A433">
        <v>7</v>
      </c>
      <c r="B433" t="s">
        <v>169</v>
      </c>
      <c r="C433">
        <f>COUNTIFS(AnalizaCzyste[Zdobyte przez studentów ocenianej uczelni wykształcenie miało/ma pozytywny wpływ na ich zarobki.],B433,AnalizaCzyste[Czy jesteś przedstawicielem władz uczelni z grupy rektorów, prorektorów, dziekanów, prodziekanów, członków senatu lub członków rady uczelni?],"*"&amp;"Tak"&amp;"*")</f>
        <v>1</v>
      </c>
      <c r="D433">
        <f>PRODUCT(A433,C433)</f>
        <v>7</v>
      </c>
      <c r="E433" s="44">
        <f>(A433-$D$441)^2</f>
        <v>1.9600000000000011</v>
      </c>
      <c r="F433">
        <f>PRODUCT(C433,E433)</f>
        <v>1.9600000000000011</v>
      </c>
    </row>
    <row r="434" spans="1:7" x14ac:dyDescent="0.45">
      <c r="A434">
        <v>6</v>
      </c>
      <c r="B434" t="s">
        <v>150</v>
      </c>
      <c r="C434">
        <f>COUNTIFS(AnalizaCzyste[Zdobyte przez studentów ocenianej uczelni wykształcenie miało/ma pozytywny wpływ na ich zarobki.],B434,AnalizaCzyste[Czy jesteś przedstawicielem władz uczelni z grupy rektorów, prorektorów, dziekanów, prodziekanów, członków senatu lub członków rady uczelni?],"*"&amp;"Tak"&amp;"*")</f>
        <v>2</v>
      </c>
      <c r="D434">
        <f t="shared" ref="D434:D440" si="118">PRODUCT(A434,C434)</f>
        <v>12</v>
      </c>
      <c r="E434" s="44">
        <f t="shared" ref="E434:E439" si="119">(A434-$D$441)^2</f>
        <v>0.16000000000000028</v>
      </c>
      <c r="F434">
        <f t="shared" ref="F434:F439" si="120">PRODUCT(C434,E434)</f>
        <v>0.32000000000000056</v>
      </c>
    </row>
    <row r="435" spans="1:7" x14ac:dyDescent="0.45">
      <c r="A435">
        <v>5</v>
      </c>
      <c r="B435" t="s">
        <v>162</v>
      </c>
      <c r="C435">
        <f>COUNTIFS(AnalizaCzyste[Zdobyte przez studentów ocenianej uczelni wykształcenie miało/ma pozytywny wpływ na ich zarobki.],B435,AnalizaCzyste[Czy jesteś przedstawicielem władz uczelni z grupy rektorów, prorektorów, dziekanów, prodziekanów, członków senatu lub członków rady uczelni?],"*"&amp;"Tak"&amp;"*")</f>
        <v>1</v>
      </c>
      <c r="D435">
        <f t="shared" si="118"/>
        <v>5</v>
      </c>
      <c r="E435" s="44">
        <f t="shared" si="119"/>
        <v>0.3599999999999996</v>
      </c>
      <c r="F435">
        <f t="shared" si="120"/>
        <v>0.3599999999999996</v>
      </c>
    </row>
    <row r="436" spans="1:7" x14ac:dyDescent="0.45">
      <c r="A436">
        <v>4</v>
      </c>
      <c r="B436" t="s">
        <v>151</v>
      </c>
      <c r="C436">
        <f>COUNTIFS(AnalizaCzyste[Zdobyte przez studentów ocenianej uczelni wykształcenie miało/ma pozytywny wpływ na ich zarobki.],B436,AnalizaCzyste[Czy jesteś przedstawicielem władz uczelni z grupy rektorów, prorektorów, dziekanów, prodziekanów, członków senatu lub członków rady uczelni?],"*"&amp;"Tak"&amp;"*")</f>
        <v>1</v>
      </c>
      <c r="D436">
        <f t="shared" si="118"/>
        <v>4</v>
      </c>
      <c r="E436" s="44">
        <f t="shared" si="119"/>
        <v>2.5599999999999987</v>
      </c>
      <c r="F436">
        <f t="shared" si="120"/>
        <v>2.5599999999999987</v>
      </c>
    </row>
    <row r="437" spans="1:7" x14ac:dyDescent="0.45">
      <c r="A437">
        <v>3</v>
      </c>
      <c r="B437" t="s">
        <v>128</v>
      </c>
      <c r="C437">
        <f>COUNTIFS(AnalizaCzyste[Zdobyte przez studentów ocenianej uczelni wykształcenie miało/ma pozytywny wpływ na ich zarobki.],B437,AnalizaCzyste[Czy jesteś przedstawicielem władz uczelni z grupy rektorów, prorektorów, dziekanów, prodziekanów, członków senatu lub członków rady uczelni?],"*"&amp;"Tak"&amp;"*")</f>
        <v>0</v>
      </c>
      <c r="D437">
        <f t="shared" si="118"/>
        <v>0</v>
      </c>
      <c r="E437" s="44">
        <f t="shared" si="119"/>
        <v>6.759999999999998</v>
      </c>
      <c r="F437">
        <f t="shared" si="120"/>
        <v>0</v>
      </c>
    </row>
    <row r="438" spans="1:7" x14ac:dyDescent="0.45">
      <c r="A438">
        <v>2</v>
      </c>
      <c r="B438" t="s">
        <v>236</v>
      </c>
      <c r="C438">
        <f>COUNTIFS(AnalizaCzyste[Zdobyte przez studentów ocenianej uczelni wykształcenie miało/ma pozytywny wpływ na ich zarobki.],B438,AnalizaCzyste[Czy jesteś przedstawicielem władz uczelni z grupy rektorów, prorektorów, dziekanów, prodziekanów, członków senatu lub członków rady uczelni?],"*"&amp;"Tak"&amp;"*")</f>
        <v>0</v>
      </c>
      <c r="D438">
        <f t="shared" si="118"/>
        <v>0</v>
      </c>
      <c r="E438" s="44">
        <f t="shared" si="119"/>
        <v>12.959999999999997</v>
      </c>
      <c r="F438">
        <f t="shared" si="120"/>
        <v>0</v>
      </c>
    </row>
    <row r="439" spans="1:7" x14ac:dyDescent="0.45">
      <c r="A439">
        <v>1</v>
      </c>
      <c r="B439" t="s">
        <v>129</v>
      </c>
      <c r="C439">
        <f>COUNTIFS(AnalizaCzyste[Zdobyte przez studentów ocenianej uczelni wykształcenie miało/ma pozytywny wpływ na ich zarobki.],B439,AnalizaCzyste[Czy jesteś przedstawicielem władz uczelni z grupy rektorów, prorektorów, dziekanów, prodziekanów, członków senatu lub członków rady uczelni?],"*"&amp;"Tak"&amp;"*")</f>
        <v>0</v>
      </c>
      <c r="D439">
        <f t="shared" si="118"/>
        <v>0</v>
      </c>
      <c r="E439" s="44">
        <f t="shared" si="119"/>
        <v>21.159999999999997</v>
      </c>
      <c r="F439">
        <f t="shared" si="120"/>
        <v>0</v>
      </c>
    </row>
    <row r="440" spans="1:7" x14ac:dyDescent="0.45">
      <c r="A440" t="s">
        <v>2329</v>
      </c>
      <c r="B440" t="s">
        <v>132</v>
      </c>
      <c r="C440">
        <f>COUNTIFS(AnalizaCzyste[Zdobyte przez studentów ocenianej uczelni wykształcenie miało/ma pozytywny wpływ na ich zarobki.],B440,AnalizaCzyste[Czy jesteś przedstawicielem władz uczelni z grupy rektorów, prorektorów, dziekanów, prodziekanów, członków senatu lub członków rady uczelni?],"*"&amp;"Tak"&amp;"*")</f>
        <v>0</v>
      </c>
      <c r="D440">
        <f t="shared" si="118"/>
        <v>0</v>
      </c>
    </row>
    <row r="441" spans="1:7" x14ac:dyDescent="0.45">
      <c r="B441" s="20" t="s">
        <v>2351</v>
      </c>
      <c r="C441" s="29">
        <f>SUM(C433:C440)</f>
        <v>5</v>
      </c>
      <c r="D441" s="44">
        <f>SUM(D433:D439)/C442</f>
        <v>5.6</v>
      </c>
      <c r="E441" s="20" t="s">
        <v>2353</v>
      </c>
      <c r="F441" s="44">
        <f>SUM(F433:F440)/(C442-1)</f>
        <v>1.2999999999999998</v>
      </c>
      <c r="G441" s="20" t="s">
        <v>2349</v>
      </c>
    </row>
    <row r="442" spans="1:7" x14ac:dyDescent="0.45">
      <c r="B442" s="20" t="s">
        <v>2352</v>
      </c>
      <c r="C442">
        <f>C441-C440</f>
        <v>5</v>
      </c>
      <c r="D442" s="33">
        <f>D441/7</f>
        <v>0.79999999999999993</v>
      </c>
      <c r="F442" s="44">
        <f>F441^(1/2)</f>
        <v>1.1401754250991378</v>
      </c>
      <c r="G442" t="s">
        <v>2404</v>
      </c>
    </row>
    <row r="443" spans="1:7" x14ac:dyDescent="0.45">
      <c r="B443" s="20"/>
      <c r="D443" s="33"/>
      <c r="F443" s="44"/>
    </row>
    <row r="444" spans="1:7" x14ac:dyDescent="0.45">
      <c r="A444" s="29" t="s">
        <v>2387</v>
      </c>
      <c r="C444" t="s">
        <v>2348</v>
      </c>
      <c r="E444" s="20" t="s">
        <v>2362</v>
      </c>
      <c r="F444" s="20" t="s">
        <v>2363</v>
      </c>
    </row>
    <row r="445" spans="1:7" x14ac:dyDescent="0.45">
      <c r="A445">
        <v>7</v>
      </c>
      <c r="B445" t="s">
        <v>169</v>
      </c>
      <c r="C445">
        <f>COUNTIFS(AnalizaCzyste[Efekty działań ocenianej uczelni na rzecz jakości edukacji mają dobry wpływ na rozwój regionu.],B445,AnalizaCzyste[Czy jesteś przedstawicielem władz uczelni z grupy rektorów, prorektorów, dziekanów, prodziekanów, członków senatu lub członków rady uczelni?],"*"&amp;"Tak"&amp;"*")</f>
        <v>1</v>
      </c>
      <c r="D445">
        <f>PRODUCT(A445,C445)</f>
        <v>7</v>
      </c>
      <c r="E445" s="44">
        <f>(A445-$D$453)^2</f>
        <v>1.5625</v>
      </c>
      <c r="F445">
        <f>PRODUCT(C445,E445)</f>
        <v>1.5625</v>
      </c>
    </row>
    <row r="446" spans="1:7" x14ac:dyDescent="0.45">
      <c r="A446">
        <v>6</v>
      </c>
      <c r="B446" t="s">
        <v>150</v>
      </c>
      <c r="C446">
        <f>COUNTIFS(AnalizaCzyste[Efekty działań ocenianej uczelni na rzecz jakości edukacji mają dobry wpływ na rozwój regionu.],B446,AnalizaCzyste[Czy jesteś przedstawicielem władz uczelni z grupy rektorów, prorektorów, dziekanów, prodziekanów, członków senatu lub członków rady uczelni?],"*"&amp;"Tak"&amp;"*")</f>
        <v>2</v>
      </c>
      <c r="D446">
        <f t="shared" ref="D446:D452" si="121">PRODUCT(A446,C446)</f>
        <v>12</v>
      </c>
      <c r="E446" s="44">
        <f t="shared" ref="E446:E451" si="122">(A446-$D$453)^2</f>
        <v>6.25E-2</v>
      </c>
      <c r="F446">
        <f t="shared" ref="F446:F451" si="123">PRODUCT(C446,E446)</f>
        <v>0.125</v>
      </c>
    </row>
    <row r="447" spans="1:7" x14ac:dyDescent="0.45">
      <c r="A447">
        <v>5</v>
      </c>
      <c r="B447" t="s">
        <v>162</v>
      </c>
      <c r="C447">
        <f>COUNTIFS(AnalizaCzyste[Efekty działań ocenianej uczelni na rzecz jakości edukacji mają dobry wpływ na rozwój regionu.],B447,AnalizaCzyste[Czy jesteś przedstawicielem władz uczelni z grupy rektorów, prorektorów, dziekanów, prodziekanów, członków senatu lub członków rady uczelni?],"*"&amp;"Tak"&amp;"*")</f>
        <v>0</v>
      </c>
      <c r="D447">
        <f t="shared" si="121"/>
        <v>0</v>
      </c>
      <c r="E447" s="44">
        <f t="shared" si="122"/>
        <v>0.5625</v>
      </c>
      <c r="F447">
        <f t="shared" si="123"/>
        <v>0</v>
      </c>
    </row>
    <row r="448" spans="1:7" x14ac:dyDescent="0.45">
      <c r="A448">
        <v>4</v>
      </c>
      <c r="B448" t="s">
        <v>151</v>
      </c>
      <c r="C448">
        <f>COUNTIFS(AnalizaCzyste[Efekty działań ocenianej uczelni na rzecz jakości edukacji mają dobry wpływ na rozwój regionu.],B448,AnalizaCzyste[Czy jesteś przedstawicielem władz uczelni z grupy rektorów, prorektorów, dziekanów, prodziekanów, członków senatu lub członków rady uczelni?],"*"&amp;"Tak"&amp;"*")</f>
        <v>1</v>
      </c>
      <c r="D448">
        <f t="shared" si="121"/>
        <v>4</v>
      </c>
      <c r="E448" s="44">
        <f t="shared" si="122"/>
        <v>3.0625</v>
      </c>
      <c r="F448">
        <f t="shared" si="123"/>
        <v>3.0625</v>
      </c>
    </row>
    <row r="449" spans="1:7" x14ac:dyDescent="0.45">
      <c r="A449">
        <v>3</v>
      </c>
      <c r="B449" t="s">
        <v>128</v>
      </c>
      <c r="C449">
        <f>COUNTIFS(AnalizaCzyste[Efekty działań ocenianej uczelni na rzecz jakości edukacji mają dobry wpływ na rozwój regionu.],B449,AnalizaCzyste[Czy jesteś przedstawicielem władz uczelni z grupy rektorów, prorektorów, dziekanów, prodziekanów, członków senatu lub członków rady uczelni?],"*"&amp;"Tak"&amp;"*")</f>
        <v>0</v>
      </c>
      <c r="D449">
        <f t="shared" si="121"/>
        <v>0</v>
      </c>
      <c r="E449" s="44">
        <f t="shared" si="122"/>
        <v>7.5625</v>
      </c>
      <c r="F449">
        <f t="shared" si="123"/>
        <v>0</v>
      </c>
    </row>
    <row r="450" spans="1:7" x14ac:dyDescent="0.45">
      <c r="A450">
        <v>2</v>
      </c>
      <c r="B450" t="s">
        <v>236</v>
      </c>
      <c r="C450">
        <f>COUNTIFS(AnalizaCzyste[Efekty działań ocenianej uczelni na rzecz jakości edukacji mają dobry wpływ na rozwój regionu.],B450,AnalizaCzyste[Czy jesteś przedstawicielem władz uczelni z grupy rektorów, prorektorów, dziekanów, prodziekanów, członków senatu lub członków rady uczelni?],"*"&amp;"Tak"&amp;"*")</f>
        <v>0</v>
      </c>
      <c r="D450">
        <f t="shared" si="121"/>
        <v>0</v>
      </c>
      <c r="E450" s="44">
        <f t="shared" si="122"/>
        <v>14.0625</v>
      </c>
      <c r="F450">
        <f t="shared" si="123"/>
        <v>0</v>
      </c>
    </row>
    <row r="451" spans="1:7" x14ac:dyDescent="0.45">
      <c r="A451">
        <v>1</v>
      </c>
      <c r="B451" t="s">
        <v>129</v>
      </c>
      <c r="C451">
        <f>COUNTIFS(AnalizaCzyste[Efekty działań ocenianej uczelni na rzecz jakości edukacji mają dobry wpływ na rozwój regionu.],B451,AnalizaCzyste[Czy jesteś przedstawicielem władz uczelni z grupy rektorów, prorektorów, dziekanów, prodziekanów, członków senatu lub członków rady uczelni?],"*"&amp;"Tak"&amp;"*")</f>
        <v>0</v>
      </c>
      <c r="D451">
        <f t="shared" si="121"/>
        <v>0</v>
      </c>
      <c r="E451" s="44">
        <f t="shared" si="122"/>
        <v>22.5625</v>
      </c>
      <c r="F451">
        <f t="shared" si="123"/>
        <v>0</v>
      </c>
    </row>
    <row r="452" spans="1:7" x14ac:dyDescent="0.45">
      <c r="A452" t="s">
        <v>2329</v>
      </c>
      <c r="B452" t="s">
        <v>132</v>
      </c>
      <c r="C452">
        <f>COUNTIFS(AnalizaCzyste[Efekty działań ocenianej uczelni na rzecz jakości edukacji mają dobry wpływ na rozwój regionu.],B452,AnalizaCzyste[Czy jesteś przedstawicielem władz uczelni z grupy rektorów, prorektorów, dziekanów, prodziekanów, członków senatu lub członków rady uczelni?],"*"&amp;"Tak"&amp;"*")</f>
        <v>1</v>
      </c>
      <c r="D452">
        <f t="shared" si="121"/>
        <v>1</v>
      </c>
    </row>
    <row r="453" spans="1:7" x14ac:dyDescent="0.45">
      <c r="B453" s="20" t="s">
        <v>2351</v>
      </c>
      <c r="C453" s="29">
        <f>SUM(C445:C452)</f>
        <v>5</v>
      </c>
      <c r="D453" s="44">
        <f>SUM(D445:D451)/C454</f>
        <v>5.75</v>
      </c>
      <c r="E453" s="20" t="s">
        <v>2353</v>
      </c>
      <c r="F453" s="44">
        <f>SUM(F445:F452)/(C454-1)</f>
        <v>1.5833333333333333</v>
      </c>
      <c r="G453" s="20" t="s">
        <v>2349</v>
      </c>
    </row>
    <row r="454" spans="1:7" x14ac:dyDescent="0.45">
      <c r="B454" s="20" t="s">
        <v>2352</v>
      </c>
      <c r="C454">
        <f>C453-C452</f>
        <v>4</v>
      </c>
      <c r="D454" s="33">
        <f>D453/7</f>
        <v>0.8214285714285714</v>
      </c>
      <c r="F454" s="44">
        <f>F453^(1/2)</f>
        <v>1.2583057392117916</v>
      </c>
      <c r="G454" t="s">
        <v>2404</v>
      </c>
    </row>
    <row r="455" spans="1:7" x14ac:dyDescent="0.45">
      <c r="B455" s="20"/>
      <c r="D455" s="33"/>
      <c r="F455" s="44"/>
    </row>
    <row r="456" spans="1:7" x14ac:dyDescent="0.45">
      <c r="A456" s="29" t="s">
        <v>2388</v>
      </c>
      <c r="C456" t="s">
        <v>2348</v>
      </c>
      <c r="E456" s="20" t="s">
        <v>2362</v>
      </c>
      <c r="F456" s="20" t="s">
        <v>2363</v>
      </c>
    </row>
    <row r="457" spans="1:7" x14ac:dyDescent="0.45">
      <c r="A457">
        <v>7</v>
      </c>
      <c r="B457" t="s">
        <v>169</v>
      </c>
      <c r="C457">
        <f>COUNTIFS(AnalizaCzyste[Efekty działań ocenianej uczelni na rzecz jakości edukacji mają dobry wpływ na rozwój Polski.],B457,AnalizaCzyste[Czy jesteś przedstawicielem władz uczelni z grupy rektorów, prorektorów, dziekanów, prodziekanów, członków senatu lub członków rady uczelni?],"*"&amp;"Tak"&amp;"*")</f>
        <v>1</v>
      </c>
      <c r="D457">
        <f>PRODUCT(A457,C457)</f>
        <v>7</v>
      </c>
      <c r="E457" s="44">
        <f>(A457-$D$465)^2</f>
        <v>1.5625</v>
      </c>
      <c r="F457">
        <f>PRODUCT(C457,E457)</f>
        <v>1.5625</v>
      </c>
    </row>
    <row r="458" spans="1:7" x14ac:dyDescent="0.45">
      <c r="A458">
        <v>6</v>
      </c>
      <c r="B458" t="s">
        <v>150</v>
      </c>
      <c r="C458">
        <f>COUNTIFS(AnalizaCzyste[Efekty działań ocenianej uczelni na rzecz jakości edukacji mają dobry wpływ na rozwój Polski.],B458,AnalizaCzyste[Czy jesteś przedstawicielem władz uczelni z grupy rektorów, prorektorów, dziekanów, prodziekanów, członków senatu lub członków rady uczelni?],"*"&amp;"Tak"&amp;"*")</f>
        <v>1</v>
      </c>
      <c r="D458">
        <f t="shared" ref="D458:D464" si="124">PRODUCT(A458,C458)</f>
        <v>6</v>
      </c>
      <c r="E458" s="44">
        <f t="shared" ref="E458:E463" si="125">(A458-$D$465)^2</f>
        <v>6.25E-2</v>
      </c>
      <c r="F458">
        <f t="shared" ref="F458:F463" si="126">PRODUCT(C458,E458)</f>
        <v>6.25E-2</v>
      </c>
    </row>
    <row r="459" spans="1:7" x14ac:dyDescent="0.45">
      <c r="A459">
        <v>5</v>
      </c>
      <c r="B459" t="s">
        <v>162</v>
      </c>
      <c r="C459">
        <f>COUNTIFS(AnalizaCzyste[Efekty działań ocenianej uczelni na rzecz jakości edukacji mają dobry wpływ na rozwój Polski.],B459,AnalizaCzyste[Czy jesteś przedstawicielem władz uczelni z grupy rektorów, prorektorów, dziekanów, prodziekanów, członków senatu lub członków rady uczelni?],"*"&amp;"Tak"&amp;"*")</f>
        <v>2</v>
      </c>
      <c r="D459">
        <f t="shared" si="124"/>
        <v>10</v>
      </c>
      <c r="E459" s="44">
        <f t="shared" si="125"/>
        <v>0.5625</v>
      </c>
      <c r="F459">
        <f t="shared" si="126"/>
        <v>1.125</v>
      </c>
    </row>
    <row r="460" spans="1:7" x14ac:dyDescent="0.45">
      <c r="A460">
        <v>4</v>
      </c>
      <c r="B460" t="s">
        <v>151</v>
      </c>
      <c r="C460">
        <f>COUNTIFS(AnalizaCzyste[Efekty działań ocenianej uczelni na rzecz jakości edukacji mają dobry wpływ na rozwój Polski.],B460,AnalizaCzyste[Czy jesteś przedstawicielem władz uczelni z grupy rektorów, prorektorów, dziekanów, prodziekanów, członków senatu lub członków rady uczelni?],"*"&amp;"Tak"&amp;"*")</f>
        <v>0</v>
      </c>
      <c r="D460">
        <f t="shared" si="124"/>
        <v>0</v>
      </c>
      <c r="E460" s="44">
        <f t="shared" si="125"/>
        <v>3.0625</v>
      </c>
      <c r="F460">
        <f t="shared" si="126"/>
        <v>0</v>
      </c>
    </row>
    <row r="461" spans="1:7" x14ac:dyDescent="0.45">
      <c r="A461">
        <v>3</v>
      </c>
      <c r="B461" t="s">
        <v>128</v>
      </c>
      <c r="C461">
        <f>COUNTIFS(AnalizaCzyste[Efekty działań ocenianej uczelni na rzecz jakości edukacji mają dobry wpływ na rozwój Polski.],B461,AnalizaCzyste[Czy jesteś przedstawicielem władz uczelni z grupy rektorów, prorektorów, dziekanów, prodziekanów, członków senatu lub członków rady uczelni?],"*"&amp;"Tak"&amp;"*")</f>
        <v>0</v>
      </c>
      <c r="D461">
        <f t="shared" si="124"/>
        <v>0</v>
      </c>
      <c r="E461" s="44">
        <f t="shared" si="125"/>
        <v>7.5625</v>
      </c>
      <c r="F461">
        <f t="shared" si="126"/>
        <v>0</v>
      </c>
    </row>
    <row r="462" spans="1:7" x14ac:dyDescent="0.45">
      <c r="A462">
        <v>2</v>
      </c>
      <c r="B462" t="s">
        <v>236</v>
      </c>
      <c r="C462">
        <f>COUNTIFS(AnalizaCzyste[Efekty działań ocenianej uczelni na rzecz jakości edukacji mają dobry wpływ na rozwój Polski.],B462,AnalizaCzyste[Czy jesteś przedstawicielem władz uczelni z grupy rektorów, prorektorów, dziekanów, prodziekanów, członków senatu lub członków rady uczelni?],"*"&amp;"Tak"&amp;"*")</f>
        <v>0</v>
      </c>
      <c r="D462">
        <f t="shared" si="124"/>
        <v>0</v>
      </c>
      <c r="E462" s="44">
        <f t="shared" si="125"/>
        <v>14.0625</v>
      </c>
      <c r="F462">
        <f t="shared" si="126"/>
        <v>0</v>
      </c>
    </row>
    <row r="463" spans="1:7" x14ac:dyDescent="0.45">
      <c r="A463">
        <v>1</v>
      </c>
      <c r="B463" t="s">
        <v>129</v>
      </c>
      <c r="C463">
        <f>COUNTIFS(AnalizaCzyste[Efekty działań ocenianej uczelni na rzecz jakości edukacji mają dobry wpływ na rozwój Polski.],B463,AnalizaCzyste[Czy jesteś przedstawicielem władz uczelni z grupy rektorów, prorektorów, dziekanów, prodziekanów, członków senatu lub członków rady uczelni?],"*"&amp;"Tak"&amp;"*")</f>
        <v>0</v>
      </c>
      <c r="D463">
        <f t="shared" si="124"/>
        <v>0</v>
      </c>
      <c r="E463" s="44">
        <f t="shared" si="125"/>
        <v>22.5625</v>
      </c>
      <c r="F463">
        <f t="shared" si="126"/>
        <v>0</v>
      </c>
    </row>
    <row r="464" spans="1:7" x14ac:dyDescent="0.45">
      <c r="A464" t="s">
        <v>2329</v>
      </c>
      <c r="B464" t="s">
        <v>132</v>
      </c>
      <c r="C464">
        <f>COUNTIFS(AnalizaCzyste[Efekty działań ocenianej uczelni na rzecz jakości edukacji mają dobry wpływ na rozwój Polski.],B464,AnalizaCzyste[Czy jesteś przedstawicielem władz uczelni z grupy rektorów, prorektorów, dziekanów, prodziekanów, członków senatu lub członków rady uczelni?],"*"&amp;"Tak"&amp;"*")</f>
        <v>1</v>
      </c>
      <c r="D464">
        <f t="shared" si="124"/>
        <v>1</v>
      </c>
    </row>
    <row r="465" spans="1:7" x14ac:dyDescent="0.45">
      <c r="B465" s="20" t="s">
        <v>2351</v>
      </c>
      <c r="C465" s="29">
        <f>SUM(C457:C464)</f>
        <v>5</v>
      </c>
      <c r="D465" s="44">
        <f>SUM(D457:D463)/C466</f>
        <v>5.75</v>
      </c>
      <c r="E465" s="20" t="s">
        <v>2353</v>
      </c>
      <c r="F465" s="44">
        <f>SUM(F457:F464)/(C466-1)</f>
        <v>0.91666666666666663</v>
      </c>
      <c r="G465" s="20" t="s">
        <v>2349</v>
      </c>
    </row>
    <row r="466" spans="1:7" x14ac:dyDescent="0.45">
      <c r="B466" s="20" t="s">
        <v>2352</v>
      </c>
      <c r="C466">
        <f>C465-C464</f>
        <v>4</v>
      </c>
      <c r="D466" s="33">
        <f>D465/7</f>
        <v>0.8214285714285714</v>
      </c>
      <c r="F466" s="44">
        <f>F465^(1/2)</f>
        <v>0.9574271077563381</v>
      </c>
      <c r="G466" t="s">
        <v>2404</v>
      </c>
    </row>
    <row r="467" spans="1:7" x14ac:dyDescent="0.45">
      <c r="B467" s="20"/>
      <c r="D467" s="33"/>
      <c r="F467" s="44"/>
    </row>
    <row r="468" spans="1:7" x14ac:dyDescent="0.45">
      <c r="A468" s="29" t="s">
        <v>2389</v>
      </c>
      <c r="C468" t="s">
        <v>2348</v>
      </c>
      <c r="E468" s="20" t="s">
        <v>2362</v>
      </c>
      <c r="F468" s="20" t="s">
        <v>2363</v>
      </c>
    </row>
    <row r="469" spans="1:7" x14ac:dyDescent="0.45">
      <c r="A469">
        <v>7</v>
      </c>
      <c r="B469" t="s">
        <v>169</v>
      </c>
      <c r="C469">
        <f>COUNTIFS(AnalizaCzyste[Współpraca ocenianej uczelni z biznesem ma pozytywne efekty dla rozwoju regionu / kraju.],B469,AnalizaCzyste[Czy jesteś przedstawicielem władz uczelni z grupy rektorów, prorektorów, dziekanów, prodziekanów, członków senatu lub członków rady uczelni?],"*"&amp;"Tak"&amp;"*")</f>
        <v>2</v>
      </c>
      <c r="D469">
        <f>PRODUCT(A469,C469)</f>
        <v>14</v>
      </c>
      <c r="E469" s="44">
        <f>(A469-$D$477)^2</f>
        <v>1</v>
      </c>
      <c r="F469">
        <f>PRODUCT(C469,E469)</f>
        <v>2</v>
      </c>
    </row>
    <row r="470" spans="1:7" x14ac:dyDescent="0.45">
      <c r="A470">
        <v>6</v>
      </c>
      <c r="B470" t="s">
        <v>150</v>
      </c>
      <c r="C470">
        <f>COUNTIFS(AnalizaCzyste[Współpraca ocenianej uczelni z biznesem ma pozytywne efekty dla rozwoju regionu / kraju.],B470,AnalizaCzyste[Czy jesteś przedstawicielem władz uczelni z grupy rektorów, prorektorów, dziekanów, prodziekanów, członków senatu lub członków rady uczelni?],"*"&amp;"Tak"&amp;"*")</f>
        <v>0</v>
      </c>
      <c r="D470">
        <f t="shared" ref="D470:D476" si="127">PRODUCT(A470,C470)</f>
        <v>0</v>
      </c>
      <c r="E470" s="44">
        <f t="shared" ref="E470:E475" si="128">(A470-$D$477)^2</f>
        <v>0</v>
      </c>
      <c r="F470">
        <f t="shared" ref="F470:F475" si="129">PRODUCT(C470,E470)</f>
        <v>0</v>
      </c>
    </row>
    <row r="471" spans="1:7" x14ac:dyDescent="0.45">
      <c r="A471">
        <v>5</v>
      </c>
      <c r="B471" t="s">
        <v>162</v>
      </c>
      <c r="C471">
        <f>COUNTIFS(AnalizaCzyste[Współpraca ocenianej uczelni z biznesem ma pozytywne efekty dla rozwoju regionu / kraju.],B471,AnalizaCzyste[Czy jesteś przedstawicielem władz uczelni z grupy rektorów, prorektorów, dziekanów, prodziekanów, członków senatu lub członków rady uczelni?],"*"&amp;"Tak"&amp;"*")</f>
        <v>2</v>
      </c>
      <c r="D471">
        <f t="shared" si="127"/>
        <v>10</v>
      </c>
      <c r="E471" s="44">
        <f t="shared" si="128"/>
        <v>1</v>
      </c>
      <c r="F471">
        <f t="shared" si="129"/>
        <v>2</v>
      </c>
    </row>
    <row r="472" spans="1:7" x14ac:dyDescent="0.45">
      <c r="A472">
        <v>4</v>
      </c>
      <c r="B472" t="s">
        <v>151</v>
      </c>
      <c r="C472">
        <f>COUNTIFS(AnalizaCzyste[Współpraca ocenianej uczelni z biznesem ma pozytywne efekty dla rozwoju regionu / kraju.],B472,AnalizaCzyste[Czy jesteś przedstawicielem władz uczelni z grupy rektorów, prorektorów, dziekanów, prodziekanów, członków senatu lub członków rady uczelni?],"*"&amp;"Tak"&amp;"*")</f>
        <v>0</v>
      </c>
      <c r="D472">
        <f t="shared" si="127"/>
        <v>0</v>
      </c>
      <c r="E472" s="44">
        <f t="shared" si="128"/>
        <v>4</v>
      </c>
      <c r="F472">
        <f t="shared" si="129"/>
        <v>0</v>
      </c>
    </row>
    <row r="473" spans="1:7" x14ac:dyDescent="0.45">
      <c r="A473">
        <v>3</v>
      </c>
      <c r="B473" t="s">
        <v>128</v>
      </c>
      <c r="C473">
        <f>COUNTIFS(AnalizaCzyste[Współpraca ocenianej uczelni z biznesem ma pozytywne efekty dla rozwoju regionu / kraju.],B473,AnalizaCzyste[Czy jesteś przedstawicielem władz uczelni z grupy rektorów, prorektorów, dziekanów, prodziekanów, członków senatu lub członków rady uczelni?],"*"&amp;"Tak"&amp;"*")</f>
        <v>0</v>
      </c>
      <c r="D473">
        <f t="shared" si="127"/>
        <v>0</v>
      </c>
      <c r="E473" s="44">
        <f t="shared" si="128"/>
        <v>9</v>
      </c>
      <c r="F473">
        <f t="shared" si="129"/>
        <v>0</v>
      </c>
    </row>
    <row r="474" spans="1:7" x14ac:dyDescent="0.45">
      <c r="A474">
        <v>2</v>
      </c>
      <c r="B474" t="s">
        <v>236</v>
      </c>
      <c r="C474">
        <f>COUNTIFS(AnalizaCzyste[Współpraca ocenianej uczelni z biznesem ma pozytywne efekty dla rozwoju regionu / kraju.],B474,AnalizaCzyste[Czy jesteś przedstawicielem władz uczelni z grupy rektorów, prorektorów, dziekanów, prodziekanów, członków senatu lub członków rady uczelni?],"*"&amp;"Tak"&amp;"*")</f>
        <v>0</v>
      </c>
      <c r="D474">
        <f t="shared" si="127"/>
        <v>0</v>
      </c>
      <c r="E474" s="44">
        <f t="shared" si="128"/>
        <v>16</v>
      </c>
      <c r="F474">
        <f t="shared" si="129"/>
        <v>0</v>
      </c>
    </row>
    <row r="475" spans="1:7" x14ac:dyDescent="0.45">
      <c r="A475">
        <v>1</v>
      </c>
      <c r="B475" t="s">
        <v>129</v>
      </c>
      <c r="C475">
        <f>COUNTIFS(AnalizaCzyste[Współpraca ocenianej uczelni z biznesem ma pozytywne efekty dla rozwoju regionu / kraju.],B475,AnalizaCzyste[Czy jesteś przedstawicielem władz uczelni z grupy rektorów, prorektorów, dziekanów, prodziekanów, członków senatu lub członków rady uczelni?],"*"&amp;"Tak"&amp;"*")</f>
        <v>0</v>
      </c>
      <c r="D475">
        <f t="shared" si="127"/>
        <v>0</v>
      </c>
      <c r="E475" s="44">
        <f t="shared" si="128"/>
        <v>25</v>
      </c>
      <c r="F475">
        <f t="shared" si="129"/>
        <v>0</v>
      </c>
    </row>
    <row r="476" spans="1:7" x14ac:dyDescent="0.45">
      <c r="A476" t="s">
        <v>2329</v>
      </c>
      <c r="B476" t="s">
        <v>132</v>
      </c>
      <c r="C476">
        <f>COUNTIFS(AnalizaCzyste[Współpraca ocenianej uczelni z biznesem ma pozytywne efekty dla rozwoju regionu / kraju.],B476,AnalizaCzyste[Czy jesteś przedstawicielem władz uczelni z grupy rektorów, prorektorów, dziekanów, prodziekanów, członków senatu lub członków rady uczelni?],"*"&amp;"Tak"&amp;"*")</f>
        <v>1</v>
      </c>
      <c r="D476">
        <f t="shared" si="127"/>
        <v>1</v>
      </c>
    </row>
    <row r="477" spans="1:7" x14ac:dyDescent="0.45">
      <c r="B477" s="20" t="s">
        <v>2351</v>
      </c>
      <c r="C477" s="29">
        <f>SUM(C469:C476)</f>
        <v>5</v>
      </c>
      <c r="D477" s="44">
        <f>SUM(D469:D475)/C478</f>
        <v>6</v>
      </c>
      <c r="E477" s="20" t="s">
        <v>2353</v>
      </c>
      <c r="F477" s="44">
        <f>SUM(F469:F476)/(C478-1)</f>
        <v>1.3333333333333333</v>
      </c>
      <c r="G477" s="20" t="s">
        <v>2349</v>
      </c>
    </row>
    <row r="478" spans="1:7" x14ac:dyDescent="0.45">
      <c r="B478" s="20" t="s">
        <v>2352</v>
      </c>
      <c r="C478">
        <f>C477-C476</f>
        <v>4</v>
      </c>
      <c r="D478" s="33">
        <f>D477/7</f>
        <v>0.8571428571428571</v>
      </c>
      <c r="F478" s="44">
        <f>F477^(1/2)</f>
        <v>1.1547005383792515</v>
      </c>
      <c r="G478" t="s">
        <v>2404</v>
      </c>
    </row>
    <row r="479" spans="1:7" x14ac:dyDescent="0.45">
      <c r="B479" s="20"/>
      <c r="D479" s="33"/>
      <c r="F479" s="44"/>
    </row>
    <row r="480" spans="1:7" x14ac:dyDescent="0.45">
      <c r="A480" s="29" t="s">
        <v>2358</v>
      </c>
      <c r="C480" t="s">
        <v>2348</v>
      </c>
      <c r="E480" s="20" t="s">
        <v>2362</v>
      </c>
      <c r="F480" s="20" t="s">
        <v>2363</v>
      </c>
    </row>
    <row r="481" spans="1:20" x14ac:dyDescent="0.45">
      <c r="A481">
        <v>7</v>
      </c>
      <c r="B481" t="s">
        <v>169</v>
      </c>
      <c r="C481">
        <f>COUNTIFS(AnalizaCzyste[Moja satysfakcja z (efektów) usług edukacyjnych na ocenianej uczelni jest wysoka.],B481,AnalizaCzyste[Czy jesteś przedstawicielem firmy, w której są zatrudniani absolwenci uczelni wyższych (tytuł licencjata, magistra lub wyższy)?],"*"&amp;"Tak"&amp;"*")</f>
        <v>3</v>
      </c>
      <c r="D481">
        <f>PRODUCT(A481,C481)</f>
        <v>21</v>
      </c>
      <c r="E481" s="44">
        <f>(A481-$D$489)^2</f>
        <v>2.0864197530864201</v>
      </c>
      <c r="F481">
        <f>PRODUCT(C481,E481)</f>
        <v>6.2592592592592604</v>
      </c>
    </row>
    <row r="482" spans="1:20" x14ac:dyDescent="0.45">
      <c r="A482">
        <v>6</v>
      </c>
      <c r="B482" t="s">
        <v>150</v>
      </c>
      <c r="C482">
        <f>COUNTIFS(AnalizaCzyste[Moja satysfakcja z (efektów) usług edukacyjnych na ocenianej uczelni jest wysoka.],B482,AnalizaCzyste[Czy jesteś przedstawicielem firmy, w której są zatrudniani absolwenci uczelni wyższych (tytuł licencjata, magistra lub wyższy)?],"*"&amp;"Tak"&amp;"*")</f>
        <v>1</v>
      </c>
      <c r="D482">
        <f t="shared" ref="D482:D488" si="130">PRODUCT(A482,C482)</f>
        <v>6</v>
      </c>
      <c r="E482" s="44">
        <f t="shared" ref="E482:E487" si="131">(A482-$D$489)^2</f>
        <v>0.19753086419753105</v>
      </c>
      <c r="F482">
        <f t="shared" ref="F482:F487" si="132">PRODUCT(C482,E482)</f>
        <v>0.19753086419753105</v>
      </c>
    </row>
    <row r="483" spans="1:20" x14ac:dyDescent="0.45">
      <c r="A483">
        <v>5</v>
      </c>
      <c r="B483" t="s">
        <v>162</v>
      </c>
      <c r="C483">
        <f>COUNTIFS(AnalizaCzyste[Moja satysfakcja z (efektów) usług edukacyjnych na ocenianej uczelni jest wysoka.],B483,AnalizaCzyste[Czy jesteś przedstawicielem firmy, w której są zatrudniani absolwenci uczelni wyższych (tytuł licencjata, magistra lub wyższy)?],"*"&amp;"Tak"&amp;"*")</f>
        <v>3</v>
      </c>
      <c r="D483">
        <f t="shared" si="130"/>
        <v>15</v>
      </c>
      <c r="E483" s="44">
        <f t="shared" si="131"/>
        <v>0.30864197530864174</v>
      </c>
      <c r="F483">
        <f t="shared" si="132"/>
        <v>0.92592592592592515</v>
      </c>
    </row>
    <row r="484" spans="1:20" x14ac:dyDescent="0.45">
      <c r="A484">
        <v>4</v>
      </c>
      <c r="B484" t="s">
        <v>151</v>
      </c>
      <c r="C484">
        <f>COUNTIFS(AnalizaCzyste[Moja satysfakcja z (efektów) usług edukacyjnych na ocenianej uczelni jest wysoka.],B484,AnalizaCzyste[Czy jesteś przedstawicielem firmy, w której są zatrudniani absolwenci uczelni wyższych (tytuł licencjata, magistra lub wyższy)?],"*"&amp;"Tak"&amp;"*")</f>
        <v>2</v>
      </c>
      <c r="D484">
        <f t="shared" si="130"/>
        <v>8</v>
      </c>
      <c r="E484" s="44">
        <f t="shared" si="131"/>
        <v>2.4197530864197523</v>
      </c>
      <c r="F484">
        <f t="shared" si="132"/>
        <v>4.8395061728395046</v>
      </c>
    </row>
    <row r="485" spans="1:20" x14ac:dyDescent="0.45">
      <c r="A485">
        <v>3</v>
      </c>
      <c r="B485" t="s">
        <v>128</v>
      </c>
      <c r="C485">
        <f>COUNTIFS(AnalizaCzyste[Moja satysfakcja z (efektów) usług edukacyjnych na ocenianej uczelni jest wysoka.],B485,AnalizaCzyste[Czy jesteś przedstawicielem firmy, w której są zatrudniani absolwenci uczelni wyższych (tytuł licencjata, magistra lub wyższy)?],"*"&amp;"Tak"&amp;"*")</f>
        <v>0</v>
      </c>
      <c r="D485">
        <f t="shared" si="130"/>
        <v>0</v>
      </c>
      <c r="E485" s="44">
        <f t="shared" si="131"/>
        <v>6.530864197530863</v>
      </c>
      <c r="F485">
        <f t="shared" si="132"/>
        <v>0</v>
      </c>
    </row>
    <row r="486" spans="1:20" x14ac:dyDescent="0.45">
      <c r="A486">
        <v>2</v>
      </c>
      <c r="B486" t="s">
        <v>236</v>
      </c>
      <c r="C486">
        <f>COUNTIFS(AnalizaCzyste[Moja satysfakcja z (efektów) usług edukacyjnych na ocenianej uczelni jest wysoka.],B486,AnalizaCzyste[Czy jesteś przedstawicielem firmy, w której są zatrudniani absolwenci uczelni wyższych (tytuł licencjata, magistra lub wyższy)?],"*"&amp;"Tak"&amp;"*")</f>
        <v>0</v>
      </c>
      <c r="D486">
        <f t="shared" si="130"/>
        <v>0</v>
      </c>
      <c r="E486" s="44">
        <f t="shared" si="131"/>
        <v>12.641975308641975</v>
      </c>
      <c r="F486">
        <f t="shared" si="132"/>
        <v>0</v>
      </c>
    </row>
    <row r="487" spans="1:20" x14ac:dyDescent="0.45">
      <c r="A487">
        <v>1</v>
      </c>
      <c r="B487" t="s">
        <v>129</v>
      </c>
      <c r="C487">
        <f>COUNTIFS(AnalizaCzyste[Moja satysfakcja z (efektów) usług edukacyjnych na ocenianej uczelni jest wysoka.],B487,AnalizaCzyste[Czy jesteś przedstawicielem firmy, w której są zatrudniani absolwenci uczelni wyższych (tytuł licencjata, magistra lub wyższy)?],"*"&amp;"Tak"&amp;"*")</f>
        <v>0</v>
      </c>
      <c r="D487">
        <f t="shared" si="130"/>
        <v>0</v>
      </c>
      <c r="E487" s="44">
        <f t="shared" si="131"/>
        <v>20.753086419753085</v>
      </c>
      <c r="F487">
        <f t="shared" si="132"/>
        <v>0</v>
      </c>
    </row>
    <row r="488" spans="1:20" x14ac:dyDescent="0.45">
      <c r="A488" t="s">
        <v>2329</v>
      </c>
      <c r="B488" t="s">
        <v>132</v>
      </c>
      <c r="C488">
        <f>COUNTIFS(AnalizaCzyste[Moja satysfakcja z (efektów) usług edukacyjnych na ocenianej uczelni jest wysoka.],B488,AnalizaCzyste[Czy jesteś przedstawicielem firmy, w której są zatrudniani absolwenci uczelni wyższych (tytuł licencjata, magistra lub wyższy)?],"*"&amp;"Tak"&amp;"*")</f>
        <v>0</v>
      </c>
      <c r="D488">
        <f t="shared" si="130"/>
        <v>0</v>
      </c>
    </row>
    <row r="489" spans="1:20" x14ac:dyDescent="0.45">
      <c r="B489" s="20" t="s">
        <v>2351</v>
      </c>
      <c r="C489" s="29">
        <f>SUM(C481:C488)</f>
        <v>9</v>
      </c>
      <c r="D489" s="44">
        <f>SUM(D481:D487)/C490</f>
        <v>5.5555555555555554</v>
      </c>
      <c r="E489" s="20" t="s">
        <v>2353</v>
      </c>
      <c r="F489" s="44">
        <f>SUM(F481:F488)/(C490-1)</f>
        <v>1.5277777777777777</v>
      </c>
      <c r="G489" s="20" t="s">
        <v>2349</v>
      </c>
    </row>
    <row r="490" spans="1:20" x14ac:dyDescent="0.45">
      <c r="B490" s="20" t="s">
        <v>2352</v>
      </c>
      <c r="C490">
        <f>C489-C488</f>
        <v>9</v>
      </c>
      <c r="D490" s="33">
        <f>D489/7</f>
        <v>0.79365079365079361</v>
      </c>
      <c r="F490" s="44">
        <f>F489^(1/2)</f>
        <v>1.2360330811826103</v>
      </c>
      <c r="G490" t="s">
        <v>2404</v>
      </c>
    </row>
    <row r="491" spans="1:20" x14ac:dyDescent="0.45">
      <c r="B491" s="20"/>
      <c r="D491" s="33"/>
      <c r="F491" s="44"/>
    </row>
    <row r="492" spans="1:20" x14ac:dyDescent="0.45">
      <c r="A492" s="29" t="s">
        <v>2358</v>
      </c>
      <c r="C492" s="20" t="s">
        <v>2390</v>
      </c>
      <c r="D492" s="20" t="s">
        <v>2391</v>
      </c>
      <c r="E492" s="20" t="s">
        <v>2392</v>
      </c>
      <c r="F492" s="20" t="s">
        <v>2374</v>
      </c>
      <c r="G492" s="20" t="s">
        <v>2393</v>
      </c>
      <c r="H492" s="20" t="s">
        <v>2394</v>
      </c>
      <c r="I492" s="20" t="s">
        <v>2395</v>
      </c>
      <c r="J492" s="20" t="s">
        <v>2373</v>
      </c>
      <c r="K492" s="20" t="s">
        <v>2362</v>
      </c>
      <c r="L492" s="20" t="s">
        <v>2363</v>
      </c>
      <c r="M492" s="20" t="s">
        <v>2430</v>
      </c>
      <c r="N492" s="20" t="s">
        <v>2418</v>
      </c>
      <c r="O492" s="20" t="s">
        <v>2419</v>
      </c>
      <c r="P492" s="20" t="s">
        <v>2420</v>
      </c>
      <c r="Q492" s="20" t="s">
        <v>2421</v>
      </c>
      <c r="R492" s="20" t="s">
        <v>2422</v>
      </c>
      <c r="S492" s="20" t="s">
        <v>2423</v>
      </c>
      <c r="T492" s="20" t="s">
        <v>2424</v>
      </c>
    </row>
    <row r="493" spans="1:20" x14ac:dyDescent="0.45">
      <c r="A493">
        <v>7</v>
      </c>
      <c r="B493" t="s">
        <v>169</v>
      </c>
      <c r="C493">
        <f>COUNTIFS(AnalizaCzyste[Moja satysfakcja z (efektów) usług edukacyjnych na ocenianej uczelni jest wysoka.],B481,AnalizaCzyste[Czy jesteś przedstawicielem firmy, w której są zatrudniani absolwenci uczelni wyższych (tytuł licencjata, magistra lub wyższy)?],"*"&amp;"Tak"&amp;"*")</f>
        <v>3</v>
      </c>
      <c r="D493">
        <f>COUNTIFS(AnalizaCzyste[Moja satysfakcja z (efektów) usług edukacyjnych na ocenianej uczelni jest wysoka.14],B481,AnalizaCzyste[Czy jesteś przedstawicielem firmy, w której są zatrudniani absolwenci uczelni wyższych (tytuł licencjata, magistra lub wyższy)?],"*"&amp;"Tak"&amp;"*")</f>
        <v>0</v>
      </c>
      <c r="E493">
        <f>COUNTIFS(AnalizaCzyste[Moja satysfakcja z (efektów) usług edukacyjnych na ocenianej uczelni jest wysoka.21],B481,AnalizaCzyste[Czy jesteś przedstawicielem firmy, w której są zatrudniani absolwenci uczelni wyższych (tytuł licencjata, magistra lub wyższy)?],"*"&amp;"Tak"&amp;"*")</f>
        <v>0</v>
      </c>
      <c r="F493">
        <f>SUM(C493:E493)</f>
        <v>3</v>
      </c>
      <c r="G493">
        <f t="shared" ref="G493:I500" si="133">PRODUCT($A493,C493)</f>
        <v>21</v>
      </c>
      <c r="H493">
        <f t="shared" si="133"/>
        <v>0</v>
      </c>
      <c r="I493">
        <f t="shared" si="133"/>
        <v>0</v>
      </c>
      <c r="J493">
        <f>SUM(G493:I493)</f>
        <v>21</v>
      </c>
      <c r="K493" s="44">
        <f>(A493-$J$501)^2</f>
        <v>2.9834710743801662</v>
      </c>
      <c r="L493">
        <f>PRODUCT(F493,K493)</f>
        <v>8.9504132231404991</v>
      </c>
      <c r="M493" s="44">
        <f>VLOOKUP(A493,TabeleGrup!$C$45:$D$51,2,0)</f>
        <v>6.9999999999999991</v>
      </c>
      <c r="N493">
        <f>(M493-$J$501)/$L$502</f>
        <v>1.2809797386801594</v>
      </c>
      <c r="O493">
        <f>NORMDIST(N493,0,1,1)</f>
        <v>0.89989960856439166</v>
      </c>
      <c r="P493">
        <f>O493-O494</f>
        <v>0.15926419638857636</v>
      </c>
      <c r="Q493">
        <f>$C$502*P493</f>
        <v>1.4333777674971873</v>
      </c>
      <c r="R493">
        <f>C493-Q493</f>
        <v>1.5666222325028127</v>
      </c>
      <c r="S493">
        <f>R493^2</f>
        <v>2.4543052193720971</v>
      </c>
      <c r="T493">
        <f>S493/Q493</f>
        <v>1.7122528861721815</v>
      </c>
    </row>
    <row r="494" spans="1:20" x14ac:dyDescent="0.45">
      <c r="A494">
        <v>6</v>
      </c>
      <c r="B494" t="s">
        <v>150</v>
      </c>
      <c r="C494">
        <f>COUNTIFS(AnalizaCzyste[Moja satysfakcja z (efektów) usług edukacyjnych na ocenianej uczelni jest wysoka.],B482,AnalizaCzyste[Czy jesteś przedstawicielem firmy, w której są zatrudniani absolwenci uczelni wyższych (tytuł licencjata, magistra lub wyższy)?],"*"&amp;"Tak"&amp;"*")</f>
        <v>1</v>
      </c>
      <c r="D494">
        <f>COUNTIFS(AnalizaCzyste[Moja satysfakcja z (efektów) usług edukacyjnych na ocenianej uczelni jest wysoka.14],B482,AnalizaCzyste[Czy jesteś przedstawicielem firmy, w której są zatrudniani absolwenci uczelni wyższych (tytuł licencjata, magistra lub wyższy)?],"*"&amp;"Tak"&amp;"*")</f>
        <v>0</v>
      </c>
      <c r="E494">
        <f>COUNTIFS(AnalizaCzyste[Moja satysfakcja z (efektów) usług edukacyjnych na ocenianej uczelni jest wysoka.21],B482,AnalizaCzyste[Czy jesteś przedstawicielem firmy, w której są zatrudniani absolwenci uczelni wyższych (tytuł licencjata, magistra lub wyższy)?],"*"&amp;"Tak"&amp;"*")</f>
        <v>0</v>
      </c>
      <c r="F494">
        <f t="shared" ref="F494:F502" si="134">SUM(C494:E494)</f>
        <v>1</v>
      </c>
      <c r="G494">
        <f t="shared" si="133"/>
        <v>6</v>
      </c>
      <c r="H494">
        <f t="shared" si="133"/>
        <v>0</v>
      </c>
      <c r="I494">
        <f t="shared" si="133"/>
        <v>0</v>
      </c>
      <c r="J494">
        <f t="shared" ref="J494:J500" si="135">SUM(G494:I494)</f>
        <v>6</v>
      </c>
      <c r="K494" s="44">
        <f t="shared" ref="K494:K499" si="136">(A494-$J$501)^2</f>
        <v>0.52892561983471109</v>
      </c>
      <c r="L494">
        <f t="shared" ref="L494:L499" si="137">PRODUCT(F494,K494)</f>
        <v>0.52892561983471109</v>
      </c>
      <c r="M494" s="44">
        <f>VLOOKUP(A494,TabeleGrup!$C$45:$D$51,2,0)</f>
        <v>6.1428571428571423</v>
      </c>
      <c r="N494">
        <f t="shared" ref="N494:N499" si="138">(M494-$J$501)/$L$502</f>
        <v>0.64530558264338855</v>
      </c>
      <c r="O494">
        <f t="shared" ref="O494:O499" si="139">NORMDIST(N494,0,1,1)</f>
        <v>0.7406354121758153</v>
      </c>
      <c r="P494">
        <f t="shared" ref="P494:P499" si="140">O494-O495</f>
        <v>0.23679308828707524</v>
      </c>
      <c r="Q494">
        <f t="shared" ref="Q494:Q499" si="141">$C$502*P494</f>
        <v>2.1311377945836769</v>
      </c>
      <c r="R494">
        <f t="shared" ref="R494:R499" si="142">C494-Q494</f>
        <v>-1.1311377945836769</v>
      </c>
      <c r="S494">
        <f t="shared" ref="S494:S499" si="143">R494^2</f>
        <v>1.2794727103356245</v>
      </c>
      <c r="T494">
        <f t="shared" ref="T494:T499" si="144">S494/Q494</f>
        <v>0.60037070976237494</v>
      </c>
    </row>
    <row r="495" spans="1:20" x14ac:dyDescent="0.45">
      <c r="A495">
        <v>5</v>
      </c>
      <c r="B495" t="s">
        <v>162</v>
      </c>
      <c r="C495">
        <f>COUNTIFS(AnalizaCzyste[Moja satysfakcja z (efektów) usług edukacyjnych na ocenianej uczelni jest wysoka.],B483,AnalizaCzyste[Czy jesteś przedstawicielem firmy, w której są zatrudniani absolwenci uczelni wyższych (tytuł licencjata, magistra lub wyższy)?],"*"&amp;"Tak"&amp;"*")</f>
        <v>3</v>
      </c>
      <c r="D495">
        <f>COUNTIFS(AnalizaCzyste[Moja satysfakcja z (efektów) usług edukacyjnych na ocenianej uczelni jest wysoka.14],B483,AnalizaCzyste[Czy jesteś przedstawicielem firmy, w której są zatrudniani absolwenci uczelni wyższych (tytuł licencjata, magistra lub wyższy)?],"*"&amp;"Tak"&amp;"*")</f>
        <v>1</v>
      </c>
      <c r="E495">
        <f>COUNTIFS(AnalizaCzyste[Moja satysfakcja z (efektów) usług edukacyjnych na ocenianej uczelni jest wysoka.21],B483,AnalizaCzyste[Czy jesteś przedstawicielem firmy, w której są zatrudniani absolwenci uczelni wyższych (tytuł licencjata, magistra lub wyższy)?],"*"&amp;"Tak"&amp;"*")</f>
        <v>0</v>
      </c>
      <c r="F495">
        <f t="shared" si="134"/>
        <v>4</v>
      </c>
      <c r="G495">
        <f t="shared" si="133"/>
        <v>15</v>
      </c>
      <c r="H495">
        <f t="shared" si="133"/>
        <v>5</v>
      </c>
      <c r="I495">
        <f t="shared" si="133"/>
        <v>0</v>
      </c>
      <c r="J495">
        <f t="shared" si="135"/>
        <v>20</v>
      </c>
      <c r="K495" s="44">
        <f t="shared" si="136"/>
        <v>7.4380165289256062E-2</v>
      </c>
      <c r="L495">
        <f t="shared" si="137"/>
        <v>0.29752066115702425</v>
      </c>
      <c r="M495" s="44">
        <f>VLOOKUP(A495,TabeleGrup!$C$45:$D$51,2,0)</f>
        <v>5.2857142857142856</v>
      </c>
      <c r="N495">
        <f t="shared" si="138"/>
        <v>9.6314266066178291E-3</v>
      </c>
      <c r="O495">
        <f t="shared" si="139"/>
        <v>0.50384232388874006</v>
      </c>
      <c r="P495">
        <f t="shared" si="140"/>
        <v>0.23819886640064303</v>
      </c>
      <c r="Q495">
        <f t="shared" si="141"/>
        <v>2.1437897976057871</v>
      </c>
      <c r="R495">
        <f t="shared" si="142"/>
        <v>0.85621020239421286</v>
      </c>
      <c r="S495">
        <f t="shared" si="143"/>
        <v>0.73309591068393898</v>
      </c>
      <c r="T495">
        <f t="shared" si="144"/>
        <v>0.34196258957042813</v>
      </c>
    </row>
    <row r="496" spans="1:20" x14ac:dyDescent="0.45">
      <c r="A496">
        <v>4</v>
      </c>
      <c r="B496" t="s">
        <v>151</v>
      </c>
      <c r="C496">
        <f>COUNTIFS(AnalizaCzyste[Moja satysfakcja z (efektów) usług edukacyjnych na ocenianej uczelni jest wysoka.],B484,AnalizaCzyste[Czy jesteś przedstawicielem firmy, w której są zatrudniani absolwenci uczelni wyższych (tytuł licencjata, magistra lub wyższy)?],"*"&amp;"Tak"&amp;"*")</f>
        <v>2</v>
      </c>
      <c r="D496">
        <f>COUNTIFS(AnalizaCzyste[Moja satysfakcja z (efektów) usług edukacyjnych na ocenianej uczelni jest wysoka.14],B484,AnalizaCzyste[Czy jesteś przedstawicielem firmy, w której są zatrudniani absolwenci uczelni wyższych (tytuł licencjata, magistra lub wyższy)?],"*"&amp;"Tak"&amp;"*")</f>
        <v>0</v>
      </c>
      <c r="E496">
        <f>COUNTIFS(AnalizaCzyste[Moja satysfakcja z (efektów) usług edukacyjnych na ocenianej uczelni jest wysoka.21],B484,AnalizaCzyste[Czy jesteś przedstawicielem firmy, w której są zatrudniani absolwenci uczelni wyższych (tytuł licencjata, magistra lub wyższy)?],"*"&amp;"Tak"&amp;"*")</f>
        <v>0</v>
      </c>
      <c r="F496">
        <f t="shared" si="134"/>
        <v>2</v>
      </c>
      <c r="G496">
        <f t="shared" si="133"/>
        <v>8</v>
      </c>
      <c r="H496">
        <f t="shared" si="133"/>
        <v>0</v>
      </c>
      <c r="I496">
        <f t="shared" si="133"/>
        <v>0</v>
      </c>
      <c r="J496">
        <f t="shared" si="135"/>
        <v>8</v>
      </c>
      <c r="K496" s="44">
        <f t="shared" si="136"/>
        <v>1.6198347107438011</v>
      </c>
      <c r="L496">
        <f t="shared" si="137"/>
        <v>3.2396694214876023</v>
      </c>
      <c r="M496" s="44">
        <f>VLOOKUP(A496,TabeleGrup!$C$45:$D$51,2,0)</f>
        <v>4.4285714285714288</v>
      </c>
      <c r="N496">
        <f t="shared" si="138"/>
        <v>-0.62604272943015293</v>
      </c>
      <c r="O496">
        <f t="shared" si="139"/>
        <v>0.26564345748809703</v>
      </c>
      <c r="P496">
        <f t="shared" si="140"/>
        <v>0.16211811812714513</v>
      </c>
      <c r="Q496">
        <f t="shared" si="141"/>
        <v>1.4590630631443062</v>
      </c>
      <c r="R496">
        <f t="shared" si="142"/>
        <v>0.54093693685569377</v>
      </c>
      <c r="S496">
        <f t="shared" si="143"/>
        <v>0.29261276965482086</v>
      </c>
      <c r="T496">
        <f t="shared" si="144"/>
        <v>0.20054840468940066</v>
      </c>
    </row>
    <row r="497" spans="1:21" x14ac:dyDescent="0.45">
      <c r="A497">
        <v>3</v>
      </c>
      <c r="B497" t="s">
        <v>128</v>
      </c>
      <c r="C497">
        <f>COUNTIFS(AnalizaCzyste[Moja satysfakcja z (efektów) usług edukacyjnych na ocenianej uczelni jest wysoka.],B485,AnalizaCzyste[Czy jesteś przedstawicielem firmy, w której są zatrudniani absolwenci uczelni wyższych (tytuł licencjata, magistra lub wyższy)?],"*"&amp;"Tak"&amp;"*")</f>
        <v>0</v>
      </c>
      <c r="D497">
        <f>COUNTIFS(AnalizaCzyste[Moja satysfakcja z (efektów) usług edukacyjnych na ocenianej uczelni jest wysoka.14],B485,AnalizaCzyste[Czy jesteś przedstawicielem firmy, w której są zatrudniani absolwenci uczelni wyższych (tytuł licencjata, magistra lub wyższy)?],"*"&amp;"Tak"&amp;"*")</f>
        <v>1</v>
      </c>
      <c r="E497">
        <f>COUNTIFS(AnalizaCzyste[Moja satysfakcja z (efektów) usług edukacyjnych na ocenianej uczelni jest wysoka.21],B485,AnalizaCzyste[Czy jesteś przedstawicielem firmy, w której są zatrudniani absolwenci uczelni wyższych (tytuł licencjata, magistra lub wyższy)?],"*"&amp;"Tak"&amp;"*")</f>
        <v>0</v>
      </c>
      <c r="F497">
        <f t="shared" si="134"/>
        <v>1</v>
      </c>
      <c r="G497">
        <f t="shared" si="133"/>
        <v>0</v>
      </c>
      <c r="H497">
        <f t="shared" si="133"/>
        <v>3</v>
      </c>
      <c r="I497">
        <f t="shared" si="133"/>
        <v>0</v>
      </c>
      <c r="J497">
        <f t="shared" si="135"/>
        <v>3</v>
      </c>
      <c r="K497" s="44">
        <f t="shared" si="136"/>
        <v>5.1652892561983457</v>
      </c>
      <c r="L497">
        <f t="shared" si="137"/>
        <v>5.1652892561983457</v>
      </c>
      <c r="M497" s="44">
        <f>VLOOKUP(A497,TabeleGrup!$C$45:$D$51,2,0)</f>
        <v>3.5714285714285716</v>
      </c>
      <c r="N497">
        <f t="shared" si="138"/>
        <v>-1.2617168854669241</v>
      </c>
      <c r="O497">
        <f t="shared" si="139"/>
        <v>0.1035253393609519</v>
      </c>
      <c r="P497">
        <f t="shared" si="140"/>
        <v>7.4637165806890976E-2</v>
      </c>
      <c r="Q497">
        <f t="shared" si="141"/>
        <v>0.67173449226201876</v>
      </c>
      <c r="R497">
        <f t="shared" si="142"/>
        <v>-0.67173449226201876</v>
      </c>
      <c r="S497">
        <f t="shared" si="143"/>
        <v>0.45122722809451216</v>
      </c>
      <c r="T497">
        <f t="shared" si="144"/>
        <v>0.67173449226201876</v>
      </c>
    </row>
    <row r="498" spans="1:21" x14ac:dyDescent="0.45">
      <c r="A498">
        <v>2</v>
      </c>
      <c r="B498" t="s">
        <v>236</v>
      </c>
      <c r="C498">
        <f>COUNTIFS(AnalizaCzyste[Moja satysfakcja z (efektów) usług edukacyjnych na ocenianej uczelni jest wysoka.],B486,AnalizaCzyste[Czy jesteś przedstawicielem firmy, w której są zatrudniani absolwenci uczelni wyższych (tytuł licencjata, magistra lub wyższy)?],"*"&amp;"Tak"&amp;"*")</f>
        <v>0</v>
      </c>
      <c r="D498">
        <f>COUNTIFS(AnalizaCzyste[Moja satysfakcja z (efektów) usług edukacyjnych na ocenianej uczelni jest wysoka.14],B486,AnalizaCzyste[Czy jesteś przedstawicielem firmy, w której są zatrudniani absolwenci uczelni wyższych (tytuł licencjata, magistra lub wyższy)?],"*"&amp;"Tak"&amp;"*")</f>
        <v>0</v>
      </c>
      <c r="E498">
        <f>COUNTIFS(AnalizaCzyste[Moja satysfakcja z (efektów) usług edukacyjnych na ocenianej uczelni jest wysoka.21],B486,AnalizaCzyste[Czy jesteś przedstawicielem firmy, w której są zatrudniani absolwenci uczelni wyższych (tytuł licencjata, magistra lub wyższy)?],"*"&amp;"Tak"&amp;"*")</f>
        <v>0</v>
      </c>
      <c r="F498">
        <f t="shared" si="134"/>
        <v>0</v>
      </c>
      <c r="G498">
        <f t="shared" si="133"/>
        <v>0</v>
      </c>
      <c r="H498">
        <f t="shared" si="133"/>
        <v>0</v>
      </c>
      <c r="I498">
        <f t="shared" si="133"/>
        <v>0</v>
      </c>
      <c r="J498">
        <f t="shared" si="135"/>
        <v>0</v>
      </c>
      <c r="K498" s="44">
        <f t="shared" si="136"/>
        <v>10.710743801652891</v>
      </c>
      <c r="L498">
        <f t="shared" si="137"/>
        <v>0</v>
      </c>
      <c r="M498" s="44">
        <f>VLOOKUP(A498,TabeleGrup!$C$45:$D$51,2,0)</f>
        <v>2.7142857142857144</v>
      </c>
      <c r="N498">
        <f t="shared" si="138"/>
        <v>-1.8973910415036952</v>
      </c>
      <c r="O498">
        <f t="shared" si="139"/>
        <v>2.8888173554060932E-2</v>
      </c>
      <c r="P498">
        <f t="shared" si="140"/>
        <v>2.3234677555713269E-2</v>
      </c>
      <c r="Q498">
        <f t="shared" si="141"/>
        <v>0.20911209800141942</v>
      </c>
      <c r="R498">
        <f t="shared" si="142"/>
        <v>-0.20911209800141942</v>
      </c>
      <c r="S498">
        <f t="shared" si="143"/>
        <v>4.3727869530555241E-2</v>
      </c>
      <c r="T498">
        <f t="shared" si="144"/>
        <v>0.20911209800141942</v>
      </c>
    </row>
    <row r="499" spans="1:21" x14ac:dyDescent="0.45">
      <c r="A499">
        <v>1</v>
      </c>
      <c r="B499" t="s">
        <v>129</v>
      </c>
      <c r="C499">
        <f>COUNTIFS(AnalizaCzyste[Moja satysfakcja z (efektów) usług edukacyjnych na ocenianej uczelni jest wysoka.],B487,AnalizaCzyste[Czy jesteś przedstawicielem firmy, w której są zatrudniani absolwenci uczelni wyższych (tytuł licencjata, magistra lub wyższy)?],"*"&amp;"Tak"&amp;"*")</f>
        <v>0</v>
      </c>
      <c r="D499">
        <f>COUNTIFS(AnalizaCzyste[Moja satysfakcja z (efektów) usług edukacyjnych na ocenianej uczelni jest wysoka.14],B487,AnalizaCzyste[Czy jesteś przedstawicielem firmy, w której są zatrudniani absolwenci uczelni wyższych (tytuł licencjata, magistra lub wyższy)?],"*"&amp;"Tak"&amp;"*")</f>
        <v>0</v>
      </c>
      <c r="E499">
        <f>COUNTIFS(AnalizaCzyste[Moja satysfakcja z (efektów) usług edukacyjnych na ocenianej uczelni jest wysoka.21],B487,AnalizaCzyste[Czy jesteś przedstawicielem firmy, w której są zatrudniani absolwenci uczelni wyższych (tytuł licencjata, magistra lub wyższy)?],"*"&amp;"Tak"&amp;"*")</f>
        <v>0</v>
      </c>
      <c r="F499">
        <f t="shared" si="134"/>
        <v>0</v>
      </c>
      <c r="G499">
        <f t="shared" si="133"/>
        <v>0</v>
      </c>
      <c r="H499">
        <f t="shared" si="133"/>
        <v>0</v>
      </c>
      <c r="I499">
        <f t="shared" si="133"/>
        <v>0</v>
      </c>
      <c r="J499">
        <f t="shared" si="135"/>
        <v>0</v>
      </c>
      <c r="K499" s="44">
        <f t="shared" si="136"/>
        <v>18.256198347107436</v>
      </c>
      <c r="L499">
        <f t="shared" si="137"/>
        <v>0</v>
      </c>
      <c r="M499" s="44">
        <f>VLOOKUP(A499,TabeleGrup!$C$45:$D$51,2,0)</f>
        <v>1.8571428571428572</v>
      </c>
      <c r="N499">
        <f t="shared" si="138"/>
        <v>-2.5330651975404663</v>
      </c>
      <c r="O499">
        <f t="shared" si="139"/>
        <v>5.6534959983476638E-3</v>
      </c>
      <c r="P499">
        <f t="shared" si="140"/>
        <v>5.6534959983476638E-3</v>
      </c>
      <c r="Q499">
        <f t="shared" si="141"/>
        <v>5.0881463985128973E-2</v>
      </c>
      <c r="R499">
        <f t="shared" si="142"/>
        <v>-5.0881463985128973E-2</v>
      </c>
      <c r="S499">
        <f t="shared" si="143"/>
        <v>2.5889233772699769E-3</v>
      </c>
      <c r="T499">
        <f t="shared" si="144"/>
        <v>5.0881463985128973E-2</v>
      </c>
      <c r="U499" s="20" t="s">
        <v>2425</v>
      </c>
    </row>
    <row r="500" spans="1:21" x14ac:dyDescent="0.45">
      <c r="A500" t="s">
        <v>2329</v>
      </c>
      <c r="B500" t="s">
        <v>132</v>
      </c>
      <c r="C500">
        <f>COUNTIFS(AnalizaCzyste[Moja satysfakcja z (efektów) usług edukacyjnych na ocenianej uczelni jest wysoka.],B488,AnalizaCzyste[Czy jesteś przedstawicielem firmy, w której są zatrudniani absolwenci uczelni wyższych (tytuł licencjata, magistra lub wyższy)?],"*"&amp;"Tak"&amp;"*")</f>
        <v>0</v>
      </c>
      <c r="D500">
        <f>COUNTIFS(AnalizaCzyste[Moja satysfakcja z (efektów) usług edukacyjnych na ocenianej uczelni jest wysoka.14],B488,AnalizaCzyste[Czy jesteś przedstawicielem firmy, w której są zatrudniani absolwenci uczelni wyższych (tytuł licencjata, magistra lub wyższy)?],"*"&amp;"Tak"&amp;"*")</f>
        <v>0</v>
      </c>
      <c r="E500">
        <f>COUNTIFS(AnalizaCzyste[Moja satysfakcja z (efektów) usług edukacyjnych na ocenianej uczelni jest wysoka.21],B488,AnalizaCzyste[Czy jesteś przedstawicielem firmy, w której są zatrudniani absolwenci uczelni wyższych (tytuł licencjata, magistra lub wyższy)?],"*"&amp;"Tak"&amp;"*")</f>
        <v>0</v>
      </c>
      <c r="F500">
        <f t="shared" si="134"/>
        <v>0</v>
      </c>
      <c r="G500">
        <f t="shared" si="133"/>
        <v>0</v>
      </c>
      <c r="H500">
        <f t="shared" si="133"/>
        <v>0</v>
      </c>
      <c r="I500">
        <f t="shared" si="133"/>
        <v>0</v>
      </c>
      <c r="J500">
        <f t="shared" si="135"/>
        <v>0</v>
      </c>
      <c r="P500" s="47">
        <f>SUM(P493:P499)</f>
        <v>0.89989960856439166</v>
      </c>
      <c r="Q500" s="47">
        <f>SUM(Q493:Q499)</f>
        <v>8.0990964770795255</v>
      </c>
      <c r="S500" s="20" t="s">
        <v>2426</v>
      </c>
      <c r="T500" s="48">
        <f>SUM(T493:T499)</f>
        <v>3.7868626444429525</v>
      </c>
      <c r="U500">
        <f>CHIINV(O503,7-3)</f>
        <v>9.4877290367811575</v>
      </c>
    </row>
    <row r="501" spans="1:21" x14ac:dyDescent="0.45">
      <c r="B501" s="20" t="s">
        <v>2351</v>
      </c>
      <c r="C501" s="29">
        <f>SUM(C493:C500)</f>
        <v>9</v>
      </c>
      <c r="D501" s="29">
        <f>SUM(D493:D500)</f>
        <v>2</v>
      </c>
      <c r="E501" s="29">
        <f>SUM(E493:E500)</f>
        <v>0</v>
      </c>
      <c r="F501" s="29">
        <f t="shared" si="134"/>
        <v>11</v>
      </c>
      <c r="G501" s="44">
        <f>SUM(G493:G500)/$C502</f>
        <v>5.5555555555555554</v>
      </c>
      <c r="H501" s="44">
        <f>SUM(H493:H500)/$C502</f>
        <v>0.88888888888888884</v>
      </c>
      <c r="I501" s="44">
        <f>SUM(I493:I500)/$C502</f>
        <v>0</v>
      </c>
      <c r="J501" s="44">
        <f>SUM(J493:J499)/$F502</f>
        <v>5.2727272727272725</v>
      </c>
      <c r="K501" s="20" t="s">
        <v>2353</v>
      </c>
      <c r="L501" s="44">
        <f>SUM(L493:L500)/(F502-1)</f>
        <v>1.8181818181818183</v>
      </c>
      <c r="M501" s="20" t="s">
        <v>2349</v>
      </c>
      <c r="T501" s="20" t="s">
        <v>2428</v>
      </c>
    </row>
    <row r="502" spans="1:21" x14ac:dyDescent="0.45">
      <c r="B502" s="20" t="s">
        <v>2352</v>
      </c>
      <c r="C502">
        <f>C501-C500</f>
        <v>9</v>
      </c>
      <c r="D502">
        <f>D501-D500</f>
        <v>2</v>
      </c>
      <c r="E502">
        <f>E501-E500</f>
        <v>0</v>
      </c>
      <c r="F502">
        <f t="shared" si="134"/>
        <v>11</v>
      </c>
      <c r="G502" s="33">
        <f>G501/7</f>
        <v>0.79365079365079361</v>
      </c>
      <c r="H502" s="33"/>
      <c r="I502" s="33"/>
      <c r="J502" s="51" t="str">
        <f>VLOOKUP(J501,InterpretacjaŚredniej[],2,1)</f>
        <v>raczej się zgadzam</v>
      </c>
      <c r="L502" s="44">
        <f>L501^(1/2)</f>
        <v>1.3483997249264843</v>
      </c>
      <c r="M502" t="s">
        <v>2404</v>
      </c>
    </row>
    <row r="503" spans="1:21" x14ac:dyDescent="0.45">
      <c r="B503" s="20"/>
      <c r="G503" s="33"/>
      <c r="H503" s="33"/>
      <c r="I503" s="33"/>
      <c r="J503" s="33"/>
      <c r="K503">
        <f>J501-(Q503*L502/SQRT(C502))</f>
        <v>4.2362554921977278</v>
      </c>
      <c r="L503" s="45" t="str">
        <f>"&lt; m &lt;"</f>
        <v>&lt; m &lt;</v>
      </c>
      <c r="M503">
        <f>J501+(Q503*L502/SQRT(C502))</f>
        <v>6.3091990532568172</v>
      </c>
      <c r="N503" t="s">
        <v>2407</v>
      </c>
      <c r="O503">
        <v>0.05</v>
      </c>
      <c r="P503" s="20" t="s">
        <v>2417</v>
      </c>
      <c r="Q503">
        <f>VLOOKUP($C$502-1,Tabl_tStudenta[],5,0)</f>
        <v>2.3060041352041671</v>
      </c>
    </row>
    <row r="504" spans="1:21" x14ac:dyDescent="0.45">
      <c r="B504" s="20"/>
      <c r="D504" s="33"/>
      <c r="F504" s="44"/>
      <c r="M504" s="42">
        <f>M503-K503</f>
        <v>2.0729435610590894</v>
      </c>
    </row>
    <row r="505" spans="1:21" x14ac:dyDescent="0.45">
      <c r="A505" s="29" t="s">
        <v>2396</v>
      </c>
      <c r="C505" s="20" t="s">
        <v>2390</v>
      </c>
      <c r="D505" s="20" t="s">
        <v>2391</v>
      </c>
      <c r="E505" s="20" t="s">
        <v>2392</v>
      </c>
      <c r="F505" s="20" t="s">
        <v>2374</v>
      </c>
      <c r="G505" s="20" t="s">
        <v>2393</v>
      </c>
      <c r="H505" s="20" t="s">
        <v>2394</v>
      </c>
      <c r="I505" s="20" t="s">
        <v>2395</v>
      </c>
      <c r="J505" s="20" t="s">
        <v>2373</v>
      </c>
      <c r="K505" s="20" t="s">
        <v>2362</v>
      </c>
      <c r="L505" s="20" t="s">
        <v>2363</v>
      </c>
    </row>
    <row r="506" spans="1:21" x14ac:dyDescent="0.45">
      <c r="A506">
        <v>7</v>
      </c>
      <c r="B506" t="s">
        <v>169</v>
      </c>
      <c r="C506">
        <f>COUNTIFS(AnalizaCzyste[Kompetencje absolwentów ocenianej uczelni są wysokie.],B493,AnalizaCzyste[Czy jesteś przedstawicielem firmy, w której są zatrudniani absolwenci uczelni wyższych (tytuł licencjata, magistra lub wyższy)?],"*"&amp;"Tak"&amp;"*")</f>
        <v>3</v>
      </c>
      <c r="D506">
        <f>COUNTIFS(AnalizaCzyste[Kompetencje absolwentów ocenianej uczelni są wysokie.15],B493,AnalizaCzyste[Czy jesteś przedstawicielem firmy, w której są zatrudniani absolwenci uczelni wyższych (tytuł licencjata, magistra lub wyższy)?],"*"&amp;"Tak"&amp;"*")</f>
        <v>0</v>
      </c>
      <c r="E506">
        <f>COUNTIFS(AnalizaCzyste[Kompetencje absolwentów ocenianej uczelni są wysokie.22],B493,AnalizaCzyste[Czy jesteś przedstawicielem firmy, w której są zatrudniani absolwenci uczelni wyższych (tytuł licencjata, magistra lub wyższy)?],"*"&amp;"Tak"&amp;"*")</f>
        <v>0</v>
      </c>
      <c r="F506">
        <f>SUM(C506:E506)</f>
        <v>3</v>
      </c>
      <c r="G506">
        <f t="shared" ref="G506:I513" si="145">PRODUCT($A506,C506)</f>
        <v>21</v>
      </c>
      <c r="H506">
        <f t="shared" si="145"/>
        <v>0</v>
      </c>
      <c r="I506">
        <f t="shared" si="145"/>
        <v>0</v>
      </c>
      <c r="J506">
        <f>SUM(G506:I506)</f>
        <v>21</v>
      </c>
      <c r="K506" s="44">
        <f>(A506-$J$514)^2</f>
        <v>2.9834710743801662</v>
      </c>
      <c r="L506">
        <f>PRODUCT(F506,K506)</f>
        <v>8.9504132231404991</v>
      </c>
    </row>
    <row r="507" spans="1:21" x14ac:dyDescent="0.45">
      <c r="A507">
        <v>6</v>
      </c>
      <c r="B507" t="s">
        <v>150</v>
      </c>
      <c r="C507">
        <f>COUNTIFS(AnalizaCzyste[Kompetencje absolwentów ocenianej uczelni są wysokie.],B494,AnalizaCzyste[Czy jesteś przedstawicielem firmy, w której są zatrudniani absolwenci uczelni wyższych (tytuł licencjata, magistra lub wyższy)?],"*"&amp;"Tak"&amp;"*")</f>
        <v>2</v>
      </c>
      <c r="D507">
        <f>COUNTIFS(AnalizaCzyste[Kompetencje absolwentów ocenianej uczelni są wysokie.15],B494,AnalizaCzyste[Czy jesteś przedstawicielem firmy, w której są zatrudniani absolwenci uczelni wyższych (tytuł licencjata, magistra lub wyższy)?],"*"&amp;"Tak"&amp;"*")</f>
        <v>0</v>
      </c>
      <c r="E507">
        <f>COUNTIFS(AnalizaCzyste[Kompetencje absolwentów ocenianej uczelni są wysokie.22],B494,AnalizaCzyste[Czy jesteś przedstawicielem firmy, w której są zatrudniani absolwenci uczelni wyższych (tytuł licencjata, magistra lub wyższy)?],"*"&amp;"Tak"&amp;"*")</f>
        <v>0</v>
      </c>
      <c r="F507">
        <f t="shared" ref="F507:F515" si="146">SUM(C507:E507)</f>
        <v>2</v>
      </c>
      <c r="G507">
        <f t="shared" si="145"/>
        <v>12</v>
      </c>
      <c r="H507">
        <f t="shared" si="145"/>
        <v>0</v>
      </c>
      <c r="I507">
        <f t="shared" si="145"/>
        <v>0</v>
      </c>
      <c r="J507">
        <f t="shared" ref="J507:J513" si="147">SUM(G507:I507)</f>
        <v>12</v>
      </c>
      <c r="K507" s="44">
        <f t="shared" ref="K507:K512" si="148">(A507-$J$514)^2</f>
        <v>0.52892561983471109</v>
      </c>
      <c r="L507">
        <f t="shared" ref="L507:L512" si="149">PRODUCT(F507,K507)</f>
        <v>1.0578512396694222</v>
      </c>
    </row>
    <row r="508" spans="1:21" x14ac:dyDescent="0.45">
      <c r="A508">
        <v>5</v>
      </c>
      <c r="B508" t="s">
        <v>162</v>
      </c>
      <c r="C508">
        <f>COUNTIFS(AnalizaCzyste[Kompetencje absolwentów ocenianej uczelni są wysokie.],B495,AnalizaCzyste[Czy jesteś przedstawicielem firmy, w której są zatrudniani absolwenci uczelni wyższych (tytuł licencjata, magistra lub wyższy)?],"*"&amp;"Tak"&amp;"*")</f>
        <v>2</v>
      </c>
      <c r="D508">
        <f>COUNTIFS(AnalizaCzyste[Kompetencje absolwentów ocenianej uczelni są wysokie.15],B495,AnalizaCzyste[Czy jesteś przedstawicielem firmy, w której są zatrudniani absolwenci uczelni wyższych (tytuł licencjata, magistra lub wyższy)?],"*"&amp;"Tak"&amp;"*")</f>
        <v>1</v>
      </c>
      <c r="E508">
        <f>COUNTIFS(AnalizaCzyste[Kompetencje absolwentów ocenianej uczelni są wysokie.22],B495,AnalizaCzyste[Czy jesteś przedstawicielem firmy, w której są zatrudniani absolwenci uczelni wyższych (tytuł licencjata, magistra lub wyższy)?],"*"&amp;"Tak"&amp;"*")</f>
        <v>0</v>
      </c>
      <c r="F508">
        <f t="shared" si="146"/>
        <v>3</v>
      </c>
      <c r="G508">
        <f t="shared" si="145"/>
        <v>10</v>
      </c>
      <c r="H508">
        <f t="shared" si="145"/>
        <v>5</v>
      </c>
      <c r="I508">
        <f t="shared" si="145"/>
        <v>0</v>
      </c>
      <c r="J508">
        <f t="shared" si="147"/>
        <v>15</v>
      </c>
      <c r="K508" s="44">
        <f t="shared" si="148"/>
        <v>7.4380165289256062E-2</v>
      </c>
      <c r="L508">
        <f t="shared" si="149"/>
        <v>0.22314049586776818</v>
      </c>
    </row>
    <row r="509" spans="1:21" x14ac:dyDescent="0.45">
      <c r="A509">
        <v>4</v>
      </c>
      <c r="B509" t="s">
        <v>151</v>
      </c>
      <c r="C509">
        <f>COUNTIFS(AnalizaCzyste[Kompetencje absolwentów ocenianej uczelni są wysokie.],B496,AnalizaCzyste[Czy jesteś przedstawicielem firmy, w której są zatrudniani absolwenci uczelni wyższych (tytuł licencjata, magistra lub wyższy)?],"*"&amp;"Tak"&amp;"*")</f>
        <v>2</v>
      </c>
      <c r="D509">
        <f>COUNTIFS(AnalizaCzyste[Kompetencje absolwentów ocenianej uczelni są wysokie.15],B496,AnalizaCzyste[Czy jesteś przedstawicielem firmy, w której są zatrudniani absolwenci uczelni wyższych (tytuł licencjata, magistra lub wyższy)?],"*"&amp;"Tak"&amp;"*")</f>
        <v>0</v>
      </c>
      <c r="E509">
        <f>COUNTIFS(AnalizaCzyste[Kompetencje absolwentów ocenianej uczelni są wysokie.22],B496,AnalizaCzyste[Czy jesteś przedstawicielem firmy, w której są zatrudniani absolwenci uczelni wyższych (tytuł licencjata, magistra lub wyższy)?],"*"&amp;"Tak"&amp;"*")</f>
        <v>0</v>
      </c>
      <c r="F509">
        <f t="shared" si="146"/>
        <v>2</v>
      </c>
      <c r="G509">
        <f t="shared" si="145"/>
        <v>8</v>
      </c>
      <c r="H509">
        <f t="shared" si="145"/>
        <v>0</v>
      </c>
      <c r="I509">
        <f t="shared" si="145"/>
        <v>0</v>
      </c>
      <c r="J509">
        <f t="shared" si="147"/>
        <v>8</v>
      </c>
      <c r="K509" s="44">
        <f t="shared" si="148"/>
        <v>1.6198347107438011</v>
      </c>
      <c r="L509">
        <f t="shared" si="149"/>
        <v>3.2396694214876023</v>
      </c>
    </row>
    <row r="510" spans="1:21" x14ac:dyDescent="0.45">
      <c r="A510">
        <v>3</v>
      </c>
      <c r="B510" t="s">
        <v>128</v>
      </c>
      <c r="C510">
        <f>COUNTIFS(AnalizaCzyste[Kompetencje absolwentów ocenianej uczelni są wysokie.],B497,AnalizaCzyste[Czy jesteś przedstawicielem firmy, w której są zatrudniani absolwenci uczelni wyższych (tytuł licencjata, magistra lub wyższy)?],"*"&amp;"Tak"&amp;"*")</f>
        <v>0</v>
      </c>
      <c r="D510">
        <f>COUNTIFS(AnalizaCzyste[Kompetencje absolwentów ocenianej uczelni są wysokie.15],B497,AnalizaCzyste[Czy jesteś przedstawicielem firmy, w której są zatrudniani absolwenci uczelni wyższych (tytuł licencjata, magistra lub wyższy)?],"*"&amp;"Tak"&amp;"*")</f>
        <v>0</v>
      </c>
      <c r="E510">
        <f>COUNTIFS(AnalizaCzyste[Kompetencje absolwentów ocenianej uczelni są wysokie.22],B497,AnalizaCzyste[Czy jesteś przedstawicielem firmy, w której są zatrudniani absolwenci uczelni wyższych (tytuł licencjata, magistra lub wyższy)?],"*"&amp;"Tak"&amp;"*")</f>
        <v>0</v>
      </c>
      <c r="F510">
        <f t="shared" si="146"/>
        <v>0</v>
      </c>
      <c r="G510">
        <f t="shared" si="145"/>
        <v>0</v>
      </c>
      <c r="H510">
        <f t="shared" si="145"/>
        <v>0</v>
      </c>
      <c r="I510">
        <f t="shared" si="145"/>
        <v>0</v>
      </c>
      <c r="J510">
        <f t="shared" si="147"/>
        <v>0</v>
      </c>
      <c r="K510" s="44">
        <f t="shared" si="148"/>
        <v>5.1652892561983457</v>
      </c>
      <c r="L510">
        <f t="shared" si="149"/>
        <v>0</v>
      </c>
    </row>
    <row r="511" spans="1:21" x14ac:dyDescent="0.45">
      <c r="A511">
        <v>2</v>
      </c>
      <c r="B511" t="s">
        <v>236</v>
      </c>
      <c r="C511">
        <f>COUNTIFS(AnalizaCzyste[Kompetencje absolwentów ocenianej uczelni są wysokie.],B498,AnalizaCzyste[Czy jesteś przedstawicielem firmy, w której są zatrudniani absolwenci uczelni wyższych (tytuł licencjata, magistra lub wyższy)?],"*"&amp;"Tak"&amp;"*")</f>
        <v>0</v>
      </c>
      <c r="D511">
        <f>COUNTIFS(AnalizaCzyste[Kompetencje absolwentów ocenianej uczelni są wysokie.15],B498,AnalizaCzyste[Czy jesteś przedstawicielem firmy, w której są zatrudniani absolwenci uczelni wyższych (tytuł licencjata, magistra lub wyższy)?],"*"&amp;"Tak"&amp;"*")</f>
        <v>1</v>
      </c>
      <c r="E511">
        <f>COUNTIFS(AnalizaCzyste[Kompetencje absolwentów ocenianej uczelni są wysokie.22],B498,AnalizaCzyste[Czy jesteś przedstawicielem firmy, w której są zatrudniani absolwenci uczelni wyższych (tytuł licencjata, magistra lub wyższy)?],"*"&amp;"Tak"&amp;"*")</f>
        <v>0</v>
      </c>
      <c r="F511">
        <f t="shared" si="146"/>
        <v>1</v>
      </c>
      <c r="G511">
        <f t="shared" si="145"/>
        <v>0</v>
      </c>
      <c r="H511">
        <f t="shared" si="145"/>
        <v>2</v>
      </c>
      <c r="I511">
        <f t="shared" si="145"/>
        <v>0</v>
      </c>
      <c r="J511">
        <f t="shared" si="147"/>
        <v>2</v>
      </c>
      <c r="K511" s="44">
        <f t="shared" si="148"/>
        <v>10.710743801652891</v>
      </c>
      <c r="L511">
        <f t="shared" si="149"/>
        <v>10.710743801652891</v>
      </c>
    </row>
    <row r="512" spans="1:21" x14ac:dyDescent="0.45">
      <c r="A512">
        <v>1</v>
      </c>
      <c r="B512" t="s">
        <v>129</v>
      </c>
      <c r="C512">
        <f>COUNTIFS(AnalizaCzyste[Kompetencje absolwentów ocenianej uczelni są wysokie.],B499,AnalizaCzyste[Czy jesteś przedstawicielem firmy, w której są zatrudniani absolwenci uczelni wyższych (tytuł licencjata, magistra lub wyższy)?],"*"&amp;"Tak"&amp;"*")</f>
        <v>0</v>
      </c>
      <c r="D512">
        <f>COUNTIFS(AnalizaCzyste[Kompetencje absolwentów ocenianej uczelni są wysokie.15],B499,AnalizaCzyste[Czy jesteś przedstawicielem firmy, w której są zatrudniani absolwenci uczelni wyższych (tytuł licencjata, magistra lub wyższy)?],"*"&amp;"Tak"&amp;"*")</f>
        <v>0</v>
      </c>
      <c r="E512">
        <f>COUNTIFS(AnalizaCzyste[Kompetencje absolwentów ocenianej uczelni są wysokie.22],B499,AnalizaCzyste[Czy jesteś przedstawicielem firmy, w której są zatrudniani absolwenci uczelni wyższych (tytuł licencjata, magistra lub wyższy)?],"*"&amp;"Tak"&amp;"*")</f>
        <v>0</v>
      </c>
      <c r="F512">
        <f t="shared" si="146"/>
        <v>0</v>
      </c>
      <c r="G512">
        <f t="shared" si="145"/>
        <v>0</v>
      </c>
      <c r="H512">
        <f t="shared" si="145"/>
        <v>0</v>
      </c>
      <c r="I512">
        <f t="shared" si="145"/>
        <v>0</v>
      </c>
      <c r="J512">
        <f t="shared" si="147"/>
        <v>0</v>
      </c>
      <c r="K512" s="44">
        <f t="shared" si="148"/>
        <v>18.256198347107436</v>
      </c>
      <c r="L512">
        <f t="shared" si="149"/>
        <v>0</v>
      </c>
    </row>
    <row r="513" spans="1:13" x14ac:dyDescent="0.45">
      <c r="A513" t="s">
        <v>2329</v>
      </c>
      <c r="B513" t="s">
        <v>132</v>
      </c>
      <c r="C513">
        <f>COUNTIFS(AnalizaCzyste[Kompetencje absolwentów ocenianej uczelni są wysokie.],B500,AnalizaCzyste[Czy jesteś przedstawicielem firmy, w której są zatrudniani absolwenci uczelni wyższych (tytuł licencjata, magistra lub wyższy)?],"*"&amp;"Tak"&amp;"*")</f>
        <v>0</v>
      </c>
      <c r="D513">
        <f>COUNTIFS(AnalizaCzyste[Kompetencje absolwentów ocenianej uczelni są wysokie.15],B500,AnalizaCzyste[Czy jesteś przedstawicielem firmy, w której są zatrudniani absolwenci uczelni wyższych (tytuł licencjata, magistra lub wyższy)?],"*"&amp;"Tak"&amp;"*")</f>
        <v>0</v>
      </c>
      <c r="E513">
        <f>COUNTIFS(AnalizaCzyste[Kompetencje absolwentów ocenianej uczelni są wysokie.22],B500,AnalizaCzyste[Czy jesteś przedstawicielem firmy, w której są zatrudniani absolwenci uczelni wyższych (tytuł licencjata, magistra lub wyższy)?],"*"&amp;"Tak"&amp;"*")</f>
        <v>0</v>
      </c>
      <c r="F513">
        <f t="shared" si="146"/>
        <v>0</v>
      </c>
      <c r="G513">
        <f t="shared" si="145"/>
        <v>0</v>
      </c>
      <c r="H513">
        <f t="shared" si="145"/>
        <v>0</v>
      </c>
      <c r="I513">
        <f t="shared" si="145"/>
        <v>0</v>
      </c>
      <c r="J513">
        <f t="shared" si="147"/>
        <v>0</v>
      </c>
    </row>
    <row r="514" spans="1:13" x14ac:dyDescent="0.45">
      <c r="B514" s="20" t="s">
        <v>2351</v>
      </c>
      <c r="C514" s="29">
        <f>SUM(C506:C513)</f>
        <v>9</v>
      </c>
      <c r="D514" s="29">
        <f>SUM(D506:D513)</f>
        <v>2</v>
      </c>
      <c r="E514" s="29">
        <f>SUM(E506:E513)</f>
        <v>0</v>
      </c>
      <c r="F514" s="29">
        <f t="shared" si="146"/>
        <v>11</v>
      </c>
      <c r="G514" s="44">
        <f>SUM(G506:G513)/$C515</f>
        <v>5.666666666666667</v>
      </c>
      <c r="H514" s="44">
        <f>SUM(H506:H513)/$C515</f>
        <v>0.77777777777777779</v>
      </c>
      <c r="I514" s="44">
        <f>SUM(I506:I513)/$C515</f>
        <v>0</v>
      </c>
      <c r="J514" s="44">
        <f>SUM(J506:J512)/$F515</f>
        <v>5.2727272727272725</v>
      </c>
      <c r="K514" s="20" t="s">
        <v>2353</v>
      </c>
      <c r="L514" s="44">
        <f>SUM(L506:L513)/(F515-1)</f>
        <v>2.418181818181818</v>
      </c>
      <c r="M514" s="20" t="s">
        <v>2349</v>
      </c>
    </row>
    <row r="515" spans="1:13" x14ac:dyDescent="0.45">
      <c r="B515" s="20" t="s">
        <v>2352</v>
      </c>
      <c r="C515">
        <f>C514-C513</f>
        <v>9</v>
      </c>
      <c r="D515">
        <f>D514-D513</f>
        <v>2</v>
      </c>
      <c r="E515">
        <f>E514-E513</f>
        <v>0</v>
      </c>
      <c r="F515">
        <f t="shared" si="146"/>
        <v>11</v>
      </c>
      <c r="G515" s="33">
        <f>G514/7</f>
        <v>0.80952380952380953</v>
      </c>
      <c r="H515" s="33"/>
      <c r="I515" s="33"/>
      <c r="J515" s="33"/>
      <c r="L515" s="44">
        <f>L514^(1/2)</f>
        <v>1.5550504230351561</v>
      </c>
      <c r="M515" t="s">
        <v>2404</v>
      </c>
    </row>
    <row r="516" spans="1:13" x14ac:dyDescent="0.45">
      <c r="B516" s="20"/>
      <c r="D516" s="33"/>
      <c r="F516" s="44"/>
    </row>
    <row r="517" spans="1:13" x14ac:dyDescent="0.45">
      <c r="A517" s="29" t="s">
        <v>2397</v>
      </c>
      <c r="C517" s="20" t="s">
        <v>2390</v>
      </c>
      <c r="D517" s="20" t="s">
        <v>2391</v>
      </c>
      <c r="E517" s="20" t="s">
        <v>2392</v>
      </c>
      <c r="F517" s="20" t="s">
        <v>2374</v>
      </c>
      <c r="G517" s="20" t="s">
        <v>2393</v>
      </c>
      <c r="H517" s="20" t="s">
        <v>2394</v>
      </c>
      <c r="I517" s="20" t="s">
        <v>2395</v>
      </c>
      <c r="J517" s="20" t="s">
        <v>2373</v>
      </c>
      <c r="K517" s="20" t="s">
        <v>2362</v>
      </c>
      <c r="L517" s="20" t="s">
        <v>2363</v>
      </c>
    </row>
    <row r="518" spans="1:13" x14ac:dyDescent="0.45">
      <c r="A518">
        <v>7</v>
      </c>
      <c r="B518" t="s">
        <v>169</v>
      </c>
      <c r="C518">
        <f>COUNTIFS(AnalizaCzyste[Zarobki absolwentów ocenianej uczelni zatrudnionych w mojej firmie są wyższe od zarobków absolwentów innych polskich uczelni.],B506,AnalizaCzyste[Czy jesteś przedstawicielem firmy, w której są zatrudniani absolwenci uczelni wyższych (tytuł licencjata, magistra lub wyższy)?],"*"&amp;"Tak"&amp;"*")</f>
        <v>1</v>
      </c>
      <c r="D518">
        <f>COUNTIFS(AnalizaCzyste[Zarobki absolwentów ocenianej uczelni zatrudnionych w mojej firmie są wyższe od zarobków absolwentów innych polskich uczelni.16],B506,AnalizaCzyste[Czy jesteś przedstawicielem firmy, w której są zatrudniani absolwenci uczelni wyższych (tytuł licencjata, magistra lub wyższy)?],"*"&amp;"Tak"&amp;"*")</f>
        <v>0</v>
      </c>
      <c r="E518">
        <f>COUNTIFS(AnalizaCzyste[Zarobki absolwentów ocenianej uczelni zatrudnionych w mojej firmie są wyższe od zarobków absolwentów innych polskich uczelni.23],B506,AnalizaCzyste[Czy jesteś przedstawicielem firmy, w której są zatrudniani absolwenci uczelni wyższych (tytuł licencjata, magistra lub wyższy)?],"*"&amp;"Tak"&amp;"*")</f>
        <v>0</v>
      </c>
      <c r="F518">
        <f>SUM(C518:E518)</f>
        <v>1</v>
      </c>
      <c r="G518">
        <f t="shared" ref="G518:I525" si="150">PRODUCT($A518,C518)</f>
        <v>7</v>
      </c>
      <c r="H518">
        <f t="shared" si="150"/>
        <v>0</v>
      </c>
      <c r="I518">
        <f t="shared" si="150"/>
        <v>0</v>
      </c>
      <c r="J518">
        <f>SUM(G518:I518)</f>
        <v>7</v>
      </c>
      <c r="K518" s="44">
        <f>(A518-$J$526)^2</f>
        <v>12.570247933884298</v>
      </c>
      <c r="L518">
        <f>PRODUCT(F518,K518)</f>
        <v>12.570247933884298</v>
      </c>
    </row>
    <row r="519" spans="1:13" x14ac:dyDescent="0.45">
      <c r="A519">
        <v>6</v>
      </c>
      <c r="B519" t="s">
        <v>150</v>
      </c>
      <c r="C519">
        <f>COUNTIFS(AnalizaCzyste[Zarobki absolwentów ocenianej uczelni zatrudnionych w mojej firmie są wyższe od zarobków absolwentów innych polskich uczelni.],B507,AnalizaCzyste[Czy jesteś przedstawicielem firmy, w której są zatrudniani absolwenci uczelni wyższych (tytuł licencjata, magistra lub wyższy)?],"*"&amp;"Tak"&amp;"*")</f>
        <v>0</v>
      </c>
      <c r="D519">
        <f>COUNTIFS(AnalizaCzyste[Zarobki absolwentów ocenianej uczelni zatrudnionych w mojej firmie są wyższe od zarobków absolwentów innych polskich uczelni.16],B507,AnalizaCzyste[Czy jesteś przedstawicielem firmy, w której są zatrudniani absolwenci uczelni wyższych (tytuł licencjata, magistra lub wyższy)?],"*"&amp;"Tak"&amp;"*")</f>
        <v>0</v>
      </c>
      <c r="E519">
        <f>COUNTIFS(AnalizaCzyste[Zarobki absolwentów ocenianej uczelni zatrudnionych w mojej firmie są wyższe od zarobków absolwentów innych polskich uczelni.23],B507,AnalizaCzyste[Czy jesteś przedstawicielem firmy, w której są zatrudniani absolwenci uczelni wyższych (tytuł licencjata, magistra lub wyższy)?],"*"&amp;"Tak"&amp;"*")</f>
        <v>0</v>
      </c>
      <c r="F519">
        <f t="shared" ref="F519:F527" si="151">SUM(C519:E519)</f>
        <v>0</v>
      </c>
      <c r="G519">
        <f t="shared" si="150"/>
        <v>0</v>
      </c>
      <c r="H519">
        <f t="shared" si="150"/>
        <v>0</v>
      </c>
      <c r="I519">
        <f t="shared" si="150"/>
        <v>0</v>
      </c>
      <c r="J519">
        <f t="shared" ref="J519:J525" si="152">SUM(G519:I519)</f>
        <v>0</v>
      </c>
      <c r="K519" s="44">
        <f t="shared" ref="K519:K524" si="153">(A519-$J$526)^2</f>
        <v>6.4793388429752063</v>
      </c>
      <c r="L519">
        <f t="shared" ref="L519:L524" si="154">PRODUCT(F519,K519)</f>
        <v>0</v>
      </c>
    </row>
    <row r="520" spans="1:13" x14ac:dyDescent="0.45">
      <c r="A520">
        <v>5</v>
      </c>
      <c r="B520" t="s">
        <v>162</v>
      </c>
      <c r="C520">
        <f>COUNTIFS(AnalizaCzyste[Zarobki absolwentów ocenianej uczelni zatrudnionych w mojej firmie są wyższe od zarobków absolwentów innych polskich uczelni.],B508,AnalizaCzyste[Czy jesteś przedstawicielem firmy, w której są zatrudniani absolwenci uczelni wyższych (tytuł licencjata, magistra lub wyższy)?],"*"&amp;"Tak"&amp;"*")</f>
        <v>0</v>
      </c>
      <c r="D520">
        <f>COUNTIFS(AnalizaCzyste[Zarobki absolwentów ocenianej uczelni zatrudnionych w mojej firmie są wyższe od zarobków absolwentów innych polskich uczelni.16],B508,AnalizaCzyste[Czy jesteś przedstawicielem firmy, w której są zatrudniani absolwenci uczelni wyższych (tytuł licencjata, magistra lub wyższy)?],"*"&amp;"Tak"&amp;"*")</f>
        <v>0</v>
      </c>
      <c r="E520">
        <f>COUNTIFS(AnalizaCzyste[Zarobki absolwentów ocenianej uczelni zatrudnionych w mojej firmie są wyższe od zarobków absolwentów innych polskich uczelni.23],B508,AnalizaCzyste[Czy jesteś przedstawicielem firmy, w której są zatrudniani absolwenci uczelni wyższych (tytuł licencjata, magistra lub wyższy)?],"*"&amp;"Tak"&amp;"*")</f>
        <v>0</v>
      </c>
      <c r="F520">
        <f t="shared" si="151"/>
        <v>0</v>
      </c>
      <c r="G520">
        <f t="shared" si="150"/>
        <v>0</v>
      </c>
      <c r="H520">
        <f t="shared" si="150"/>
        <v>0</v>
      </c>
      <c r="I520">
        <f t="shared" si="150"/>
        <v>0</v>
      </c>
      <c r="J520">
        <f t="shared" si="152"/>
        <v>0</v>
      </c>
      <c r="K520" s="44">
        <f t="shared" si="153"/>
        <v>2.3884297520661155</v>
      </c>
      <c r="L520">
        <f t="shared" si="154"/>
        <v>0</v>
      </c>
    </row>
    <row r="521" spans="1:13" x14ac:dyDescent="0.45">
      <c r="A521">
        <v>4</v>
      </c>
      <c r="B521" t="s">
        <v>151</v>
      </c>
      <c r="C521">
        <f>COUNTIFS(AnalizaCzyste[Zarobki absolwentów ocenianej uczelni zatrudnionych w mojej firmie są wyższe od zarobków absolwentów innych polskich uczelni.],B509,AnalizaCzyste[Czy jesteś przedstawicielem firmy, w której są zatrudniani absolwenci uczelni wyższych (tytuł licencjata, magistra lub wyższy)?],"*"&amp;"Tak"&amp;"*")</f>
        <v>4</v>
      </c>
      <c r="D521">
        <f>COUNTIFS(AnalizaCzyste[Zarobki absolwentów ocenianej uczelni zatrudnionych w mojej firmie są wyższe od zarobków absolwentów innych polskich uczelni.16],B509,AnalizaCzyste[Czy jesteś przedstawicielem firmy, w której są zatrudniani absolwenci uczelni wyższych (tytuł licencjata, magistra lub wyższy)?],"*"&amp;"Tak"&amp;"*")</f>
        <v>1</v>
      </c>
      <c r="E521">
        <f>COUNTIFS(AnalizaCzyste[Zarobki absolwentów ocenianej uczelni zatrudnionych w mojej firmie są wyższe od zarobków absolwentów innych polskich uczelni.23],B509,AnalizaCzyste[Czy jesteś przedstawicielem firmy, w której są zatrudniani absolwenci uczelni wyższych (tytuł licencjata, magistra lub wyższy)?],"*"&amp;"Tak"&amp;"*")</f>
        <v>0</v>
      </c>
      <c r="F521">
        <f t="shared" si="151"/>
        <v>5</v>
      </c>
      <c r="G521">
        <f t="shared" si="150"/>
        <v>16</v>
      </c>
      <c r="H521">
        <f t="shared" si="150"/>
        <v>4</v>
      </c>
      <c r="I521">
        <f t="shared" si="150"/>
        <v>0</v>
      </c>
      <c r="J521">
        <f t="shared" si="152"/>
        <v>20</v>
      </c>
      <c r="K521" s="44">
        <f t="shared" si="153"/>
        <v>0.29752066115702475</v>
      </c>
      <c r="L521">
        <f t="shared" si="154"/>
        <v>1.4876033057851237</v>
      </c>
    </row>
    <row r="522" spans="1:13" x14ac:dyDescent="0.45">
      <c r="A522">
        <v>3</v>
      </c>
      <c r="B522" t="s">
        <v>128</v>
      </c>
      <c r="C522">
        <f>COUNTIFS(AnalizaCzyste[Zarobki absolwentów ocenianej uczelni zatrudnionych w mojej firmie są wyższe od zarobków absolwentów innych polskich uczelni.],B510,AnalizaCzyste[Czy jesteś przedstawicielem firmy, w której są zatrudniani absolwenci uczelni wyższych (tytuł licencjata, magistra lub wyższy)?],"*"&amp;"Tak"&amp;"*")</f>
        <v>2</v>
      </c>
      <c r="D522">
        <f>COUNTIFS(AnalizaCzyste[Zarobki absolwentów ocenianej uczelni zatrudnionych w mojej firmie są wyższe od zarobków absolwentów innych polskich uczelni.16],B510,AnalizaCzyste[Czy jesteś przedstawicielem firmy, w której są zatrudniani absolwenci uczelni wyższych (tytuł licencjata, magistra lub wyższy)?],"*"&amp;"Tak"&amp;"*")</f>
        <v>0</v>
      </c>
      <c r="E522">
        <f>COUNTIFS(AnalizaCzyste[Zarobki absolwentów ocenianej uczelni zatrudnionych w mojej firmie są wyższe od zarobków absolwentów innych polskich uczelni.23],B510,AnalizaCzyste[Czy jesteś przedstawicielem firmy, w której są zatrudniani absolwenci uczelni wyższych (tytuł licencjata, magistra lub wyższy)?],"*"&amp;"Tak"&amp;"*")</f>
        <v>0</v>
      </c>
      <c r="F522">
        <f t="shared" si="151"/>
        <v>2</v>
      </c>
      <c r="G522">
        <f t="shared" si="150"/>
        <v>6</v>
      </c>
      <c r="H522">
        <f t="shared" si="150"/>
        <v>0</v>
      </c>
      <c r="I522">
        <f t="shared" si="150"/>
        <v>0</v>
      </c>
      <c r="J522">
        <f t="shared" si="152"/>
        <v>6</v>
      </c>
      <c r="K522" s="44">
        <f t="shared" si="153"/>
        <v>0.20661157024793392</v>
      </c>
      <c r="L522">
        <f t="shared" si="154"/>
        <v>0.41322314049586784</v>
      </c>
    </row>
    <row r="523" spans="1:13" x14ac:dyDescent="0.45">
      <c r="A523">
        <v>2</v>
      </c>
      <c r="B523" t="s">
        <v>236</v>
      </c>
      <c r="C523">
        <f>COUNTIFS(AnalizaCzyste[Zarobki absolwentów ocenianej uczelni zatrudnionych w mojej firmie są wyższe od zarobków absolwentów innych polskich uczelni.],B511,AnalizaCzyste[Czy jesteś przedstawicielem firmy, w której są zatrudniani absolwenci uczelni wyższych (tytuł licencjata, magistra lub wyższy)?],"*"&amp;"Tak"&amp;"*")</f>
        <v>2</v>
      </c>
      <c r="D523">
        <f>COUNTIFS(AnalizaCzyste[Zarobki absolwentów ocenianej uczelni zatrudnionych w mojej firmie są wyższe od zarobków absolwentów innych polskich uczelni.16],B511,AnalizaCzyste[Czy jesteś przedstawicielem firmy, w której są zatrudniani absolwenci uczelni wyższych (tytuł licencjata, magistra lub wyższy)?],"*"&amp;"Tak"&amp;"*")</f>
        <v>0</v>
      </c>
      <c r="E523">
        <f>COUNTIFS(AnalizaCzyste[Zarobki absolwentów ocenianej uczelni zatrudnionych w mojej firmie są wyższe od zarobków absolwentów innych polskich uczelni.23],B511,AnalizaCzyste[Czy jesteś przedstawicielem firmy, w której są zatrudniani absolwenci uczelni wyższych (tytuł licencjata, magistra lub wyższy)?],"*"&amp;"Tak"&amp;"*")</f>
        <v>0</v>
      </c>
      <c r="F523">
        <f t="shared" si="151"/>
        <v>2</v>
      </c>
      <c r="G523">
        <f t="shared" si="150"/>
        <v>4</v>
      </c>
      <c r="H523">
        <f t="shared" si="150"/>
        <v>0</v>
      </c>
      <c r="I523">
        <f t="shared" si="150"/>
        <v>0</v>
      </c>
      <c r="J523">
        <f t="shared" si="152"/>
        <v>4</v>
      </c>
      <c r="K523" s="44">
        <f t="shared" si="153"/>
        <v>2.115702479338843</v>
      </c>
      <c r="L523">
        <f t="shared" si="154"/>
        <v>4.2314049586776861</v>
      </c>
    </row>
    <row r="524" spans="1:13" x14ac:dyDescent="0.45">
      <c r="A524">
        <v>1</v>
      </c>
      <c r="B524" t="s">
        <v>129</v>
      </c>
      <c r="C524">
        <f>COUNTIFS(AnalizaCzyste[Zarobki absolwentów ocenianej uczelni zatrudnionych w mojej firmie są wyższe od zarobków absolwentów innych polskich uczelni.],B512,AnalizaCzyste[Czy jesteś przedstawicielem firmy, w której są zatrudniani absolwenci uczelni wyższych (tytuł licencjata, magistra lub wyższy)?],"*"&amp;"Tak"&amp;"*")</f>
        <v>0</v>
      </c>
      <c r="D524">
        <f>COUNTIFS(AnalizaCzyste[Zarobki absolwentów ocenianej uczelni zatrudnionych w mojej firmie są wyższe od zarobków absolwentów innych polskich uczelni.16],B512,AnalizaCzyste[Czy jesteś przedstawicielem firmy, w której są zatrudniani absolwenci uczelni wyższych (tytuł licencjata, magistra lub wyższy)?],"*"&amp;"Tak"&amp;"*")</f>
        <v>1</v>
      </c>
      <c r="E524">
        <f>COUNTIFS(AnalizaCzyste[Zarobki absolwentów ocenianej uczelni zatrudnionych w mojej firmie są wyższe od zarobków absolwentów innych polskich uczelni.23],B512,AnalizaCzyste[Czy jesteś przedstawicielem firmy, w której są zatrudniani absolwenci uczelni wyższych (tytuł licencjata, magistra lub wyższy)?],"*"&amp;"Tak"&amp;"*")</f>
        <v>0</v>
      </c>
      <c r="F524">
        <f t="shared" si="151"/>
        <v>1</v>
      </c>
      <c r="G524">
        <f t="shared" si="150"/>
        <v>0</v>
      </c>
      <c r="H524">
        <f t="shared" si="150"/>
        <v>1</v>
      </c>
      <c r="I524">
        <f t="shared" si="150"/>
        <v>0</v>
      </c>
      <c r="J524">
        <f t="shared" si="152"/>
        <v>1</v>
      </c>
      <c r="K524" s="44">
        <f t="shared" si="153"/>
        <v>6.0247933884297522</v>
      </c>
      <c r="L524">
        <f t="shared" si="154"/>
        <v>6.0247933884297522</v>
      </c>
    </row>
    <row r="525" spans="1:13" x14ac:dyDescent="0.45">
      <c r="A525" t="s">
        <v>2329</v>
      </c>
      <c r="B525" t="s">
        <v>132</v>
      </c>
      <c r="C525">
        <f>COUNTIFS(AnalizaCzyste[Zarobki absolwentów ocenianej uczelni zatrudnionych w mojej firmie są wyższe od zarobków absolwentów innych polskich uczelni.],B513,AnalizaCzyste[Czy jesteś przedstawicielem firmy, w której są zatrudniani absolwenci uczelni wyższych (tytuł licencjata, magistra lub wyższy)?],"*"&amp;"Tak"&amp;"*")</f>
        <v>0</v>
      </c>
      <c r="D525">
        <f>COUNTIFS(AnalizaCzyste[Zarobki absolwentów ocenianej uczelni zatrudnionych w mojej firmie są wyższe od zarobków absolwentów innych polskich uczelni.16],B513,AnalizaCzyste[Czy jesteś przedstawicielem firmy, w której są zatrudniani absolwenci uczelni wyższych (tytuł licencjata, magistra lub wyższy)?],"*"&amp;"Tak"&amp;"*")</f>
        <v>0</v>
      </c>
      <c r="E525">
        <f>COUNTIFS(AnalizaCzyste[Zarobki absolwentów ocenianej uczelni zatrudnionych w mojej firmie są wyższe od zarobków absolwentów innych polskich uczelni.23],B513,AnalizaCzyste[Czy jesteś przedstawicielem firmy, w której są zatrudniani absolwenci uczelni wyższych (tytuł licencjata, magistra lub wyższy)?],"*"&amp;"Tak"&amp;"*")</f>
        <v>0</v>
      </c>
      <c r="F525">
        <f t="shared" si="151"/>
        <v>0</v>
      </c>
      <c r="G525">
        <f t="shared" si="150"/>
        <v>0</v>
      </c>
      <c r="H525">
        <f t="shared" si="150"/>
        <v>0</v>
      </c>
      <c r="I525">
        <f t="shared" si="150"/>
        <v>0</v>
      </c>
      <c r="J525">
        <f t="shared" si="152"/>
        <v>0</v>
      </c>
    </row>
    <row r="526" spans="1:13" x14ac:dyDescent="0.45">
      <c r="B526" s="20" t="s">
        <v>2351</v>
      </c>
      <c r="C526" s="29">
        <f>SUM(C518:C525)</f>
        <v>9</v>
      </c>
      <c r="D526" s="29">
        <f>SUM(D518:D525)</f>
        <v>2</v>
      </c>
      <c r="E526" s="29">
        <f>SUM(E518:E525)</f>
        <v>0</v>
      </c>
      <c r="F526" s="29">
        <f t="shared" si="151"/>
        <v>11</v>
      </c>
      <c r="G526" s="44">
        <f>SUM(G518:G525)/$C527</f>
        <v>3.6666666666666665</v>
      </c>
      <c r="H526" s="44">
        <f>SUM(H518:H525)/$C527</f>
        <v>0.55555555555555558</v>
      </c>
      <c r="I526" s="44">
        <f>SUM(I518:I525)/$C527</f>
        <v>0</v>
      </c>
      <c r="J526" s="44">
        <f>SUM(J518:J524)/$F527</f>
        <v>3.4545454545454546</v>
      </c>
      <c r="K526" s="20" t="s">
        <v>2353</v>
      </c>
      <c r="L526" s="44">
        <f>SUM(L518:L525)/(F527-1)</f>
        <v>2.4727272727272731</v>
      </c>
      <c r="M526" s="20" t="s">
        <v>2349</v>
      </c>
    </row>
    <row r="527" spans="1:13" x14ac:dyDescent="0.45">
      <c r="B527" s="20" t="s">
        <v>2352</v>
      </c>
      <c r="C527">
        <f>C526-C525</f>
        <v>9</v>
      </c>
      <c r="D527">
        <f>D526-D525</f>
        <v>2</v>
      </c>
      <c r="E527">
        <f>E526-E525</f>
        <v>0</v>
      </c>
      <c r="F527">
        <f t="shared" si="151"/>
        <v>11</v>
      </c>
      <c r="G527" s="33">
        <f>G526/7</f>
        <v>0.52380952380952384</v>
      </c>
      <c r="H527" s="33"/>
      <c r="I527" s="33"/>
      <c r="J527" s="33"/>
      <c r="L527" s="44">
        <f>L526^(1/2)</f>
        <v>1.5724907862137931</v>
      </c>
      <c r="M527" t="s">
        <v>2404</v>
      </c>
    </row>
    <row r="528" spans="1:13" x14ac:dyDescent="0.45">
      <c r="B528" s="20"/>
      <c r="D528" s="33"/>
      <c r="F528" s="44"/>
    </row>
    <row r="529" spans="1:11" x14ac:dyDescent="0.45">
      <c r="A529" s="29" t="s">
        <v>2403</v>
      </c>
      <c r="C529" t="s">
        <v>2348</v>
      </c>
      <c r="E529" s="20" t="s">
        <v>2362</v>
      </c>
      <c r="F529" s="20" t="s">
        <v>2363</v>
      </c>
    </row>
    <row r="530" spans="1:11" x14ac:dyDescent="0.45">
      <c r="A530">
        <v>7</v>
      </c>
      <c r="B530" t="s">
        <v>169</v>
      </c>
      <c r="C530">
        <f>COUNTIFS(AnalizaCzyste[Ogólny poziom mojej satysfakcji z jakości usług edukacyjnych ocenianej uczelni jest wysoki.32],B530,AnalizaCzyste[Czy jesteś przedstawicielem władz samorządowych lub centralnych Rzeczypospolitej Polskiej?],"*"&amp;"Tak"&amp;"*")</f>
        <v>1</v>
      </c>
      <c r="D530">
        <f>PRODUCT(A530,C530)</f>
        <v>7</v>
      </c>
      <c r="E530" s="44">
        <f t="shared" ref="E530:E536" si="155">(A530-$D$538)^2</f>
        <v>0.25</v>
      </c>
      <c r="F530">
        <f>PRODUCT(C530,E530)</f>
        <v>0.25</v>
      </c>
    </row>
    <row r="531" spans="1:11" x14ac:dyDescent="0.45">
      <c r="A531">
        <v>6</v>
      </c>
      <c r="B531" t="s">
        <v>150</v>
      </c>
      <c r="C531">
        <f>COUNTIFS(AnalizaCzyste[Ogólny poziom mojej satysfakcji z jakości usług edukacyjnych ocenianej uczelni jest wysoki.32],B531,AnalizaCzyste[Czy jesteś przedstawicielem władz samorządowych lub centralnych Rzeczypospolitej Polskiej?],"*"&amp;"Tak"&amp;"*")</f>
        <v>1</v>
      </c>
      <c r="D531">
        <f t="shared" ref="D531:D537" si="156">PRODUCT(A531,C531)</f>
        <v>6</v>
      </c>
      <c r="E531" s="44">
        <f t="shared" si="155"/>
        <v>0.25</v>
      </c>
      <c r="F531">
        <f t="shared" ref="F531:F536" si="157">PRODUCT(C531,E531)</f>
        <v>0.25</v>
      </c>
    </row>
    <row r="532" spans="1:11" x14ac:dyDescent="0.45">
      <c r="A532">
        <v>5</v>
      </c>
      <c r="B532" t="s">
        <v>162</v>
      </c>
      <c r="C532">
        <f>COUNTIFS(AnalizaCzyste[Ogólny poziom mojej satysfakcji z jakości usług edukacyjnych ocenianej uczelni jest wysoki.32],B532,AnalizaCzyste[Czy jesteś przedstawicielem władz samorządowych lub centralnych Rzeczypospolitej Polskiej?],"*"&amp;"Tak"&amp;"*")</f>
        <v>0</v>
      </c>
      <c r="D532">
        <f t="shared" si="156"/>
        <v>0</v>
      </c>
      <c r="E532" s="44">
        <f t="shared" si="155"/>
        <v>2.25</v>
      </c>
      <c r="F532">
        <f t="shared" si="157"/>
        <v>0</v>
      </c>
    </row>
    <row r="533" spans="1:11" x14ac:dyDescent="0.45">
      <c r="A533">
        <v>4</v>
      </c>
      <c r="B533" t="s">
        <v>151</v>
      </c>
      <c r="C533">
        <f>COUNTIFS(AnalizaCzyste[Ogólny poziom mojej satysfakcji z jakości usług edukacyjnych ocenianej uczelni jest wysoki.32],B533,AnalizaCzyste[Czy jesteś przedstawicielem władz samorządowych lub centralnych Rzeczypospolitej Polskiej?],"*"&amp;"Tak"&amp;"*")</f>
        <v>0</v>
      </c>
      <c r="D533">
        <f t="shared" si="156"/>
        <v>0</v>
      </c>
      <c r="E533" s="44">
        <f t="shared" si="155"/>
        <v>6.25</v>
      </c>
      <c r="F533">
        <f t="shared" si="157"/>
        <v>0</v>
      </c>
    </row>
    <row r="534" spans="1:11" x14ac:dyDescent="0.45">
      <c r="A534">
        <v>3</v>
      </c>
      <c r="B534" t="s">
        <v>128</v>
      </c>
      <c r="C534">
        <f>COUNTIFS(AnalizaCzyste[Ogólny poziom mojej satysfakcji z jakości usług edukacyjnych ocenianej uczelni jest wysoki.32],B534,AnalizaCzyste[Czy jesteś przedstawicielem władz samorządowych lub centralnych Rzeczypospolitej Polskiej?],"*"&amp;"Tak"&amp;"*")</f>
        <v>0</v>
      </c>
      <c r="D534">
        <f t="shared" si="156"/>
        <v>0</v>
      </c>
      <c r="E534" s="44">
        <f t="shared" si="155"/>
        <v>12.25</v>
      </c>
      <c r="F534">
        <f t="shared" si="157"/>
        <v>0</v>
      </c>
    </row>
    <row r="535" spans="1:11" x14ac:dyDescent="0.45">
      <c r="A535">
        <v>2</v>
      </c>
      <c r="B535" t="s">
        <v>236</v>
      </c>
      <c r="C535">
        <f>COUNTIFS(AnalizaCzyste[Ogólny poziom mojej satysfakcji z jakości usług edukacyjnych ocenianej uczelni jest wysoki.32],B535,AnalizaCzyste[Czy jesteś przedstawicielem władz samorządowych lub centralnych Rzeczypospolitej Polskiej?],"*"&amp;"Tak"&amp;"*")</f>
        <v>0</v>
      </c>
      <c r="D535">
        <f t="shared" si="156"/>
        <v>0</v>
      </c>
      <c r="E535" s="44">
        <f t="shared" si="155"/>
        <v>20.25</v>
      </c>
      <c r="F535">
        <f t="shared" si="157"/>
        <v>0</v>
      </c>
    </row>
    <row r="536" spans="1:11" x14ac:dyDescent="0.45">
      <c r="A536">
        <v>1</v>
      </c>
      <c r="B536" t="s">
        <v>129</v>
      </c>
      <c r="C536">
        <f>COUNTIFS(AnalizaCzyste[Ogólny poziom mojej satysfakcji z jakości usług edukacyjnych ocenianej uczelni jest wysoki.32],B536,AnalizaCzyste[Czy jesteś przedstawicielem władz samorządowych lub centralnych Rzeczypospolitej Polskiej?],"*"&amp;"Tak"&amp;"*")</f>
        <v>0</v>
      </c>
      <c r="D536">
        <f t="shared" si="156"/>
        <v>0</v>
      </c>
      <c r="E536" s="44">
        <f t="shared" si="155"/>
        <v>30.25</v>
      </c>
      <c r="F536">
        <f t="shared" si="157"/>
        <v>0</v>
      </c>
    </row>
    <row r="537" spans="1:11" x14ac:dyDescent="0.45">
      <c r="A537" t="s">
        <v>2329</v>
      </c>
      <c r="B537" t="s">
        <v>132</v>
      </c>
      <c r="C537">
        <f>COUNTIFS(AnalizaCzyste[Ogólny poziom mojej satysfakcji z jakości usług edukacyjnych ocenianej uczelni jest wysoki.32],B537,AnalizaCzyste[Czy jesteś przedstawicielem władz samorządowych lub centralnych Rzeczypospolitej Polskiej?],"*"&amp;"Tak"&amp;"*")</f>
        <v>0</v>
      </c>
      <c r="D537">
        <f t="shared" si="156"/>
        <v>0</v>
      </c>
    </row>
    <row r="538" spans="1:11" x14ac:dyDescent="0.45">
      <c r="B538" s="20" t="s">
        <v>2351</v>
      </c>
      <c r="C538" s="29">
        <f>SUM(C530:C537)</f>
        <v>2</v>
      </c>
      <c r="D538" s="44">
        <f>SUM(D530:D536)/C539</f>
        <v>6.5</v>
      </c>
      <c r="E538" s="20" t="s">
        <v>2353</v>
      </c>
      <c r="F538" s="44">
        <f>SUM(F530:F537)/(C539-1)</f>
        <v>0.5</v>
      </c>
      <c r="G538" s="20" t="s">
        <v>2349</v>
      </c>
    </row>
    <row r="539" spans="1:11" x14ac:dyDescent="0.45">
      <c r="B539" s="20" t="s">
        <v>2352</v>
      </c>
      <c r="C539">
        <f>C538-C537</f>
        <v>2</v>
      </c>
      <c r="D539" s="33">
        <f>D538/7</f>
        <v>0.9285714285714286</v>
      </c>
      <c r="F539" s="44">
        <f>F538^(1/2)</f>
        <v>0.70710678118654757</v>
      </c>
      <c r="G539" t="s">
        <v>2404</v>
      </c>
    </row>
    <row r="540" spans="1:11" x14ac:dyDescent="0.45">
      <c r="B540" s="20"/>
      <c r="D540" s="51" t="str">
        <f>VLOOKUP(D538,InterpretacjaŚredniej[],2,1)</f>
        <v>zdecydowanie się zgadzam</v>
      </c>
      <c r="E540">
        <f>D538-(K540*F539/SQRT(C539))</f>
        <v>0.14689763191264671</v>
      </c>
      <c r="F540" s="45" t="str">
        <f>"&lt; m &lt;"</f>
        <v>&lt; m &lt;</v>
      </c>
      <c r="G540">
        <f>D538+(K540*F539/SQRT(C539))</f>
        <v>12.853102368087352</v>
      </c>
      <c r="H540" t="s">
        <v>2407</v>
      </c>
      <c r="I540">
        <v>0.05</v>
      </c>
      <c r="J540" s="20" t="s">
        <v>2417</v>
      </c>
      <c r="K540">
        <f>VLOOKUP($C$539-1,Tabl_tStudenta[],5,0)</f>
        <v>12.706204736174707</v>
      </c>
    </row>
    <row r="541" spans="1:11" x14ac:dyDescent="0.45">
      <c r="B541" s="20"/>
      <c r="D541" s="33"/>
      <c r="F541" s="44"/>
    </row>
    <row r="543" spans="1:11" x14ac:dyDescent="0.45">
      <c r="A543" s="29" t="s">
        <v>2359</v>
      </c>
      <c r="C543" t="s">
        <v>2348</v>
      </c>
      <c r="E543" s="20" t="s">
        <v>2362</v>
      </c>
      <c r="F543" s="20" t="s">
        <v>2363</v>
      </c>
    </row>
    <row r="544" spans="1:11" x14ac:dyDescent="0.45">
      <c r="A544">
        <v>7</v>
      </c>
      <c r="B544" t="s">
        <v>169</v>
      </c>
      <c r="C544">
        <f>COUNTIFS(AnalizaCzyste[Efekty działań ocenianej uczelni na rzesz jakości edukacji są zgodne ze strategią rozwoju w regionie.],B544,AnalizaCzyste[Czy jesteś przedstawicielem władz samorządowych lub centralnych Rzeczypospolitej Polskiej?],"*"&amp;"Tak"&amp;"*")</f>
        <v>0</v>
      </c>
      <c r="D544">
        <f>PRODUCT(A544,C544)</f>
        <v>0</v>
      </c>
      <c r="E544" s="44">
        <f>(A544-$D$552)^2</f>
        <v>1</v>
      </c>
      <c r="F544">
        <f>PRODUCT(C544,E544)</f>
        <v>0</v>
      </c>
    </row>
    <row r="545" spans="1:7" x14ac:dyDescent="0.45">
      <c r="A545">
        <v>6</v>
      </c>
      <c r="B545" t="s">
        <v>150</v>
      </c>
      <c r="C545">
        <f>COUNTIFS(AnalizaCzyste[Efekty działań ocenianej uczelni na rzesz jakości edukacji są zgodne ze strategią rozwoju w regionie.],B545,AnalizaCzyste[Czy jesteś przedstawicielem władz samorządowych lub centralnych Rzeczypospolitej Polskiej?],"*"&amp;"Tak"&amp;"*")</f>
        <v>2</v>
      </c>
      <c r="D545">
        <f t="shared" ref="D545:D551" si="158">PRODUCT(A545,C545)</f>
        <v>12</v>
      </c>
      <c r="E545" s="44">
        <f t="shared" ref="E545:E550" si="159">(A545-$D$552)^2</f>
        <v>0</v>
      </c>
      <c r="F545">
        <f t="shared" ref="F545:F550" si="160">PRODUCT(C545,E545)</f>
        <v>0</v>
      </c>
    </row>
    <row r="546" spans="1:7" x14ac:dyDescent="0.45">
      <c r="A546">
        <v>5</v>
      </c>
      <c r="B546" t="s">
        <v>162</v>
      </c>
      <c r="C546">
        <f>COUNTIFS(AnalizaCzyste[Efekty działań ocenianej uczelni na rzesz jakości edukacji są zgodne ze strategią rozwoju w regionie.],B546,AnalizaCzyste[Czy jesteś przedstawicielem władz samorządowych lub centralnych Rzeczypospolitej Polskiej?],"*"&amp;"Tak"&amp;"*")</f>
        <v>0</v>
      </c>
      <c r="D546">
        <f t="shared" si="158"/>
        <v>0</v>
      </c>
      <c r="E546" s="44">
        <f t="shared" si="159"/>
        <v>1</v>
      </c>
      <c r="F546">
        <f t="shared" si="160"/>
        <v>0</v>
      </c>
    </row>
    <row r="547" spans="1:7" x14ac:dyDescent="0.45">
      <c r="A547">
        <v>4</v>
      </c>
      <c r="B547" t="s">
        <v>151</v>
      </c>
      <c r="C547">
        <f>COUNTIFS(AnalizaCzyste[Efekty działań ocenianej uczelni na rzesz jakości edukacji są zgodne ze strategią rozwoju w regionie.],B547,AnalizaCzyste[Czy jesteś przedstawicielem władz samorządowych lub centralnych Rzeczypospolitej Polskiej?],"*"&amp;"Tak"&amp;"*")</f>
        <v>0</v>
      </c>
      <c r="D547">
        <f t="shared" si="158"/>
        <v>0</v>
      </c>
      <c r="E547" s="44">
        <f t="shared" si="159"/>
        <v>4</v>
      </c>
      <c r="F547">
        <f t="shared" si="160"/>
        <v>0</v>
      </c>
    </row>
    <row r="548" spans="1:7" x14ac:dyDescent="0.45">
      <c r="A548">
        <v>3</v>
      </c>
      <c r="B548" t="s">
        <v>128</v>
      </c>
      <c r="C548">
        <f>COUNTIFS(AnalizaCzyste[Efekty działań ocenianej uczelni na rzesz jakości edukacji są zgodne ze strategią rozwoju w regionie.],B548,AnalizaCzyste[Czy jesteś przedstawicielem władz samorządowych lub centralnych Rzeczypospolitej Polskiej?],"*"&amp;"Tak"&amp;"*")</f>
        <v>0</v>
      </c>
      <c r="D548">
        <f t="shared" si="158"/>
        <v>0</v>
      </c>
      <c r="E548" s="44">
        <f t="shared" si="159"/>
        <v>9</v>
      </c>
      <c r="F548">
        <f t="shared" si="160"/>
        <v>0</v>
      </c>
    </row>
    <row r="549" spans="1:7" x14ac:dyDescent="0.45">
      <c r="A549">
        <v>2</v>
      </c>
      <c r="B549" t="s">
        <v>236</v>
      </c>
      <c r="C549">
        <f>COUNTIFS(AnalizaCzyste[Efekty działań ocenianej uczelni na rzesz jakości edukacji są zgodne ze strategią rozwoju w regionie.],B549,AnalizaCzyste[Czy jesteś przedstawicielem władz samorządowych lub centralnych Rzeczypospolitej Polskiej?],"*"&amp;"Tak"&amp;"*")</f>
        <v>0</v>
      </c>
      <c r="D549">
        <f t="shared" si="158"/>
        <v>0</v>
      </c>
      <c r="E549" s="44">
        <f t="shared" si="159"/>
        <v>16</v>
      </c>
      <c r="F549">
        <f t="shared" si="160"/>
        <v>0</v>
      </c>
    </row>
    <row r="550" spans="1:7" x14ac:dyDescent="0.45">
      <c r="A550">
        <v>1</v>
      </c>
      <c r="B550" t="s">
        <v>129</v>
      </c>
      <c r="C550">
        <f>COUNTIFS(AnalizaCzyste[Efekty działań ocenianej uczelni na rzesz jakości edukacji są zgodne ze strategią rozwoju w regionie.],B550,AnalizaCzyste[Czy jesteś przedstawicielem władz samorządowych lub centralnych Rzeczypospolitej Polskiej?],"*"&amp;"Tak"&amp;"*")</f>
        <v>0</v>
      </c>
      <c r="D550">
        <f t="shared" si="158"/>
        <v>0</v>
      </c>
      <c r="E550" s="44">
        <f t="shared" si="159"/>
        <v>25</v>
      </c>
      <c r="F550">
        <f t="shared" si="160"/>
        <v>0</v>
      </c>
    </row>
    <row r="551" spans="1:7" x14ac:dyDescent="0.45">
      <c r="A551" t="s">
        <v>2329</v>
      </c>
      <c r="B551" t="s">
        <v>132</v>
      </c>
      <c r="C551">
        <f>COUNTIFS(AnalizaCzyste[Efekty działań ocenianej uczelni na rzesz jakości edukacji są zgodne ze strategią rozwoju w regionie.],B551,AnalizaCzyste[Czy jesteś przedstawicielem władz samorządowych lub centralnych Rzeczypospolitej Polskiej?],"*"&amp;"Tak"&amp;"*")</f>
        <v>0</v>
      </c>
      <c r="D551">
        <f t="shared" si="158"/>
        <v>0</v>
      </c>
    </row>
    <row r="552" spans="1:7" x14ac:dyDescent="0.45">
      <c r="B552" s="20" t="s">
        <v>2351</v>
      </c>
      <c r="C552" s="29">
        <f>SUM(C544:C551)</f>
        <v>2</v>
      </c>
      <c r="D552" s="44">
        <f>SUM(D544:D550)/C553</f>
        <v>6</v>
      </c>
      <c r="E552" s="20" t="s">
        <v>2353</v>
      </c>
      <c r="F552" s="44">
        <f>SUM(F544:F551)/(C553-1)</f>
        <v>0</v>
      </c>
      <c r="G552" s="20" t="s">
        <v>2349</v>
      </c>
    </row>
    <row r="553" spans="1:7" x14ac:dyDescent="0.45">
      <c r="B553" s="20" t="s">
        <v>2352</v>
      </c>
      <c r="C553">
        <f>C552-C551</f>
        <v>2</v>
      </c>
      <c r="D553" s="33">
        <f>D552/7</f>
        <v>0.8571428571428571</v>
      </c>
      <c r="F553" s="44">
        <f>F552^(1/2)</f>
        <v>0</v>
      </c>
      <c r="G553" t="s">
        <v>2404</v>
      </c>
    </row>
    <row r="555" spans="1:7" x14ac:dyDescent="0.45">
      <c r="A555" s="29" t="s">
        <v>2398</v>
      </c>
      <c r="C555" t="s">
        <v>2348</v>
      </c>
      <c r="E555" s="20" t="s">
        <v>2362</v>
      </c>
      <c r="F555" s="20" t="s">
        <v>2363</v>
      </c>
    </row>
    <row r="556" spans="1:7" x14ac:dyDescent="0.45">
      <c r="A556">
        <v>7</v>
      </c>
      <c r="B556" t="s">
        <v>169</v>
      </c>
      <c r="C556">
        <f>COUNTIFS(AnalizaCzyste[Wartość wykształcenia zdobywanego przez studentów na ocenianej uczelni jest wysoka.27],B556,AnalizaCzyste[Czy jesteś przedstawicielem władz samorządowych lub centralnych Rzeczypospolitej Polskiej?],"*"&amp;"Tak"&amp;"*")</f>
        <v>0</v>
      </c>
      <c r="D556">
        <f>PRODUCT(A556,C556)</f>
        <v>0</v>
      </c>
      <c r="E556" s="44">
        <f>(A556-$D$564)^2</f>
        <v>1</v>
      </c>
      <c r="F556">
        <f>PRODUCT(C556,E556)</f>
        <v>0</v>
      </c>
    </row>
    <row r="557" spans="1:7" x14ac:dyDescent="0.45">
      <c r="A557">
        <v>6</v>
      </c>
      <c r="B557" t="s">
        <v>150</v>
      </c>
      <c r="C557">
        <f>COUNTIFS(AnalizaCzyste[Wartość wykształcenia zdobywanego przez studentów na ocenianej uczelni jest wysoka.27],B557,AnalizaCzyste[Czy jesteś przedstawicielem władz samorządowych lub centralnych Rzeczypospolitej Polskiej?],"*"&amp;"Tak"&amp;"*")</f>
        <v>2</v>
      </c>
      <c r="D557">
        <f t="shared" ref="D557:D563" si="161">PRODUCT(A557,C557)</f>
        <v>12</v>
      </c>
      <c r="E557" s="44">
        <f t="shared" ref="E557:E562" si="162">(A557-$D$564)^2</f>
        <v>0</v>
      </c>
      <c r="F557">
        <f t="shared" ref="F557:F562" si="163">PRODUCT(C557,E557)</f>
        <v>0</v>
      </c>
    </row>
    <row r="558" spans="1:7" x14ac:dyDescent="0.45">
      <c r="A558">
        <v>5</v>
      </c>
      <c r="B558" t="s">
        <v>162</v>
      </c>
      <c r="C558">
        <f>COUNTIFS(AnalizaCzyste[Wartość wykształcenia zdobywanego przez studentów na ocenianej uczelni jest wysoka.27],B558,AnalizaCzyste[Czy jesteś przedstawicielem władz samorządowych lub centralnych Rzeczypospolitej Polskiej?],"*"&amp;"Tak"&amp;"*")</f>
        <v>0</v>
      </c>
      <c r="D558">
        <f t="shared" si="161"/>
        <v>0</v>
      </c>
      <c r="E558" s="44">
        <f t="shared" si="162"/>
        <v>1</v>
      </c>
      <c r="F558">
        <f t="shared" si="163"/>
        <v>0</v>
      </c>
    </row>
    <row r="559" spans="1:7" x14ac:dyDescent="0.45">
      <c r="A559">
        <v>4</v>
      </c>
      <c r="B559" t="s">
        <v>151</v>
      </c>
      <c r="C559">
        <f>COUNTIFS(AnalizaCzyste[Wartość wykształcenia zdobywanego przez studentów na ocenianej uczelni jest wysoka.27],B559,AnalizaCzyste[Czy jesteś przedstawicielem władz samorządowych lub centralnych Rzeczypospolitej Polskiej?],"*"&amp;"Tak"&amp;"*")</f>
        <v>0</v>
      </c>
      <c r="D559">
        <f t="shared" si="161"/>
        <v>0</v>
      </c>
      <c r="E559" s="44">
        <f t="shared" si="162"/>
        <v>4</v>
      </c>
      <c r="F559">
        <f t="shared" si="163"/>
        <v>0</v>
      </c>
    </row>
    <row r="560" spans="1:7" x14ac:dyDescent="0.45">
      <c r="A560">
        <v>3</v>
      </c>
      <c r="B560" t="s">
        <v>128</v>
      </c>
      <c r="C560">
        <f>COUNTIFS(AnalizaCzyste[Wartość wykształcenia zdobywanego przez studentów na ocenianej uczelni jest wysoka.27],B560,AnalizaCzyste[Czy jesteś przedstawicielem władz samorządowych lub centralnych Rzeczypospolitej Polskiej?],"*"&amp;"Tak"&amp;"*")</f>
        <v>0</v>
      </c>
      <c r="D560">
        <f t="shared" si="161"/>
        <v>0</v>
      </c>
      <c r="E560" s="44">
        <f t="shared" si="162"/>
        <v>9</v>
      </c>
      <c r="F560">
        <f t="shared" si="163"/>
        <v>0</v>
      </c>
    </row>
    <row r="561" spans="1:7" x14ac:dyDescent="0.45">
      <c r="A561">
        <v>2</v>
      </c>
      <c r="B561" t="s">
        <v>236</v>
      </c>
      <c r="C561">
        <f>COUNTIFS(AnalizaCzyste[Wartość wykształcenia zdobywanego przez studentów na ocenianej uczelni jest wysoka.27],B561,AnalizaCzyste[Czy jesteś przedstawicielem władz samorządowych lub centralnych Rzeczypospolitej Polskiej?],"*"&amp;"Tak"&amp;"*")</f>
        <v>0</v>
      </c>
      <c r="D561">
        <f t="shared" si="161"/>
        <v>0</v>
      </c>
      <c r="E561" s="44">
        <f t="shared" si="162"/>
        <v>16</v>
      </c>
      <c r="F561">
        <f t="shared" si="163"/>
        <v>0</v>
      </c>
    </row>
    <row r="562" spans="1:7" x14ac:dyDescent="0.45">
      <c r="A562">
        <v>1</v>
      </c>
      <c r="B562" t="s">
        <v>129</v>
      </c>
      <c r="C562">
        <f>COUNTIFS(AnalizaCzyste[Wartość wykształcenia zdobywanego przez studentów na ocenianej uczelni jest wysoka.27],B562,AnalizaCzyste[Czy jesteś przedstawicielem władz samorządowych lub centralnych Rzeczypospolitej Polskiej?],"*"&amp;"Tak"&amp;"*")</f>
        <v>0</v>
      </c>
      <c r="D562">
        <f t="shared" si="161"/>
        <v>0</v>
      </c>
      <c r="E562" s="44">
        <f t="shared" si="162"/>
        <v>25</v>
      </c>
      <c r="F562">
        <f t="shared" si="163"/>
        <v>0</v>
      </c>
    </row>
    <row r="563" spans="1:7" x14ac:dyDescent="0.45">
      <c r="A563" t="s">
        <v>2329</v>
      </c>
      <c r="B563" t="s">
        <v>132</v>
      </c>
      <c r="C563">
        <f>COUNTIFS(AnalizaCzyste[Wartość wykształcenia zdobywanego przez studentów na ocenianej uczelni jest wysoka.27],B563,AnalizaCzyste[Czy jesteś przedstawicielem władz samorządowych lub centralnych Rzeczypospolitej Polskiej?],"*"&amp;"Tak"&amp;"*")</f>
        <v>0</v>
      </c>
      <c r="D563">
        <f t="shared" si="161"/>
        <v>0</v>
      </c>
    </row>
    <row r="564" spans="1:7" x14ac:dyDescent="0.45">
      <c r="B564" s="20" t="s">
        <v>2351</v>
      </c>
      <c r="C564" s="29">
        <f>SUM(C556:C563)</f>
        <v>2</v>
      </c>
      <c r="D564" s="44">
        <f>SUM(D556:D562)/C565</f>
        <v>6</v>
      </c>
      <c r="E564" s="20" t="s">
        <v>2353</v>
      </c>
      <c r="F564" s="44">
        <f>SUM(F556:F563)/(C565-1)</f>
        <v>0</v>
      </c>
      <c r="G564" s="20" t="s">
        <v>2349</v>
      </c>
    </row>
    <row r="565" spans="1:7" x14ac:dyDescent="0.45">
      <c r="B565" s="20" t="s">
        <v>2352</v>
      </c>
      <c r="C565">
        <f>C564-C563</f>
        <v>2</v>
      </c>
      <c r="D565" s="33">
        <f>D564/7</f>
        <v>0.8571428571428571</v>
      </c>
      <c r="F565" s="44">
        <f>F564^(1/2)</f>
        <v>0</v>
      </c>
      <c r="G565" t="s">
        <v>2404</v>
      </c>
    </row>
    <row r="567" spans="1:7" x14ac:dyDescent="0.45">
      <c r="A567" s="29" t="s">
        <v>2399</v>
      </c>
      <c r="C567" t="s">
        <v>2348</v>
      </c>
      <c r="E567" s="20" t="s">
        <v>2362</v>
      </c>
      <c r="F567" s="20" t="s">
        <v>2363</v>
      </c>
    </row>
    <row r="568" spans="1:7" x14ac:dyDescent="0.45">
      <c r="A568">
        <v>7</v>
      </c>
      <c r="B568" t="s">
        <v>169</v>
      </c>
      <c r="C568">
        <f>COUNTIFS(AnalizaCzyste[Zdobyte przez studentów ocenianej uczelni wykształcenie miało/ma pozytywny wpływ na ich zarobki.28],B568,AnalizaCzyste[Czy jesteś przedstawicielem władz samorządowych lub centralnych Rzeczypospolitej Polskiej?],"*"&amp;"Tak"&amp;"*")</f>
        <v>1</v>
      </c>
      <c r="D568">
        <f>PRODUCT(A568,C568)</f>
        <v>7</v>
      </c>
      <c r="E568" s="44">
        <f>(A568-$D$576)^2</f>
        <v>0.25</v>
      </c>
      <c r="F568">
        <f>PRODUCT(C568,E568)</f>
        <v>0.25</v>
      </c>
    </row>
    <row r="569" spans="1:7" x14ac:dyDescent="0.45">
      <c r="A569">
        <v>6</v>
      </c>
      <c r="B569" t="s">
        <v>150</v>
      </c>
      <c r="C569">
        <f>COUNTIFS(AnalizaCzyste[Zdobyte przez studentów ocenianej uczelni wykształcenie miało/ma pozytywny wpływ na ich zarobki.28],B569,AnalizaCzyste[Czy jesteś przedstawicielem władz samorządowych lub centralnych Rzeczypospolitej Polskiej?],"*"&amp;"Tak"&amp;"*")</f>
        <v>1</v>
      </c>
      <c r="D569">
        <f t="shared" ref="D569:D575" si="164">PRODUCT(A569,C569)</f>
        <v>6</v>
      </c>
      <c r="E569" s="44">
        <f t="shared" ref="E569:E574" si="165">(A569-$D$576)^2</f>
        <v>0.25</v>
      </c>
      <c r="F569">
        <f t="shared" ref="F569:F574" si="166">PRODUCT(C569,E569)</f>
        <v>0.25</v>
      </c>
    </row>
    <row r="570" spans="1:7" x14ac:dyDescent="0.45">
      <c r="A570">
        <v>5</v>
      </c>
      <c r="B570" t="s">
        <v>162</v>
      </c>
      <c r="C570">
        <f>COUNTIFS(AnalizaCzyste[Zdobyte przez studentów ocenianej uczelni wykształcenie miało/ma pozytywny wpływ na ich zarobki.28],B570,AnalizaCzyste[Czy jesteś przedstawicielem władz samorządowych lub centralnych Rzeczypospolitej Polskiej?],"*"&amp;"Tak"&amp;"*")</f>
        <v>0</v>
      </c>
      <c r="D570">
        <f t="shared" si="164"/>
        <v>0</v>
      </c>
      <c r="E570" s="44">
        <f t="shared" si="165"/>
        <v>2.25</v>
      </c>
      <c r="F570">
        <f t="shared" si="166"/>
        <v>0</v>
      </c>
    </row>
    <row r="571" spans="1:7" x14ac:dyDescent="0.45">
      <c r="A571">
        <v>4</v>
      </c>
      <c r="B571" t="s">
        <v>151</v>
      </c>
      <c r="C571">
        <f>COUNTIFS(AnalizaCzyste[Zdobyte przez studentów ocenianej uczelni wykształcenie miało/ma pozytywny wpływ na ich zarobki.28],B571,AnalizaCzyste[Czy jesteś przedstawicielem władz samorządowych lub centralnych Rzeczypospolitej Polskiej?],"*"&amp;"Tak"&amp;"*")</f>
        <v>0</v>
      </c>
      <c r="D571">
        <f t="shared" si="164"/>
        <v>0</v>
      </c>
      <c r="E571" s="44">
        <f t="shared" si="165"/>
        <v>6.25</v>
      </c>
      <c r="F571">
        <f t="shared" si="166"/>
        <v>0</v>
      </c>
    </row>
    <row r="572" spans="1:7" x14ac:dyDescent="0.45">
      <c r="A572">
        <v>3</v>
      </c>
      <c r="B572" t="s">
        <v>128</v>
      </c>
      <c r="C572">
        <f>COUNTIFS(AnalizaCzyste[Zdobyte przez studentów ocenianej uczelni wykształcenie miało/ma pozytywny wpływ na ich zarobki.28],B572,AnalizaCzyste[Czy jesteś przedstawicielem władz samorządowych lub centralnych Rzeczypospolitej Polskiej?],"*"&amp;"Tak"&amp;"*")</f>
        <v>0</v>
      </c>
      <c r="D572">
        <f t="shared" si="164"/>
        <v>0</v>
      </c>
      <c r="E572" s="44">
        <f t="shared" si="165"/>
        <v>12.25</v>
      </c>
      <c r="F572">
        <f t="shared" si="166"/>
        <v>0</v>
      </c>
    </row>
    <row r="573" spans="1:7" x14ac:dyDescent="0.45">
      <c r="A573">
        <v>2</v>
      </c>
      <c r="B573" t="s">
        <v>236</v>
      </c>
      <c r="C573">
        <f>COUNTIFS(AnalizaCzyste[Zdobyte przez studentów ocenianej uczelni wykształcenie miało/ma pozytywny wpływ na ich zarobki.28],B573,AnalizaCzyste[Czy jesteś przedstawicielem władz samorządowych lub centralnych Rzeczypospolitej Polskiej?],"*"&amp;"Tak"&amp;"*")</f>
        <v>0</v>
      </c>
      <c r="D573">
        <f t="shared" si="164"/>
        <v>0</v>
      </c>
      <c r="E573" s="44">
        <f t="shared" si="165"/>
        <v>20.25</v>
      </c>
      <c r="F573">
        <f t="shared" si="166"/>
        <v>0</v>
      </c>
    </row>
    <row r="574" spans="1:7" x14ac:dyDescent="0.45">
      <c r="A574">
        <v>1</v>
      </c>
      <c r="B574" t="s">
        <v>129</v>
      </c>
      <c r="C574">
        <f>COUNTIFS(AnalizaCzyste[Zdobyte przez studentów ocenianej uczelni wykształcenie miało/ma pozytywny wpływ na ich zarobki.28],B574,AnalizaCzyste[Czy jesteś przedstawicielem władz samorządowych lub centralnych Rzeczypospolitej Polskiej?],"*"&amp;"Tak"&amp;"*")</f>
        <v>0</v>
      </c>
      <c r="D574">
        <f t="shared" si="164"/>
        <v>0</v>
      </c>
      <c r="E574" s="44">
        <f t="shared" si="165"/>
        <v>30.25</v>
      </c>
      <c r="F574">
        <f t="shared" si="166"/>
        <v>0</v>
      </c>
    </row>
    <row r="575" spans="1:7" x14ac:dyDescent="0.45">
      <c r="A575" t="s">
        <v>2329</v>
      </c>
      <c r="B575" t="s">
        <v>132</v>
      </c>
      <c r="C575">
        <f>COUNTIFS(AnalizaCzyste[Zdobyte przez studentów ocenianej uczelni wykształcenie miało/ma pozytywny wpływ na ich zarobki.28],B575,AnalizaCzyste[Czy jesteś przedstawicielem władz samorządowych lub centralnych Rzeczypospolitej Polskiej?],"*"&amp;"Tak"&amp;"*")</f>
        <v>0</v>
      </c>
      <c r="D575">
        <f t="shared" si="164"/>
        <v>0</v>
      </c>
    </row>
    <row r="576" spans="1:7" x14ac:dyDescent="0.45">
      <c r="B576" s="20" t="s">
        <v>2351</v>
      </c>
      <c r="C576" s="29">
        <f>SUM(C568:C575)</f>
        <v>2</v>
      </c>
      <c r="D576" s="44">
        <f>SUM(D568:D574)/C577</f>
        <v>6.5</v>
      </c>
      <c r="E576" s="20" t="s">
        <v>2353</v>
      </c>
      <c r="F576" s="44">
        <f>SUM(F568:F575)/(C577-1)</f>
        <v>0.5</v>
      </c>
      <c r="G576" s="20" t="s">
        <v>2349</v>
      </c>
    </row>
    <row r="577" spans="1:7" x14ac:dyDescent="0.45">
      <c r="B577" s="20" t="s">
        <v>2352</v>
      </c>
      <c r="C577">
        <f>C576-C575</f>
        <v>2</v>
      </c>
      <c r="D577" s="33">
        <f>D576/7</f>
        <v>0.9285714285714286</v>
      </c>
      <c r="F577" s="44">
        <f>F576^(1/2)</f>
        <v>0.70710678118654757</v>
      </c>
      <c r="G577" t="s">
        <v>2404</v>
      </c>
    </row>
    <row r="579" spans="1:7" x14ac:dyDescent="0.45">
      <c r="A579" s="29" t="s">
        <v>2400</v>
      </c>
      <c r="C579" t="s">
        <v>2348</v>
      </c>
      <c r="E579" s="20" t="s">
        <v>2362</v>
      </c>
      <c r="F579" s="20" t="s">
        <v>2363</v>
      </c>
    </row>
    <row r="580" spans="1:7" x14ac:dyDescent="0.45">
      <c r="A580">
        <v>7</v>
      </c>
      <c r="B580" t="s">
        <v>169</v>
      </c>
      <c r="C580">
        <f>COUNTIFS(AnalizaCzyste[Efekty działań ocenianej uczelni na rzecz jakości edukacji mają dobry wpływ na rozwój regionu.29],B580,AnalizaCzyste[Czy jesteś przedstawicielem władz samorządowych lub centralnych Rzeczypospolitej Polskiej?],"*"&amp;"Tak"&amp;"*")</f>
        <v>1</v>
      </c>
      <c r="D580">
        <f>PRODUCT(A580,C580)</f>
        <v>7</v>
      </c>
      <c r="E580" s="44">
        <f>(A580-$D$588)^2</f>
        <v>0.25</v>
      </c>
      <c r="F580">
        <f>PRODUCT(C580,E580)</f>
        <v>0.25</v>
      </c>
    </row>
    <row r="581" spans="1:7" x14ac:dyDescent="0.45">
      <c r="A581">
        <v>6</v>
      </c>
      <c r="B581" t="s">
        <v>150</v>
      </c>
      <c r="C581">
        <f>COUNTIFS(AnalizaCzyste[Efekty działań ocenianej uczelni na rzecz jakości edukacji mają dobry wpływ na rozwój regionu.29],B581,AnalizaCzyste[Czy jesteś przedstawicielem władz samorządowych lub centralnych Rzeczypospolitej Polskiej?],"*"&amp;"Tak"&amp;"*")</f>
        <v>1</v>
      </c>
      <c r="D581">
        <f t="shared" ref="D581:D587" si="167">PRODUCT(A581,C581)</f>
        <v>6</v>
      </c>
      <c r="E581" s="44">
        <f t="shared" ref="E581:E586" si="168">(A581-$D$588)^2</f>
        <v>0.25</v>
      </c>
      <c r="F581">
        <f t="shared" ref="F581:F586" si="169">PRODUCT(C581,E581)</f>
        <v>0.25</v>
      </c>
    </row>
    <row r="582" spans="1:7" x14ac:dyDescent="0.45">
      <c r="A582">
        <v>5</v>
      </c>
      <c r="B582" t="s">
        <v>162</v>
      </c>
      <c r="C582">
        <f>COUNTIFS(AnalizaCzyste[Efekty działań ocenianej uczelni na rzecz jakości edukacji mają dobry wpływ na rozwój regionu.29],B582,AnalizaCzyste[Czy jesteś przedstawicielem władz samorządowych lub centralnych Rzeczypospolitej Polskiej?],"*"&amp;"Tak"&amp;"*")</f>
        <v>0</v>
      </c>
      <c r="D582">
        <f t="shared" si="167"/>
        <v>0</v>
      </c>
      <c r="E582" s="44">
        <f t="shared" si="168"/>
        <v>2.25</v>
      </c>
      <c r="F582">
        <f t="shared" si="169"/>
        <v>0</v>
      </c>
    </row>
    <row r="583" spans="1:7" x14ac:dyDescent="0.45">
      <c r="A583">
        <v>4</v>
      </c>
      <c r="B583" t="s">
        <v>151</v>
      </c>
      <c r="C583">
        <f>COUNTIFS(AnalizaCzyste[Efekty działań ocenianej uczelni na rzecz jakości edukacji mają dobry wpływ na rozwój regionu.29],B583,AnalizaCzyste[Czy jesteś przedstawicielem władz samorządowych lub centralnych Rzeczypospolitej Polskiej?],"*"&amp;"Tak"&amp;"*")</f>
        <v>0</v>
      </c>
      <c r="D583">
        <f t="shared" si="167"/>
        <v>0</v>
      </c>
      <c r="E583" s="44">
        <f t="shared" si="168"/>
        <v>6.25</v>
      </c>
      <c r="F583">
        <f t="shared" si="169"/>
        <v>0</v>
      </c>
    </row>
    <row r="584" spans="1:7" x14ac:dyDescent="0.45">
      <c r="A584">
        <v>3</v>
      </c>
      <c r="B584" t="s">
        <v>128</v>
      </c>
      <c r="C584">
        <f>COUNTIFS(AnalizaCzyste[Efekty działań ocenianej uczelni na rzecz jakości edukacji mają dobry wpływ na rozwój regionu.29],B584,AnalizaCzyste[Czy jesteś przedstawicielem władz samorządowych lub centralnych Rzeczypospolitej Polskiej?],"*"&amp;"Tak"&amp;"*")</f>
        <v>0</v>
      </c>
      <c r="D584">
        <f t="shared" si="167"/>
        <v>0</v>
      </c>
      <c r="E584" s="44">
        <f t="shared" si="168"/>
        <v>12.25</v>
      </c>
      <c r="F584">
        <f t="shared" si="169"/>
        <v>0</v>
      </c>
    </row>
    <row r="585" spans="1:7" x14ac:dyDescent="0.45">
      <c r="A585">
        <v>2</v>
      </c>
      <c r="B585" t="s">
        <v>236</v>
      </c>
      <c r="C585">
        <f>COUNTIFS(AnalizaCzyste[Efekty działań ocenianej uczelni na rzecz jakości edukacji mają dobry wpływ na rozwój regionu.29],B585,AnalizaCzyste[Czy jesteś przedstawicielem władz samorządowych lub centralnych Rzeczypospolitej Polskiej?],"*"&amp;"Tak"&amp;"*")</f>
        <v>0</v>
      </c>
      <c r="D585">
        <f t="shared" si="167"/>
        <v>0</v>
      </c>
      <c r="E585" s="44">
        <f t="shared" si="168"/>
        <v>20.25</v>
      </c>
      <c r="F585">
        <f t="shared" si="169"/>
        <v>0</v>
      </c>
    </row>
    <row r="586" spans="1:7" x14ac:dyDescent="0.45">
      <c r="A586">
        <v>1</v>
      </c>
      <c r="B586" t="s">
        <v>129</v>
      </c>
      <c r="C586">
        <f>COUNTIFS(AnalizaCzyste[Efekty działań ocenianej uczelni na rzecz jakości edukacji mają dobry wpływ na rozwój regionu.29],B586,AnalizaCzyste[Czy jesteś przedstawicielem władz samorządowych lub centralnych Rzeczypospolitej Polskiej?],"*"&amp;"Tak"&amp;"*")</f>
        <v>0</v>
      </c>
      <c r="D586">
        <f t="shared" si="167"/>
        <v>0</v>
      </c>
      <c r="E586" s="44">
        <f t="shared" si="168"/>
        <v>30.25</v>
      </c>
      <c r="F586">
        <f t="shared" si="169"/>
        <v>0</v>
      </c>
    </row>
    <row r="587" spans="1:7" x14ac:dyDescent="0.45">
      <c r="A587" t="s">
        <v>2329</v>
      </c>
      <c r="B587" t="s">
        <v>132</v>
      </c>
      <c r="C587">
        <f>COUNTIFS(AnalizaCzyste[Efekty działań ocenianej uczelni na rzecz jakości edukacji mają dobry wpływ na rozwój regionu.29],B587,AnalizaCzyste[Czy jesteś przedstawicielem władz samorządowych lub centralnych Rzeczypospolitej Polskiej?],"*"&amp;"Tak"&amp;"*")</f>
        <v>0</v>
      </c>
      <c r="D587">
        <f t="shared" si="167"/>
        <v>0</v>
      </c>
    </row>
    <row r="588" spans="1:7" x14ac:dyDescent="0.45">
      <c r="B588" s="20" t="s">
        <v>2351</v>
      </c>
      <c r="C588" s="29">
        <f>SUM(C580:C587)</f>
        <v>2</v>
      </c>
      <c r="D588" s="44">
        <f>SUM(D580:D586)/C589</f>
        <v>6.5</v>
      </c>
      <c r="E588" s="20" t="s">
        <v>2353</v>
      </c>
      <c r="F588" s="44">
        <f>SUM(F580:F587)/(C589-1)</f>
        <v>0.5</v>
      </c>
      <c r="G588" s="20" t="s">
        <v>2349</v>
      </c>
    </row>
    <row r="589" spans="1:7" x14ac:dyDescent="0.45">
      <c r="B589" s="20" t="s">
        <v>2352</v>
      </c>
      <c r="C589">
        <f>C588-C587</f>
        <v>2</v>
      </c>
      <c r="D589" s="33">
        <f>D588/7</f>
        <v>0.9285714285714286</v>
      </c>
      <c r="F589" s="44">
        <f>F588^(1/2)</f>
        <v>0.70710678118654757</v>
      </c>
      <c r="G589" t="s">
        <v>2404</v>
      </c>
    </row>
    <row r="591" spans="1:7" x14ac:dyDescent="0.45">
      <c r="A591" s="29" t="s">
        <v>2401</v>
      </c>
      <c r="C591" t="s">
        <v>2348</v>
      </c>
      <c r="E591" s="20" t="s">
        <v>2362</v>
      </c>
      <c r="F591" s="20" t="s">
        <v>2363</v>
      </c>
    </row>
    <row r="592" spans="1:7" x14ac:dyDescent="0.45">
      <c r="A592">
        <v>7</v>
      </c>
      <c r="B592" t="s">
        <v>169</v>
      </c>
      <c r="C592">
        <f>COUNTIFS(AnalizaCzyste[Efekty działań ocenianej uczelni na rzecz jakości edukacji mają dobry wpływ na rozwój Polski.30],B592,AnalizaCzyste[Czy jesteś przedstawicielem władz samorządowych lub centralnych Rzeczypospolitej Polskiej?],"*"&amp;"Tak"&amp;"*")</f>
        <v>0</v>
      </c>
      <c r="D592">
        <f>PRODUCT(A592,C592)</f>
        <v>0</v>
      </c>
      <c r="E592" s="44">
        <f>(A592-$D$600)^2</f>
        <v>1</v>
      </c>
      <c r="F592">
        <f>PRODUCT(C592,E592)</f>
        <v>0</v>
      </c>
    </row>
    <row r="593" spans="1:7" x14ac:dyDescent="0.45">
      <c r="A593">
        <v>6</v>
      </c>
      <c r="B593" t="s">
        <v>150</v>
      </c>
      <c r="C593">
        <f>COUNTIFS(AnalizaCzyste[Efekty działań ocenianej uczelni na rzecz jakości edukacji mają dobry wpływ na rozwój Polski.30],B593,AnalizaCzyste[Czy jesteś przedstawicielem władz samorządowych lub centralnych Rzeczypospolitej Polskiej?],"*"&amp;"Tak"&amp;"*")</f>
        <v>1</v>
      </c>
      <c r="D593">
        <f t="shared" ref="D593:D599" si="170">PRODUCT(A593,C593)</f>
        <v>6</v>
      </c>
      <c r="E593" s="44">
        <f t="shared" ref="E593:E598" si="171">(A593-$D$600)^2</f>
        <v>0</v>
      </c>
      <c r="F593">
        <f t="shared" ref="F593:F598" si="172">PRODUCT(C593,E593)</f>
        <v>0</v>
      </c>
    </row>
    <row r="594" spans="1:7" x14ac:dyDescent="0.45">
      <c r="A594">
        <v>5</v>
      </c>
      <c r="B594" t="s">
        <v>162</v>
      </c>
      <c r="C594">
        <f>COUNTIFS(AnalizaCzyste[Efekty działań ocenianej uczelni na rzecz jakości edukacji mają dobry wpływ na rozwój Polski.30],B594,AnalizaCzyste[Czy jesteś przedstawicielem władz samorządowych lub centralnych Rzeczypospolitej Polskiej?],"*"&amp;"Tak"&amp;"*")</f>
        <v>0</v>
      </c>
      <c r="D594">
        <f t="shared" si="170"/>
        <v>0</v>
      </c>
      <c r="E594" s="44">
        <f t="shared" si="171"/>
        <v>1</v>
      </c>
      <c r="F594">
        <f t="shared" si="172"/>
        <v>0</v>
      </c>
    </row>
    <row r="595" spans="1:7" x14ac:dyDescent="0.45">
      <c r="A595">
        <v>4</v>
      </c>
      <c r="B595" t="s">
        <v>151</v>
      </c>
      <c r="C595">
        <f>COUNTIFS(AnalizaCzyste[Efekty działań ocenianej uczelni na rzecz jakości edukacji mają dobry wpływ na rozwój Polski.30],B595,AnalizaCzyste[Czy jesteś przedstawicielem władz samorządowych lub centralnych Rzeczypospolitej Polskiej?],"*"&amp;"Tak"&amp;"*")</f>
        <v>0</v>
      </c>
      <c r="D595">
        <f t="shared" si="170"/>
        <v>0</v>
      </c>
      <c r="E595" s="44">
        <f t="shared" si="171"/>
        <v>4</v>
      </c>
      <c r="F595">
        <f t="shared" si="172"/>
        <v>0</v>
      </c>
    </row>
    <row r="596" spans="1:7" x14ac:dyDescent="0.45">
      <c r="A596">
        <v>3</v>
      </c>
      <c r="B596" t="s">
        <v>128</v>
      </c>
      <c r="C596">
        <f>COUNTIFS(AnalizaCzyste[Efekty działań ocenianej uczelni na rzecz jakości edukacji mają dobry wpływ na rozwój Polski.30],B596,AnalizaCzyste[Czy jesteś przedstawicielem władz samorządowych lub centralnych Rzeczypospolitej Polskiej?],"*"&amp;"Tak"&amp;"*")</f>
        <v>0</v>
      </c>
      <c r="D596">
        <f t="shared" si="170"/>
        <v>0</v>
      </c>
      <c r="E596" s="44">
        <f t="shared" si="171"/>
        <v>9</v>
      </c>
      <c r="F596">
        <f t="shared" si="172"/>
        <v>0</v>
      </c>
    </row>
    <row r="597" spans="1:7" x14ac:dyDescent="0.45">
      <c r="A597">
        <v>2</v>
      </c>
      <c r="B597" t="s">
        <v>236</v>
      </c>
      <c r="C597">
        <f>COUNTIFS(AnalizaCzyste[Efekty działań ocenianej uczelni na rzecz jakości edukacji mają dobry wpływ na rozwój Polski.30],B597,AnalizaCzyste[Czy jesteś przedstawicielem władz samorządowych lub centralnych Rzeczypospolitej Polskiej?],"*"&amp;"Tak"&amp;"*")</f>
        <v>0</v>
      </c>
      <c r="D597">
        <f t="shared" si="170"/>
        <v>0</v>
      </c>
      <c r="E597" s="44">
        <f t="shared" si="171"/>
        <v>16</v>
      </c>
      <c r="F597">
        <f t="shared" si="172"/>
        <v>0</v>
      </c>
    </row>
    <row r="598" spans="1:7" x14ac:dyDescent="0.45">
      <c r="A598">
        <v>1</v>
      </c>
      <c r="B598" t="s">
        <v>129</v>
      </c>
      <c r="C598">
        <f>COUNTIFS(AnalizaCzyste[Efekty działań ocenianej uczelni na rzecz jakości edukacji mają dobry wpływ na rozwój Polski.30],B598,AnalizaCzyste[Czy jesteś przedstawicielem władz samorządowych lub centralnych Rzeczypospolitej Polskiej?],"*"&amp;"Tak"&amp;"*")</f>
        <v>0</v>
      </c>
      <c r="D598">
        <f t="shared" si="170"/>
        <v>0</v>
      </c>
      <c r="E598" s="44">
        <f t="shared" si="171"/>
        <v>25</v>
      </c>
      <c r="F598">
        <f t="shared" si="172"/>
        <v>0</v>
      </c>
    </row>
    <row r="599" spans="1:7" x14ac:dyDescent="0.45">
      <c r="A599" t="s">
        <v>2329</v>
      </c>
      <c r="B599" t="s">
        <v>132</v>
      </c>
      <c r="C599">
        <f>COUNTIFS(AnalizaCzyste[Efekty działań ocenianej uczelni na rzecz jakości edukacji mają dobry wpływ na rozwój Polski.30],B599,AnalizaCzyste[Czy jesteś przedstawicielem władz samorządowych lub centralnych Rzeczypospolitej Polskiej?],"*"&amp;"Tak"&amp;"*")</f>
        <v>1</v>
      </c>
      <c r="D599">
        <f t="shared" si="170"/>
        <v>1</v>
      </c>
    </row>
    <row r="600" spans="1:7" x14ac:dyDescent="0.45">
      <c r="B600" s="20" t="s">
        <v>2351</v>
      </c>
      <c r="C600" s="29">
        <f>SUM(C592:C599)</f>
        <v>2</v>
      </c>
      <c r="D600" s="44">
        <f>SUM(D592:D598)/C601</f>
        <v>6</v>
      </c>
      <c r="E600" s="20" t="s">
        <v>2353</v>
      </c>
      <c r="F600" s="44" t="e">
        <f>SUM(F592:F599)/(C601-1)</f>
        <v>#DIV/0!</v>
      </c>
      <c r="G600" s="20" t="s">
        <v>2349</v>
      </c>
    </row>
    <row r="601" spans="1:7" x14ac:dyDescent="0.45">
      <c r="B601" s="20" t="s">
        <v>2352</v>
      </c>
      <c r="C601">
        <f>C600-C599</f>
        <v>1</v>
      </c>
      <c r="D601" s="33">
        <f>D600/7</f>
        <v>0.8571428571428571</v>
      </c>
      <c r="F601" s="44" t="e">
        <f>F600^(1/2)</f>
        <v>#DIV/0!</v>
      </c>
      <c r="G601" t="s">
        <v>2404</v>
      </c>
    </row>
    <row r="603" spans="1:7" x14ac:dyDescent="0.45">
      <c r="A603" s="29" t="s">
        <v>2402</v>
      </c>
      <c r="C603" t="s">
        <v>2348</v>
      </c>
      <c r="E603" s="20" t="s">
        <v>2362</v>
      </c>
      <c r="F603" s="20" t="s">
        <v>2363</v>
      </c>
    </row>
    <row r="604" spans="1:7" x14ac:dyDescent="0.45">
      <c r="A604">
        <v>7</v>
      </c>
      <c r="B604" t="s">
        <v>169</v>
      </c>
      <c r="C604">
        <f>COUNTIFS(AnalizaCzyste[Współpraca ocenianej uczelni z biznesem ma pozytywne efekty dla rozwoju regionu / kraju.31],B604,AnalizaCzyste[Czy jesteś przedstawicielem władz samorządowych lub centralnych Rzeczypospolitej Polskiej?],"*"&amp;"Tak"&amp;"*")</f>
        <v>0</v>
      </c>
      <c r="D604">
        <f>PRODUCT(A604,C604)</f>
        <v>0</v>
      </c>
      <c r="E604" s="44">
        <f>(A604-$D$612)^2</f>
        <v>1</v>
      </c>
      <c r="F604">
        <f>PRODUCT(C604,E604)</f>
        <v>0</v>
      </c>
    </row>
    <row r="605" spans="1:7" x14ac:dyDescent="0.45">
      <c r="A605">
        <v>6</v>
      </c>
      <c r="B605" t="s">
        <v>150</v>
      </c>
      <c r="C605">
        <f>COUNTIFS(AnalizaCzyste[Współpraca ocenianej uczelni z biznesem ma pozytywne efekty dla rozwoju regionu / kraju.31],B605,AnalizaCzyste[Czy jesteś przedstawicielem władz samorządowych lub centralnych Rzeczypospolitej Polskiej?],"*"&amp;"Tak"&amp;"*")</f>
        <v>1</v>
      </c>
      <c r="D605">
        <f t="shared" ref="D605:D611" si="173">PRODUCT(A605,C605)</f>
        <v>6</v>
      </c>
      <c r="E605" s="44">
        <f t="shared" ref="E605:E610" si="174">(A605-$D$612)^2</f>
        <v>0</v>
      </c>
      <c r="F605">
        <f t="shared" ref="F605:F610" si="175">PRODUCT(C605,E605)</f>
        <v>0</v>
      </c>
    </row>
    <row r="606" spans="1:7" x14ac:dyDescent="0.45">
      <c r="A606">
        <v>5</v>
      </c>
      <c r="B606" t="s">
        <v>162</v>
      </c>
      <c r="C606">
        <f>COUNTIFS(AnalizaCzyste[Współpraca ocenianej uczelni z biznesem ma pozytywne efekty dla rozwoju regionu / kraju.31],B606,AnalizaCzyste[Czy jesteś przedstawicielem władz samorządowych lub centralnych Rzeczypospolitej Polskiej?],"*"&amp;"Tak"&amp;"*")</f>
        <v>0</v>
      </c>
      <c r="D606">
        <f t="shared" si="173"/>
        <v>0</v>
      </c>
      <c r="E606" s="44">
        <f t="shared" si="174"/>
        <v>1</v>
      </c>
      <c r="F606">
        <f t="shared" si="175"/>
        <v>0</v>
      </c>
    </row>
    <row r="607" spans="1:7" x14ac:dyDescent="0.45">
      <c r="A607">
        <v>4</v>
      </c>
      <c r="B607" t="s">
        <v>151</v>
      </c>
      <c r="C607">
        <f>COUNTIFS(AnalizaCzyste[Współpraca ocenianej uczelni z biznesem ma pozytywne efekty dla rozwoju regionu / kraju.31],B607,AnalizaCzyste[Czy jesteś przedstawicielem władz samorządowych lub centralnych Rzeczypospolitej Polskiej?],"*"&amp;"Tak"&amp;"*")</f>
        <v>0</v>
      </c>
      <c r="D607">
        <f t="shared" si="173"/>
        <v>0</v>
      </c>
      <c r="E607" s="44">
        <f t="shared" si="174"/>
        <v>4</v>
      </c>
      <c r="F607">
        <f t="shared" si="175"/>
        <v>0</v>
      </c>
    </row>
    <row r="608" spans="1:7" x14ac:dyDescent="0.45">
      <c r="A608">
        <v>3</v>
      </c>
      <c r="B608" t="s">
        <v>128</v>
      </c>
      <c r="C608">
        <f>COUNTIFS(AnalizaCzyste[Współpraca ocenianej uczelni z biznesem ma pozytywne efekty dla rozwoju regionu / kraju.31],B608,AnalizaCzyste[Czy jesteś przedstawicielem władz samorządowych lub centralnych Rzeczypospolitej Polskiej?],"*"&amp;"Tak"&amp;"*")</f>
        <v>0</v>
      </c>
      <c r="D608">
        <f t="shared" si="173"/>
        <v>0</v>
      </c>
      <c r="E608" s="44">
        <f t="shared" si="174"/>
        <v>9</v>
      </c>
      <c r="F608">
        <f t="shared" si="175"/>
        <v>0</v>
      </c>
    </row>
    <row r="609" spans="1:7" x14ac:dyDescent="0.45">
      <c r="A609">
        <v>2</v>
      </c>
      <c r="B609" t="s">
        <v>236</v>
      </c>
      <c r="C609">
        <f>COUNTIFS(AnalizaCzyste[Współpraca ocenianej uczelni z biznesem ma pozytywne efekty dla rozwoju regionu / kraju.31],B609,AnalizaCzyste[Czy jesteś przedstawicielem władz samorządowych lub centralnych Rzeczypospolitej Polskiej?],"*"&amp;"Tak"&amp;"*")</f>
        <v>0</v>
      </c>
      <c r="D609">
        <f t="shared" si="173"/>
        <v>0</v>
      </c>
      <c r="E609" s="44">
        <f t="shared" si="174"/>
        <v>16</v>
      </c>
      <c r="F609">
        <f t="shared" si="175"/>
        <v>0</v>
      </c>
    </row>
    <row r="610" spans="1:7" x14ac:dyDescent="0.45">
      <c r="A610">
        <v>1</v>
      </c>
      <c r="B610" t="s">
        <v>129</v>
      </c>
      <c r="C610">
        <f>COUNTIFS(AnalizaCzyste[Współpraca ocenianej uczelni z biznesem ma pozytywne efekty dla rozwoju regionu / kraju.31],B610,AnalizaCzyste[Czy jesteś przedstawicielem władz samorządowych lub centralnych Rzeczypospolitej Polskiej?],"*"&amp;"Tak"&amp;"*")</f>
        <v>0</v>
      </c>
      <c r="D610">
        <f t="shared" si="173"/>
        <v>0</v>
      </c>
      <c r="E610" s="44">
        <f t="shared" si="174"/>
        <v>25</v>
      </c>
      <c r="F610">
        <f t="shared" si="175"/>
        <v>0</v>
      </c>
    </row>
    <row r="611" spans="1:7" x14ac:dyDescent="0.45">
      <c r="A611" t="s">
        <v>2329</v>
      </c>
      <c r="B611" t="s">
        <v>132</v>
      </c>
      <c r="C611">
        <f>COUNTIFS(AnalizaCzyste[Współpraca ocenianej uczelni z biznesem ma pozytywne efekty dla rozwoju regionu / kraju.31],B611,AnalizaCzyste[Czy jesteś przedstawicielem władz samorządowych lub centralnych Rzeczypospolitej Polskiej?],"*"&amp;"Tak"&amp;"*")</f>
        <v>1</v>
      </c>
      <c r="D611">
        <f t="shared" si="173"/>
        <v>1</v>
      </c>
    </row>
    <row r="612" spans="1:7" x14ac:dyDescent="0.45">
      <c r="B612" s="20" t="s">
        <v>2351</v>
      </c>
      <c r="C612" s="29">
        <f>SUM(C604:C611)</f>
        <v>2</v>
      </c>
      <c r="D612" s="44">
        <f>SUM(D604:D610)/C613</f>
        <v>6</v>
      </c>
      <c r="E612" s="20" t="s">
        <v>2353</v>
      </c>
      <c r="F612" s="44" t="e">
        <f>SUM(F604:F611)/(C613-1)</f>
        <v>#DIV/0!</v>
      </c>
      <c r="G612" s="20" t="s">
        <v>2349</v>
      </c>
    </row>
    <row r="613" spans="1:7" x14ac:dyDescent="0.45">
      <c r="B613" s="20" t="s">
        <v>2352</v>
      </c>
      <c r="C613">
        <f>C612-C611</f>
        <v>1</v>
      </c>
      <c r="D613" s="33">
        <f>D612/7</f>
        <v>0.8571428571428571</v>
      </c>
      <c r="F613" s="44" t="e">
        <f>F612^(1/2)</f>
        <v>#DIV/0!</v>
      </c>
      <c r="G613" t="s">
        <v>2404</v>
      </c>
    </row>
    <row r="618" spans="1:7" x14ac:dyDescent="0.45">
      <c r="B618" s="20" t="s">
        <v>2434</v>
      </c>
      <c r="C618" s="53">
        <v>5.0709999999999997</v>
      </c>
    </row>
    <row r="619" spans="1:7" x14ac:dyDescent="0.45">
      <c r="B619" s="20" t="s">
        <v>2435</v>
      </c>
      <c r="C619" s="53">
        <v>5.1929999999999996</v>
      </c>
    </row>
    <row r="620" spans="1:7" x14ac:dyDescent="0.45">
      <c r="B620" s="20" t="s">
        <v>2436</v>
      </c>
      <c r="C620" s="53">
        <v>5.6959999999999997</v>
      </c>
    </row>
    <row r="621" spans="1:7" x14ac:dyDescent="0.45">
      <c r="B621" s="20" t="s">
        <v>2437</v>
      </c>
      <c r="C621" s="53">
        <v>6.75</v>
      </c>
    </row>
    <row r="622" spans="1:7" x14ac:dyDescent="0.45">
      <c r="B622" s="20" t="s">
        <v>2438</v>
      </c>
      <c r="C622" s="53">
        <v>6</v>
      </c>
    </row>
    <row r="623" spans="1:7" x14ac:dyDescent="0.45">
      <c r="B623" s="20" t="s">
        <v>2439</v>
      </c>
      <c r="C623" s="53">
        <v>5.8</v>
      </c>
    </row>
    <row r="624" spans="1:7" x14ac:dyDescent="0.45">
      <c r="B624" s="20" t="s">
        <v>2440</v>
      </c>
      <c r="C624" s="53">
        <v>4.8</v>
      </c>
    </row>
    <row r="625" spans="1:16" x14ac:dyDescent="0.45">
      <c r="B625" s="20" t="s">
        <v>2441</v>
      </c>
      <c r="C625" s="53">
        <v>6.5</v>
      </c>
    </row>
    <row r="628" spans="1:16" x14ac:dyDescent="0.45">
      <c r="B628" s="20" t="s">
        <v>2433</v>
      </c>
      <c r="C628" s="44">
        <f>AVERAGE(C618:C625)</f>
        <v>5.7262499999999994</v>
      </c>
    </row>
    <row r="631" spans="1:16" x14ac:dyDescent="0.45">
      <c r="A631" t="s">
        <v>2442</v>
      </c>
    </row>
    <row r="633" spans="1:16" x14ac:dyDescent="0.45">
      <c r="A633" s="55" t="s">
        <v>53</v>
      </c>
      <c r="I633" s="55" t="s">
        <v>54</v>
      </c>
    </row>
    <row r="634" spans="1:16" x14ac:dyDescent="0.45">
      <c r="A634" t="s">
        <v>106</v>
      </c>
      <c r="B634" t="s">
        <v>107</v>
      </c>
      <c r="C634" t="s">
        <v>108</v>
      </c>
      <c r="D634" t="s">
        <v>109</v>
      </c>
      <c r="E634" t="s">
        <v>110</v>
      </c>
      <c r="F634" t="s">
        <v>111</v>
      </c>
      <c r="G634" t="s">
        <v>112</v>
      </c>
      <c r="H634" t="s">
        <v>2116</v>
      </c>
      <c r="I634" t="s">
        <v>2117</v>
      </c>
      <c r="J634" t="s">
        <v>2118</v>
      </c>
      <c r="K634" t="s">
        <v>2119</v>
      </c>
      <c r="L634" t="s">
        <v>2120</v>
      </c>
      <c r="M634" t="s">
        <v>2121</v>
      </c>
      <c r="N634" t="s">
        <v>2122</v>
      </c>
      <c r="O634" t="s">
        <v>2123</v>
      </c>
      <c r="P634" t="s">
        <v>2124</v>
      </c>
    </row>
    <row r="635" spans="1:16" x14ac:dyDescent="0.45">
      <c r="A635" s="30">
        <v>0.22</v>
      </c>
      <c r="B635" s="30">
        <v>0.24</v>
      </c>
      <c r="C635" s="30">
        <v>4.0000000000000001E-3</v>
      </c>
      <c r="D635" s="30">
        <v>0.12</v>
      </c>
      <c r="E635" s="30">
        <v>0.17599999999999999</v>
      </c>
      <c r="F635" s="30">
        <v>0.14000000000000001</v>
      </c>
      <c r="G635" s="30">
        <v>0.1</v>
      </c>
      <c r="H635" s="30">
        <v>1</v>
      </c>
      <c r="I635" s="30">
        <v>0.18</v>
      </c>
      <c r="J635" s="30">
        <v>0.23</v>
      </c>
      <c r="K635" s="30">
        <v>2E-3</v>
      </c>
      <c r="L635" s="30">
        <v>9.8000000000000004E-2</v>
      </c>
      <c r="M635" s="30">
        <v>0.25</v>
      </c>
      <c r="N635" s="30">
        <v>0.12</v>
      </c>
      <c r="O635" s="30">
        <v>0.12</v>
      </c>
      <c r="P635" s="30">
        <v>1</v>
      </c>
    </row>
    <row r="637" spans="1:16" x14ac:dyDescent="0.45">
      <c r="A637" t="s">
        <v>2443</v>
      </c>
      <c r="B637" t="s">
        <v>2444</v>
      </c>
      <c r="F637" s="20" t="s">
        <v>2445</v>
      </c>
    </row>
    <row r="638" spans="1:16" x14ac:dyDescent="0.45">
      <c r="A638" s="20" t="s">
        <v>2296</v>
      </c>
      <c r="B638" s="30">
        <v>0.22</v>
      </c>
      <c r="D638" s="20" t="s">
        <v>2434</v>
      </c>
      <c r="E638" s="53">
        <v>5.0709999999999997</v>
      </c>
      <c r="F638" s="44">
        <f t="shared" ref="F638:F645" si="176">B638*E638</f>
        <v>1.1156200000000001</v>
      </c>
    </row>
    <row r="639" spans="1:16" x14ac:dyDescent="0.45">
      <c r="A639" t="s">
        <v>2297</v>
      </c>
      <c r="B639" s="30">
        <v>0.24</v>
      </c>
      <c r="D639" s="20" t="s">
        <v>2435</v>
      </c>
      <c r="E639" s="53">
        <v>5.1929999999999996</v>
      </c>
      <c r="F639" s="44">
        <f t="shared" si="176"/>
        <v>1.2463199999999999</v>
      </c>
    </row>
    <row r="640" spans="1:16" x14ac:dyDescent="0.45">
      <c r="A640" t="s">
        <v>2298</v>
      </c>
      <c r="B640" s="30">
        <v>4.0000000000000001E-3</v>
      </c>
      <c r="D640" s="20" t="s">
        <v>2436</v>
      </c>
      <c r="E640" s="53">
        <v>5.6959999999999997</v>
      </c>
      <c r="F640" s="44">
        <f t="shared" si="176"/>
        <v>2.2783999999999999E-2</v>
      </c>
    </row>
    <row r="641" spans="1:7" x14ac:dyDescent="0.45">
      <c r="A641" t="s">
        <v>2299</v>
      </c>
      <c r="B641" s="30">
        <v>0.12</v>
      </c>
      <c r="D641" s="20" t="s">
        <v>2437</v>
      </c>
      <c r="E641" s="53">
        <v>6.75</v>
      </c>
      <c r="F641" s="44">
        <f t="shared" si="176"/>
        <v>0.80999999999999994</v>
      </c>
    </row>
    <row r="642" spans="1:7" x14ac:dyDescent="0.45">
      <c r="A642" t="s">
        <v>2300</v>
      </c>
      <c r="B642" s="30">
        <v>0.17599999999999999</v>
      </c>
      <c r="D642" s="20" t="s">
        <v>2438</v>
      </c>
      <c r="E642" s="53">
        <v>6</v>
      </c>
      <c r="F642" s="44">
        <f t="shared" si="176"/>
        <v>1.056</v>
      </c>
    </row>
    <row r="643" spans="1:7" x14ac:dyDescent="0.45">
      <c r="A643" t="s">
        <v>2301</v>
      </c>
      <c r="B643" s="30">
        <v>0</v>
      </c>
      <c r="D643" s="20" t="s">
        <v>2439</v>
      </c>
      <c r="E643" s="53">
        <v>5.8</v>
      </c>
      <c r="F643" s="44">
        <f t="shared" si="176"/>
        <v>0</v>
      </c>
    </row>
    <row r="644" spans="1:7" x14ac:dyDescent="0.45">
      <c r="A644" t="s">
        <v>2302</v>
      </c>
      <c r="B644" s="30">
        <v>0.14000000000000001</v>
      </c>
      <c r="D644" s="20" t="s">
        <v>2440</v>
      </c>
      <c r="E644" s="53">
        <v>4.8</v>
      </c>
      <c r="F644" s="44">
        <f t="shared" si="176"/>
        <v>0.67200000000000004</v>
      </c>
    </row>
    <row r="645" spans="1:7" x14ac:dyDescent="0.45">
      <c r="A645" t="s">
        <v>2303</v>
      </c>
      <c r="B645" s="30">
        <v>0.1</v>
      </c>
      <c r="D645" s="20" t="s">
        <v>2441</v>
      </c>
      <c r="E645" s="53">
        <v>6.5</v>
      </c>
      <c r="F645" s="44">
        <f t="shared" si="176"/>
        <v>0.65</v>
      </c>
    </row>
    <row r="646" spans="1:7" x14ac:dyDescent="0.45">
      <c r="F646" s="54">
        <f>SUM(F638:F645)</f>
        <v>5.572724</v>
      </c>
    </row>
    <row r="647" spans="1:7" ht="28.5" x14ac:dyDescent="0.45">
      <c r="A647" s="28" t="s">
        <v>2446</v>
      </c>
      <c r="B647" t="s">
        <v>2444</v>
      </c>
      <c r="F647" s="20" t="s">
        <v>2445</v>
      </c>
    </row>
    <row r="648" spans="1:7" x14ac:dyDescent="0.45">
      <c r="A648" s="20" t="s">
        <v>2296</v>
      </c>
      <c r="B648" s="30">
        <v>0.18</v>
      </c>
      <c r="D648" s="20" t="s">
        <v>2434</v>
      </c>
      <c r="E648" s="53">
        <v>5.0709999999999997</v>
      </c>
      <c r="F648" s="44">
        <f t="shared" ref="F648:F655" si="177">B648*E648</f>
        <v>0.91277999999999992</v>
      </c>
      <c r="G648" s="44">
        <f>F648-F638</f>
        <v>-0.20284000000000013</v>
      </c>
    </row>
    <row r="649" spans="1:7" x14ac:dyDescent="0.45">
      <c r="A649" t="s">
        <v>2297</v>
      </c>
      <c r="B649" s="30">
        <v>0.23</v>
      </c>
      <c r="D649" s="20" t="s">
        <v>2435</v>
      </c>
      <c r="E649" s="53">
        <v>5.1929999999999996</v>
      </c>
      <c r="F649" s="44">
        <f t="shared" si="177"/>
        <v>1.1943900000000001</v>
      </c>
      <c r="G649" s="44">
        <f t="shared" ref="G649:G655" si="178">F649-F639</f>
        <v>-5.192999999999981E-2</v>
      </c>
    </row>
    <row r="650" spans="1:7" x14ac:dyDescent="0.45">
      <c r="A650" t="s">
        <v>2298</v>
      </c>
      <c r="B650" s="30">
        <v>2E-3</v>
      </c>
      <c r="D650" s="20" t="s">
        <v>2436</v>
      </c>
      <c r="E650" s="53">
        <v>5.6959999999999997</v>
      </c>
      <c r="F650" s="44">
        <f t="shared" si="177"/>
        <v>1.1391999999999999E-2</v>
      </c>
      <c r="G650" s="44">
        <f t="shared" si="178"/>
        <v>-1.1391999999999999E-2</v>
      </c>
    </row>
    <row r="651" spans="1:7" x14ac:dyDescent="0.45">
      <c r="A651" t="s">
        <v>2299</v>
      </c>
      <c r="B651" s="30">
        <v>9.8000000000000004E-2</v>
      </c>
      <c r="D651" s="20" t="s">
        <v>2437</v>
      </c>
      <c r="E651" s="53">
        <v>6.75</v>
      </c>
      <c r="F651" s="44">
        <f t="shared" si="177"/>
        <v>0.66149999999999998</v>
      </c>
      <c r="G651" s="44">
        <f t="shared" si="178"/>
        <v>-0.14849999999999997</v>
      </c>
    </row>
    <row r="652" spans="1:7" x14ac:dyDescent="0.45">
      <c r="A652" t="s">
        <v>2300</v>
      </c>
      <c r="B652" s="30">
        <v>0.25</v>
      </c>
      <c r="D652" s="20" t="s">
        <v>2438</v>
      </c>
      <c r="E652" s="53">
        <v>6</v>
      </c>
      <c r="F652" s="44">
        <f t="shared" si="177"/>
        <v>1.5</v>
      </c>
      <c r="G652" s="44">
        <f t="shared" si="178"/>
        <v>0.44399999999999995</v>
      </c>
    </row>
    <row r="653" spans="1:7" x14ac:dyDescent="0.45">
      <c r="A653" t="s">
        <v>2301</v>
      </c>
      <c r="B653" s="30">
        <v>0</v>
      </c>
      <c r="D653" s="20" t="s">
        <v>2439</v>
      </c>
      <c r="E653" s="53">
        <v>5.8</v>
      </c>
      <c r="F653" s="44">
        <f t="shared" si="177"/>
        <v>0</v>
      </c>
      <c r="G653" s="44">
        <f t="shared" si="178"/>
        <v>0</v>
      </c>
    </row>
    <row r="654" spans="1:7" x14ac:dyDescent="0.45">
      <c r="A654" t="s">
        <v>2302</v>
      </c>
      <c r="B654" s="30">
        <v>0.12</v>
      </c>
      <c r="D654" s="20" t="s">
        <v>2440</v>
      </c>
      <c r="E654" s="53">
        <v>4.8</v>
      </c>
      <c r="F654" s="44">
        <f t="shared" si="177"/>
        <v>0.57599999999999996</v>
      </c>
      <c r="G654" s="44">
        <f t="shared" si="178"/>
        <v>-9.6000000000000085E-2</v>
      </c>
    </row>
    <row r="655" spans="1:7" x14ac:dyDescent="0.45">
      <c r="A655" t="s">
        <v>2303</v>
      </c>
      <c r="B655" s="30">
        <v>0.12</v>
      </c>
      <c r="D655" s="20" t="s">
        <v>2441</v>
      </c>
      <c r="E655" s="53">
        <v>6.5</v>
      </c>
      <c r="F655" s="44">
        <f t="shared" si="177"/>
        <v>0.78</v>
      </c>
      <c r="G655" s="44">
        <f t="shared" si="178"/>
        <v>0.13</v>
      </c>
    </row>
    <row r="656" spans="1:7" x14ac:dyDescent="0.45">
      <c r="F656" s="54">
        <f>SUM(F648:F655)</f>
        <v>5.6360619999999999</v>
      </c>
    </row>
    <row r="663" spans="1:2" x14ac:dyDescent="0.45">
      <c r="A663" s="29" t="s">
        <v>2782</v>
      </c>
      <c r="B663" s="29" t="s">
        <v>2783</v>
      </c>
    </row>
    <row r="664" spans="1:2" x14ac:dyDescent="0.45">
      <c r="A664" t="s">
        <v>2296</v>
      </c>
      <c r="B664">
        <v>28</v>
      </c>
    </row>
    <row r="665" spans="1:2" x14ac:dyDescent="0.45">
      <c r="A665" t="s">
        <v>2297</v>
      </c>
      <c r="B665">
        <v>19</v>
      </c>
    </row>
    <row r="666" spans="1:2" x14ac:dyDescent="0.45">
      <c r="A666" t="s">
        <v>2781</v>
      </c>
      <c r="B666">
        <v>17</v>
      </c>
    </row>
    <row r="667" spans="1:2" x14ac:dyDescent="0.45">
      <c r="A667" t="s">
        <v>2772</v>
      </c>
      <c r="B667">
        <v>11</v>
      </c>
    </row>
    <row r="668" spans="1:2" x14ac:dyDescent="0.45">
      <c r="A668" t="s">
        <v>2774</v>
      </c>
      <c r="B668">
        <v>9</v>
      </c>
    </row>
    <row r="669" spans="1:2" x14ac:dyDescent="0.45">
      <c r="A669" t="s">
        <v>2773</v>
      </c>
      <c r="B669">
        <v>4</v>
      </c>
    </row>
    <row r="670" spans="1:2" x14ac:dyDescent="0.45">
      <c r="A670" t="s">
        <v>2775</v>
      </c>
      <c r="B670">
        <v>2</v>
      </c>
    </row>
    <row r="671" spans="1:2" x14ac:dyDescent="0.45">
      <c r="A671" t="s">
        <v>2778</v>
      </c>
      <c r="B671">
        <v>2</v>
      </c>
    </row>
  </sheetData>
  <conditionalFormatting sqref="N141">
    <cfRule type="cellIs" dxfId="107" priority="6" operator="lessThan">
      <formula>O141</formula>
    </cfRule>
  </conditionalFormatting>
  <conditionalFormatting sqref="N180">
    <cfRule type="cellIs" dxfId="106" priority="5" operator="lessThan">
      <formula>O180</formula>
    </cfRule>
  </conditionalFormatting>
  <conditionalFormatting sqref="N330">
    <cfRule type="cellIs" dxfId="105" priority="2" operator="lessThan">
      <formula>O330</formula>
    </cfRule>
  </conditionalFormatting>
  <conditionalFormatting sqref="T217">
    <cfRule type="cellIs" dxfId="104" priority="3" operator="lessThan">
      <formula>U217</formula>
    </cfRule>
  </conditionalFormatting>
  <conditionalFormatting sqref="T500">
    <cfRule type="cellIs" dxfId="103" priority="1" operator="lessThan">
      <formula>U500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8</vt:i4>
      </vt:variant>
    </vt:vector>
  </HeadingPairs>
  <TitlesOfParts>
    <vt:vector size="8" baseType="lpstr">
      <vt:lpstr>Ankiety_analiza(czyszczone)</vt:lpstr>
      <vt:lpstr>TabeleGrup</vt:lpstr>
      <vt:lpstr>PivotCzyste</vt:lpstr>
      <vt:lpstr>PivotNieCzyszczone</vt:lpstr>
      <vt:lpstr>AnkietyNieOczyszczone</vt:lpstr>
      <vt:lpstr>Ankiety_wszystkie</vt:lpstr>
      <vt:lpstr>Ankiety_zakończone</vt:lpstr>
      <vt:lpstr>Zestawienia_ilościowe</vt:lpstr>
    </vt:vector>
  </TitlesOfParts>
  <Manager/>
  <Company>www.AnkietaPlus.pl &amp; www.Prolabs.pl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Badanie satysfakcji interesariuszy (1)</dc:title>
  <dc:subject>Wyniki indywidualne</dc:subject>
  <dc:creator>www.AnkietaPlus.pl</dc:creator>
  <cp:keywords>AnkietaPlus.pl</cp:keywords>
  <dc:description/>
  <cp:lastModifiedBy>JPSZ</cp:lastModifiedBy>
  <cp:lastPrinted>2023-01-11T07:17:00Z</cp:lastPrinted>
  <dcterms:created xsi:type="dcterms:W3CDTF">2022-08-15T09:02:52Z</dcterms:created>
  <dcterms:modified xsi:type="dcterms:W3CDTF">2023-06-20T16:00:50Z</dcterms:modified>
  <cp:category>wyniki indywidualne</cp:category>
</cp:coreProperties>
</file>