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02C748C2-BF36-4250-8069-FB598CC55CBD}" xr6:coauthVersionLast="47" xr6:coauthVersionMax="47" xr10:uidLastSave="{00000000-0000-0000-0000-000000000000}"/>
  <bookViews>
    <workbookView xWindow="840" yWindow="-98" windowWidth="23258" windowHeight="13695"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2" r:id="rId9"/>
    <pivotCache cacheId="3" r:id="rId10"/>
  </pivotCaches>
  <fileRecoveryPr repairLoad="1"/>
</workbook>
</file>

<file path=xl/calcChain.xml><?xml version="1.0" encoding="utf-8"?>
<calcChain xmlns="http://schemas.openxmlformats.org/spreadsheetml/2006/main">
  <c r="J11" i="5" l="1"/>
  <c r="V36" i="5"/>
  <c r="W36" i="5"/>
  <c r="X36" i="5"/>
  <c r="Y36" i="5"/>
  <c r="Z36" i="5"/>
  <c r="AA36" i="5"/>
  <c r="AB36" i="5"/>
  <c r="U36" i="5"/>
  <c r="J3" i="5"/>
  <c r="J4" i="5"/>
  <c r="J5" i="5"/>
  <c r="J6" i="5"/>
  <c r="J7" i="5"/>
  <c r="J8" i="5"/>
  <c r="J9" i="5"/>
  <c r="J10" i="5"/>
  <c r="J12" i="5"/>
  <c r="J13" i="5"/>
  <c r="J14" i="5"/>
  <c r="J15" i="5"/>
  <c r="J16" i="5"/>
  <c r="J17" i="5"/>
  <c r="J18" i="5"/>
  <c r="J19" i="5"/>
  <c r="J20" i="5"/>
  <c r="J21" i="5"/>
  <c r="J22" i="5"/>
  <c r="J23" i="5"/>
  <c r="J24" i="5"/>
  <c r="J25" i="5"/>
  <c r="J26" i="5"/>
  <c r="J27" i="5"/>
  <c r="J28" i="5"/>
  <c r="J29" i="5"/>
  <c r="J30" i="5"/>
  <c r="J31" i="5"/>
  <c r="J32" i="5"/>
  <c r="J33" i="5"/>
  <c r="J34" i="5"/>
  <c r="J35" i="5"/>
  <c r="B34" i="5"/>
  <c r="B35" i="5"/>
  <c r="AG3" i="5"/>
  <c r="AG4" i="5"/>
  <c r="AG5" i="5"/>
  <c r="AG6" i="5"/>
  <c r="AG7" i="5"/>
  <c r="AG8" i="5"/>
  <c r="AG9" i="5"/>
  <c r="AG10" i="5"/>
  <c r="AG11" i="5"/>
  <c r="AG12" i="5"/>
  <c r="AG13" i="5"/>
  <c r="AG14" i="5"/>
  <c r="AG15" i="5"/>
  <c r="AG16" i="5"/>
  <c r="AG17" i="5"/>
  <c r="AG18" i="5"/>
  <c r="AG19" i="5"/>
  <c r="AG20" i="5"/>
  <c r="AG21" i="5"/>
  <c r="AG22" i="5"/>
  <c r="AG23" i="5"/>
  <c r="AG24" i="5"/>
  <c r="AG25" i="5"/>
  <c r="AG26" i="5"/>
  <c r="AG27" i="5"/>
  <c r="AG28" i="5"/>
  <c r="AG29" i="5"/>
  <c r="AG30" i="5"/>
  <c r="AG31" i="5"/>
  <c r="AG32" i="5"/>
  <c r="AG33" i="5"/>
  <c r="AG34" i="5"/>
  <c r="AG35" i="5"/>
  <c r="AF3" i="5"/>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I36" i="5"/>
  <c r="AJ36" i="5"/>
  <c r="AK36" i="5"/>
  <c r="AL36" i="5"/>
  <c r="AM36" i="5"/>
  <c r="AN36" i="5"/>
  <c r="AO36" i="5"/>
  <c r="AP36" i="5"/>
  <c r="AQ36" i="5"/>
  <c r="AR36" i="5"/>
  <c r="AS36" i="5"/>
  <c r="AT36" i="5"/>
  <c r="AU36" i="5"/>
  <c r="AV36" i="5"/>
  <c r="AW36" i="5"/>
  <c r="AX36" i="5"/>
  <c r="AY36" i="5"/>
  <c r="AZ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CY36" i="5"/>
  <c r="CZ36" i="5"/>
  <c r="DA36" i="5"/>
  <c r="DB36" i="5"/>
  <c r="DC36" i="5"/>
  <c r="DD36" i="5"/>
  <c r="DE36" i="5"/>
  <c r="DF36" i="5"/>
  <c r="DG36" i="5"/>
  <c r="DH36" i="5"/>
  <c r="DI36" i="5"/>
  <c r="DJ36" i="5"/>
  <c r="DK36" i="5"/>
  <c r="DL36" i="5"/>
  <c r="DV36" i="5"/>
  <c r="EF36" i="5"/>
  <c r="FI36" i="5"/>
  <c r="GI36" i="5"/>
  <c r="HT36" i="5"/>
  <c r="HU36" i="5"/>
  <c r="HW36" i="5"/>
  <c r="HX36" i="5"/>
  <c r="HY36" i="5"/>
  <c r="HZ36" i="5"/>
  <c r="IA36" i="5"/>
  <c r="BA34" i="5"/>
  <c r="HV34" i="5"/>
  <c r="BA35" i="5"/>
  <c r="HV35" i="5"/>
  <c r="B8" i="5"/>
  <c r="BA8" i="5"/>
  <c r="HV8" i="5"/>
  <c r="B11" i="5"/>
  <c r="BA11" i="5"/>
  <c r="HV11" i="5"/>
  <c r="C35" i="5" l="1"/>
  <c r="C34" i="5"/>
  <c r="C8" i="5"/>
  <c r="C11" i="5"/>
  <c r="G37" i="5" l="1"/>
  <c r="B31" i="5"/>
  <c r="F655" i="7"/>
  <c r="G655" i="7" s="1"/>
  <c r="F654" i="7"/>
  <c r="F653" i="7"/>
  <c r="G653" i="7" s="1"/>
  <c r="F652" i="7"/>
  <c r="G652" i="7" s="1"/>
  <c r="F651" i="7"/>
  <c r="G651" i="7" s="1"/>
  <c r="F650" i="7"/>
  <c r="G650" i="7" s="1"/>
  <c r="F649" i="7"/>
  <c r="G649" i="7" s="1"/>
  <c r="F648" i="7"/>
  <c r="G648" i="7" s="1"/>
  <c r="F645" i="7"/>
  <c r="F644" i="7"/>
  <c r="G654" i="7" s="1"/>
  <c r="F643" i="7"/>
  <c r="F642" i="7"/>
  <c r="F641" i="7"/>
  <c r="F640" i="7"/>
  <c r="F639" i="7"/>
  <c r="F638" i="7"/>
  <c r="F646" i="7" s="1"/>
  <c r="FH41" i="5"/>
  <c r="FG41" i="5"/>
  <c r="FF41" i="5"/>
  <c r="FE41" i="5"/>
  <c r="FD41" i="5"/>
  <c r="FC41" i="5"/>
  <c r="FB41" i="5"/>
  <c r="EZ41" i="5"/>
  <c r="EY41" i="5"/>
  <c r="EX41" i="5"/>
  <c r="EW41" i="5"/>
  <c r="EV41" i="5"/>
  <c r="EU41" i="5"/>
  <c r="ET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U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BA3" i="5"/>
  <c r="BA30" i="5"/>
  <c r="BA24" i="5"/>
  <c r="BA7" i="5"/>
  <c r="BA23" i="5"/>
  <c r="BA13" i="5"/>
  <c r="BA27" i="5"/>
  <c r="BA32" i="5"/>
  <c r="BA5" i="5"/>
  <c r="BA29" i="5"/>
  <c r="BA9" i="5"/>
  <c r="BA15" i="5"/>
  <c r="BA22" i="5"/>
  <c r="BA6" i="5"/>
  <c r="BA18" i="5"/>
  <c r="BA17" i="5"/>
  <c r="BA20" i="5"/>
  <c r="BA19" i="5"/>
  <c r="BA14" i="5"/>
  <c r="BA28" i="5"/>
  <c r="BA16" i="5"/>
  <c r="BA4" i="5"/>
  <c r="BA31" i="5"/>
  <c r="BA33" i="5"/>
  <c r="BA21" i="5"/>
  <c r="BA25" i="5"/>
  <c r="BA26" i="5"/>
  <c r="BA10" i="5"/>
  <c r="BA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V13" i="5"/>
  <c r="HV27" i="5"/>
  <c r="HV16" i="5"/>
  <c r="HV24" i="5"/>
  <c r="HV32" i="5"/>
  <c r="HV7" i="5"/>
  <c r="HV3" i="5"/>
  <c r="HV4" i="5"/>
  <c r="HV30" i="5"/>
  <c r="HV31" i="5"/>
  <c r="HV5" i="5"/>
  <c r="HV29" i="5"/>
  <c r="HV33" i="5"/>
  <c r="HV23" i="5"/>
  <c r="HV21" i="5"/>
  <c r="HV25" i="5"/>
  <c r="HV22" i="5"/>
  <c r="HV26" i="5"/>
  <c r="HV9" i="5"/>
  <c r="HV10" i="5"/>
  <c r="HV15" i="5"/>
  <c r="HV28" i="5"/>
  <c r="HV6" i="5"/>
  <c r="HV14" i="5"/>
  <c r="HV18" i="5"/>
  <c r="HV17" i="5"/>
  <c r="HV20" i="5"/>
  <c r="HV19" i="5"/>
  <c r="HV12" i="5"/>
  <c r="B66" i="7"/>
  <c r="A66" i="7" s="1"/>
  <c r="B65" i="7"/>
  <c r="A65" i="7" s="1"/>
  <c r="B64" i="7"/>
  <c r="A64" i="7" s="1"/>
  <c r="B63" i="7"/>
  <c r="A63" i="7" s="1"/>
  <c r="B62" i="7"/>
  <c r="A62" i="7" s="1"/>
  <c r="B61" i="7"/>
  <c r="A61" i="7" s="1"/>
  <c r="A60" i="7"/>
  <c r="A25" i="7"/>
  <c r="A24" i="7"/>
  <c r="A23" i="7"/>
  <c r="A22" i="7"/>
  <c r="A21" i="7"/>
  <c r="A20" i="7"/>
  <c r="A19" i="7"/>
  <c r="A17" i="7"/>
  <c r="A18" i="7"/>
  <c r="B59" i="7"/>
  <c r="A59" i="7" s="1"/>
  <c r="GI40" i="5"/>
  <c r="GH40" i="5"/>
  <c r="GG40" i="5"/>
  <c r="GF40" i="5"/>
  <c r="GE40" i="5"/>
  <c r="GD40" i="5"/>
  <c r="GC40" i="5"/>
  <c r="GB40" i="5"/>
  <c r="GA40" i="5"/>
  <c r="FZ40" i="5"/>
  <c r="FY40" i="5"/>
  <c r="FX40" i="5"/>
  <c r="FW40" i="5"/>
  <c r="FV40" i="5"/>
  <c r="FU40" i="5"/>
  <c r="FT40" i="5"/>
  <c r="FS40" i="5"/>
  <c r="FR40" i="5"/>
  <c r="FQ40" i="5"/>
  <c r="FP40" i="5"/>
  <c r="FO40" i="5"/>
  <c r="FN40" i="5"/>
  <c r="FM40" i="5"/>
  <c r="FL40" i="5"/>
  <c r="FK40" i="5"/>
  <c r="FI40" i="5"/>
  <c r="FH40" i="5"/>
  <c r="FG40" i="5"/>
  <c r="FF40" i="5"/>
  <c r="FE40" i="5"/>
  <c r="FD40" i="5"/>
  <c r="FC40" i="5"/>
  <c r="FB40" i="5"/>
  <c r="FA40" i="5"/>
  <c r="EZ40" i="5"/>
  <c r="EY40" i="5"/>
  <c r="EX40" i="5"/>
  <c r="EW40" i="5"/>
  <c r="EV40" i="5"/>
  <c r="EU40" i="5"/>
  <c r="ET40" i="5"/>
  <c r="ES40" i="5"/>
  <c r="ER40" i="5"/>
  <c r="EQ40" i="5"/>
  <c r="EP40" i="5"/>
  <c r="EO40" i="5"/>
  <c r="EN40" i="5"/>
  <c r="EM40" i="5"/>
  <c r="EL40" i="5"/>
  <c r="EK40" i="5"/>
  <c r="EJ40" i="5"/>
  <c r="EI40" i="5"/>
  <c r="EH40" i="5"/>
  <c r="EF40" i="5"/>
  <c r="EE40" i="5"/>
  <c r="ED40" i="5"/>
  <c r="EC40" i="5"/>
  <c r="EB40" i="5"/>
  <c r="EA40" i="5"/>
  <c r="DZ40" i="5"/>
  <c r="DY40" i="5"/>
  <c r="DX40" i="5"/>
  <c r="DV40" i="5"/>
  <c r="DU40" i="5"/>
  <c r="DT40" i="5"/>
  <c r="DS40" i="5"/>
  <c r="DR40" i="5"/>
  <c r="DQ40" i="5"/>
  <c r="DP40" i="5"/>
  <c r="DO40" i="5"/>
  <c r="DN40" i="5"/>
  <c r="DL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T40" i="5"/>
  <c r="BR40" i="5"/>
  <c r="BQ40" i="5"/>
  <c r="BP40" i="5"/>
  <c r="BO40" i="5"/>
  <c r="BN40" i="5"/>
  <c r="BM40" i="5"/>
  <c r="BL40" i="5"/>
  <c r="BK40" i="5"/>
  <c r="BJ40" i="5"/>
  <c r="BI40" i="5"/>
  <c r="BH40" i="5"/>
  <c r="BG40" i="5"/>
  <c r="BF40" i="5"/>
  <c r="BE40" i="5"/>
  <c r="BD40" i="5"/>
  <c r="BC40" i="5"/>
  <c r="BA40" i="5"/>
  <c r="AY40" i="5"/>
  <c r="AX40" i="5"/>
  <c r="AW40" i="5"/>
  <c r="AV40" i="5"/>
  <c r="AU40" i="5"/>
  <c r="AT40" i="5"/>
  <c r="AS40" i="5"/>
  <c r="AR40" i="5"/>
  <c r="AQ40" i="5"/>
  <c r="AP40" i="5"/>
  <c r="AO40" i="5"/>
  <c r="AN40" i="5"/>
  <c r="AM40" i="5"/>
  <c r="AL40" i="5"/>
  <c r="AK40" i="5"/>
  <c r="HX39" i="5"/>
  <c r="HV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FJ39" i="5"/>
  <c r="EG39" i="5"/>
  <c r="DW39" i="5"/>
  <c r="DM39" i="5"/>
  <c r="BS39" i="5"/>
  <c r="AZ39" i="5"/>
  <c r="AJ39" i="5"/>
  <c r="HX38" i="5"/>
  <c r="HV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FJ38" i="5"/>
  <c r="EG38" i="5"/>
  <c r="DW38" i="5"/>
  <c r="DM38" i="5"/>
  <c r="BS38" i="5"/>
  <c r="AZ38" i="5"/>
  <c r="AJ38" i="5"/>
  <c r="HX37" i="5"/>
  <c r="HV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FJ37" i="5"/>
  <c r="EG37" i="5"/>
  <c r="DW37" i="5"/>
  <c r="DM37" i="5"/>
  <c r="BS37" i="5"/>
  <c r="AZ37" i="5"/>
  <c r="AJ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F656" i="7" l="1"/>
  <c r="FJ40" i="5"/>
  <c r="GQ40" i="5"/>
  <c r="GY40" i="5"/>
  <c r="HG40" i="5"/>
  <c r="GN40" i="5"/>
  <c r="GV40" i="5"/>
  <c r="HL40" i="5"/>
  <c r="GM40" i="5"/>
  <c r="HC40" i="5"/>
  <c r="HK40" i="5"/>
  <c r="HO40" i="5"/>
  <c r="DW40" i="5"/>
  <c r="GO40" i="5"/>
  <c r="GW40" i="5"/>
  <c r="HM40" i="5"/>
  <c r="GX40" i="5"/>
  <c r="HF40" i="5"/>
  <c r="HN40" i="5"/>
  <c r="GJ40" i="5"/>
  <c r="GR40" i="5"/>
  <c r="GZ40" i="5"/>
  <c r="HH40" i="5"/>
  <c r="HP40" i="5"/>
  <c r="HI40" i="5"/>
  <c r="GL40" i="5"/>
  <c r="GT40" i="5"/>
  <c r="HB40" i="5"/>
  <c r="HA40" i="5"/>
  <c r="GK40" i="5"/>
  <c r="GS40" i="5"/>
  <c r="A81" i="7"/>
  <c r="BS40" i="5"/>
  <c r="HQ40" i="5"/>
  <c r="HD40" i="5"/>
  <c r="DM40" i="5"/>
  <c r="HE40" i="5"/>
  <c r="EG40" i="5"/>
  <c r="FA41" i="5"/>
  <c r="ET42" i="5" s="1"/>
  <c r="FI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U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HJ40" i="5"/>
  <c r="C17" i="5"/>
  <c r="A35" i="7"/>
  <c r="A120" i="7"/>
  <c r="A40" i="7"/>
  <c r="GP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S40" i="5"/>
  <c r="HV40" i="5"/>
  <c r="HX40" i="5"/>
  <c r="GU40" i="5"/>
  <c r="C18" i="7"/>
  <c r="AJ40" i="5"/>
  <c r="C59" i="7"/>
  <c r="C17" i="7"/>
  <c r="C66" i="7"/>
  <c r="C65" i="7"/>
  <c r="C64" i="7"/>
  <c r="C63" i="7"/>
  <c r="C62" i="7"/>
  <c r="C61" i="7"/>
  <c r="C60" i="7"/>
  <c r="C19" i="7"/>
  <c r="C20" i="7"/>
  <c r="C21" i="7"/>
  <c r="C22" i="7"/>
  <c r="C23" i="7"/>
  <c r="C24" i="7"/>
  <c r="A67" i="7"/>
  <c r="HT40" i="5"/>
  <c r="AZ40" i="5"/>
  <c r="HR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FH42" i="5" l="1"/>
  <c r="EY42" i="5"/>
  <c r="EZ42" i="5"/>
  <c r="FG42" i="5"/>
  <c r="EX42" i="5"/>
  <c r="FF42" i="5"/>
  <c r="EW42" i="5"/>
  <c r="FE42" i="5"/>
  <c r="EU42" i="5"/>
  <c r="FA42" i="5" s="1"/>
  <c r="FB42" i="5"/>
  <c r="FD42" i="5"/>
  <c r="EV42" i="5"/>
  <c r="FC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FI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<sst xmlns="http://schemas.openxmlformats.org/spreadsheetml/2006/main" count="23795" uniqueCount="2788">
  <si>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</si>
  <si>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</si>
  <si>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</si>
  <si>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</si>
  <si>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</si>
  <si>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</si>
  <si>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</si>
  <si>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</si>
  <si>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</si>
  <si>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</si>
  <si>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</si>
  <si>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</si>
  <si>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</si>
  <si>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</si>
  <si>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</si>
  <si>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</si>
  <si>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</si>
  <si>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</si>
  <si>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</si>
  <si>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</si>
  <si>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</si>
  <si>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</si>
  <si>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</si>
  <si>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</si>
  <si>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</si>
  <si>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</si>
  <si>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</si>
  <si>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</si>
  <si>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</si>
  <si>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</si>
  <si>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</si>
  <si>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</si>
  <si>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</si>
  <si>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</si>
  <si>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</si>
  <si>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</si>
  <si>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</si>
  <si>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</si>
  <si>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</si>
  <si>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</si>
  <si>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</si>
  <si>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</si>
  <si>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</si>
  <si>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</si>
  <si>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</si>
  <si>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</si>
  <si>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</si>
  <si>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</si>
  <si>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</si>
  <si>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</si>
  <si>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</si>
  <si>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</si>
  <si>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</si>
  <si>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</si>
  <si>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</si>
  <si>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</si>
  <si>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</si>
  <si>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</si>
  <si>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</si>
  <si>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</si>
  <si>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</si>
  <si>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</si>
  <si>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</si>
  <si>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</si>
  <si>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</si>
  <si>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</si>
  <si>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</si>
  <si>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</si>
  <si>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</si>
  <si>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</si>
  <si>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</si>
  <si>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</si>
  <si>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</si>
  <si>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</si>
  <si>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</si>
  <si>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</si>
  <si>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</si>
  <si>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</si>
  <si>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</si>
  <si>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</si>
  <si>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</si>
  <si>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</si>
  <si>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</si>
  <si>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</si>
  <si>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</si>
  <si>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</si>
  <si>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</si>
  <si>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</si>
  <si>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</si>
  <si>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</si>
  <si>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</si>
  <si>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</si>
  <si>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</si>
  <si>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</si>
  <si>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</si>
  <si>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</si>
  <si>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</si>
  <si>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</si>
  <si>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</si>
  <si>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</si>
  <si>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</si>
  <si>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</si>
  <si>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</si>
  <si>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</si>
  <si>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</si>
  <si>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</si>
  <si>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</si>
  <si>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</si>
  <si>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</si>
  <si>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</si>
  <si>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</si>
  <si>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</si>
  <si>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</si>
  <si>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</si>
  <si>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</si>
  <si>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</si>
  <si>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</si>
  <si>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</si>
  <si>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</si>
  <si>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</si>
  <si>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</si>
  <si>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</si>
  <si>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</si>
  <si>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</si>
  <si>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</si>
  <si>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</si>
  <si>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</si>
  <si>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</si>
  <si>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</si>
  <si>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</si>
  <si>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</si>
  <si>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</si>
  <si>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</si>
  <si>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</si>
  <si>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</si>
  <si>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</si>
  <si>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</si>
  <si>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</si>
  <si>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</si>
  <si>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</si>
  <si>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</si>
  <si>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</si>
  <si>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</si>
  <si>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</si>
  <si>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</si>
  <si>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</si>
  <si>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</si>
  <si>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</si>
  <si>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</si>
  <si>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</si>
  <si>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</si>
  <si>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</si>
  <si>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</si>
  <si>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</si>
  <si>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</si>
  <si>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</si>
  <si>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</si>
  <si>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</si>
  <si>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</si>
  <si>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</si>
  <si>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</si>
  <si>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</si>
  <si>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</si>
  <si>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</si>
  <si>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</si>
  <si>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</si>
  <si>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</si>
  <si>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</si>
  <si>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</si>
  <si>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</si>
  <si>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</si>
  <si>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</si>
  <si>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</si>
  <si>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</si>
  <si>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</si>
  <si>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</si>
  <si>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</si>
  <si>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</si>
  <si>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</si>
  <si>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</si>
  <si>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</si>
  <si>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</si>
  <si>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</si>
  <si>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</si>
  <si>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</si>
  <si>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</si>
  <si>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</si>
  <si>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</si>
  <si>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</si>
  <si>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</si>
  <si>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</si>
  <si>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</si>
  <si>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</si>
  <si>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</si>
  <si>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</si>
  <si>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</si>
  <si>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</si>
  <si>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</si>
  <si>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</si>
  <si>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</si>
  <si>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</si>
  <si>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</si>
  <si>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</si>
  <si>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</si>
  <si>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</si>
  <si>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</si>
  <si>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</si>
  <si>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</si>
  <si>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</si>
  <si>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</si>
  <si>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</si>
  <si>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</si>
  <si>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</si>
  <si>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</si>
  <si>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</si>
  <si>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</si>
  <si>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</si>
  <si>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</si>
  <si>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</si>
  <si>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</si>
  <si>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</si>
  <si>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</si>
  <si>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</si>
  <si>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</si>
  <si>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</si>
  <si>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</si>
  <si>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</si>
  <si>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</si>
  <si>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</si>
  <si>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</si>
  <si>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</si>
  <si>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</si>
  <si>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</si>
  <si>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</si>
  <si>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</si>
  <si>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</si>
  <si>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</si>
  <si>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</si>
  <si>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</si>
  <si>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</si>
  <si>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</si>
  <si>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</si>
  <si>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</si>
  <si>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</si>
  <si>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</si>
  <si>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</si>
  <si>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</si>
  <si>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</si>
  <si>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</si>
  <si>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</si>
  <si>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</si>
  <si>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</si>
  <si>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</si>
  <si>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</si>
  <si>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</si>
  <si>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</si>
  <si>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</si>
  <si>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</si>
  <si>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</si>
  <si>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</si>
  <si>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</si>
  <si>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</si>
  <si>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</si>
  <si>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</si>
  <si>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</si>
  <si>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</si>
  <si>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</si>
  <si>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</si>
  <si>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</si>
  <si>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</si>
  <si>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</si>
  <si>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</si>
  <si>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</si>
  <si>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</si>
  <si>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</si>
  <si>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</si>
  <si>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</si>
  <si>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</si>
  <si>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</si>
  <si>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</si>
  <si>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</si>
  <si>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</si>
  <si>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</si>
  <si>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</si>
  <si>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</si>
  <si>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</si>
  <si>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</si>
  <si>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</si>
  <si>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</si>
  <si>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</si>
  <si>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</si>
  <si>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</si>
  <si>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</si>
  <si>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</si>
  <si>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</si>
  <si>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</si>
  <si>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</si>
  <si>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</si>
  <si>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</si>
  <si>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</si>
  <si>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</si>
  <si>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</si>
  <si>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</si>
  <si>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</si>
  <si>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</si>
  <si>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</si>
  <si>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</si>
  <si>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</si>
  <si>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</si>
  <si>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</si>
  <si>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</si>
  <si>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</si>
  <si>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</si>
  <si>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</si>
  <si>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</si>
  <si>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</si>
  <si>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</si>
  <si>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</si>
  <si>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</si>
  <si>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</si>
  <si>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</si>
  <si>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</si>
  <si>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</si>
  <si>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</si>
  <si>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</si>
  <si>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</si>
  <si>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</si>
  <si>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</si>
  <si>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</si>
  <si>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</si>
  <si>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</si>
  <si>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</si>
  <si>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</si>
  <si>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</si>
  <si>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</si>
  <si>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</si>
  <si>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</si>
  <si>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</si>
  <si>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</si>
  <si>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</si>
  <si>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</si>
  <si>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</si>
  <si>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</si>
  <si>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</si>
  <si>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</si>
  <si>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</si>
  <si>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</si>
  <si>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</si>
  <si>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</si>
  <si>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</si>
  <si>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</si>
  <si>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</si>
  <si>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</si>
  <si>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</si>
  <si>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</si>
  <si>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</si>
  <si>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</si>
  <si>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</si>
  <si>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</si>
  <si>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</si>
  <si>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</si>
  <si>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</si>
  <si>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</si>
  <si>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</si>
  <si>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</si>
  <si>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</si>
  <si>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</si>
  <si>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</si>
  <si>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</si>
  <si>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</si>
  <si>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</si>
  <si>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</si>
  <si>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</si>
  <si>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</si>
  <si>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</si>
  <si>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</si>
  <si>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</si>
  <si>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</si>
  <si>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</si>
  <si>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</si>
  <si>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</si>
  <si>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</si>
  <si>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</si>
  <si>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</si>
  <si>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</si>
  <si>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</si>
  <si>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</si>
  <si>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</si>
  <si>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</si>
  <si>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</si>
  <si>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</si>
  <si>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</si>
  <si>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</si>
  <si>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</si>
  <si>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</si>
  <si>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</si>
  <si>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</si>
  <si>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</si>
  <si>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</si>
  <si>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</si>
  <si>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</si>
  <si>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</si>
  <si>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</si>
  <si>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</si>
  <si>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</si>
  <si>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</si>
  <si>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</si>
  <si>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</si>
  <si>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</si>
  <si>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</si>
  <si>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</si>
  <si>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</si>
  <si>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</si>
  <si>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</si>
  <si>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</si>
  <si>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</si>
  <si>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</si>
  <si>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</si>
  <si>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</si>
  <si>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</si>
  <si>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</si>
  <si>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</si>
  <si>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</si>
  <si>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</si>
  <si>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</si>
  <si>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</si>
  <si>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</si>
  <si>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</si>
  <si>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</si>
  <si>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</si>
  <si>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</si>
  <si>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</si>
  <si>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</si>
  <si>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</si>
  <si>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</si>
  <si>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</si>
  <si>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</si>
  <si>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</si>
  <si>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</si>
  <si>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</si>
  <si>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</si>
  <si>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</si>
  <si>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</si>
  <si>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</si>
  <si>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</si>
  <si>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</si>
  <si>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</si>
  <si>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</si>
  <si>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</si>
  <si>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</si>
  <si>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</si>
  <si>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</si>
  <si>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</si>
  <si>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</si>
  <si>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</si>
  <si>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</si>
  <si>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</si>
  <si>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</si>
  <si>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</si>
  <si>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</si>
  <si>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</si>
  <si>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</si>
  <si>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</si>
  <si>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</si>
  <si>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</si>
  <si>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</si>
  <si>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</si>
  <si>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</si>
  <si>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</si>
  <si>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</si>
  <si>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</si>
  <si>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</si>
  <si>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</si>
  <si>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</si>
  <si>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</si>
  <si>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</si>
  <si>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</si>
  <si>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</si>
  <si>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</si>
  <si>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</si>
  <si>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</si>
  <si>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</si>
  <si>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</si>
  <si>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</si>
  <si>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</si>
  <si>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</si>
  <si>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</si>
  <si>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</si>
  <si>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</si>
  <si>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</si>
  <si>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</si>
  <si>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</si>
  <si>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</si>
  <si>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</si>
  <si>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</si>
  <si>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</si>
  <si>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</si>
  <si>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</si>
  <si>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</si>
  <si>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</si>
  <si>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</si>
  <si>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</si>
  <si>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</si>
  <si>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</si>
  <si>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</si>
  <si>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</si>
  <si>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</si>
  <si>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</si>
  <si>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</si>
  <si>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</si>
  <si>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</si>
  <si>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</si>
  <si>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</si>
  <si>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</si>
  <si>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</si>
  <si>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</si>
  <si>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</si>
  <si>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</si>
  <si>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</si>
  <si>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</si>
  <si>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</si>
  <si>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</si>
  <si>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</si>
  <si>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</si>
  <si>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</si>
  <si>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</si>
  <si>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</si>
  <si>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</si>
  <si>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</si>
  <si>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</si>
  <si>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</si>
  <si>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</si>
  <si>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</si>
  <si>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</si>
  <si>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</si>
  <si>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</si>
  <si>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</si>
  <si>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</si>
  <si>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</si>
  <si>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</si>
  <si>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</si>
  <si>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</si>
  <si>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</si>
  <si>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</si>
  <si>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</si>
  <si>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</si>
  <si>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</si>
  <si>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</si>
  <si>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</si>
  <si>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</si>
  <si>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</si>
  <si>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</si>
  <si>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</si>
  <si>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</si>
  <si>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</si>
  <si>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</si>
  <si>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</si>
  <si>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</si>
  <si>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</si>
  <si>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</si>
  <si>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</si>
  <si>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</si>
  <si>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</si>
  <si>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</si>
  <si>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</si>
  <si>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</si>
  <si>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</si>
  <si>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</si>
  <si>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</si>
  <si>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</si>
  <si>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</si>
  <si>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</si>
  <si>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</si>
  <si>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</si>
  <si>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</si>
  <si>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</si>
  <si>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</si>
  <si>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</si>
  <si>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</si>
  <si>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</si>
  <si>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</si>
  <si>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</si>
  <si>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</si>
  <si>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</si>
  <si>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</si>
  <si>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</si>
  <si>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</si>
  <si>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</si>
  <si>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</si>
  <si>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</si>
  <si>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</si>
  <si>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</si>
  <si>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</si>
  <si>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</si>
  <si>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</si>
  <si>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</si>
  <si>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</si>
  <si>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</si>
  <si>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</si>
  <si>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</si>
  <si>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</si>
  <si>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</si>
  <si>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</si>
  <si>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</si>
  <si>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</si>
  <si>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</si>
  <si>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</si>
  <si>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</si>
  <si>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</si>
  <si>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</si>
  <si>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</si>
  <si>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</si>
  <si>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</si>
  <si>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</si>
  <si>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</si>
  <si>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</si>
  <si>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</si>
  <si>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</si>
  <si>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</si>
  <si>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</si>
  <si>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</si>
  <si>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</si>
  <si>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</si>
  <si>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</si>
  <si>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</si>
  <si>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</si>
  <si>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</si>
  <si>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</si>
  <si>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</si>
  <si>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</si>
  <si>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</si>
  <si>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</si>
  <si>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</si>
  <si>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</si>
  <si>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</si>
  <si>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</si>
  <si>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</si>
  <si>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</si>
  <si>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</si>
  <si>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</si>
  <si>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</si>
  <si>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</si>
  <si>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</si>
  <si>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</si>
  <si>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</si>
  <si>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</si>
  <si>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</si>
  <si>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</si>
  <si>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</si>
  <si>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</si>
  <si>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</si>
  <si>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</si>
  <si>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</si>
  <si>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</si>
  <si>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</si>
  <si>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</si>
  <si>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</si>
  <si>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</si>
  <si>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</si>
  <si>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</si>
  <si>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</si>
  <si>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</si>
  <si>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</si>
  <si>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</si>
  <si>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</si>
  <si>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</si>
  <si>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</si>
  <si>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</si>
  <si>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</si>
  <si>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</si>
  <si>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</si>
  <si>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</si>
  <si>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</si>
  <si>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</si>
  <si>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</si>
  <si>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</si>
  <si>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</si>
  <si>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</si>
  <si>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</si>
  <si>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</si>
  <si>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</si>
  <si>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</si>
  <si>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</si>
  <si>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</si>
  <si>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</si>
  <si>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</si>
  <si>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</si>
  <si>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</si>
  <si>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</si>
  <si>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</si>
  <si>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</si>
  <si>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</si>
  <si>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</si>
  <si>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</si>
  <si>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</si>
  <si>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</si>
  <si>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</si>
  <si>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</si>
  <si>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</si>
  <si>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</si>
  <si>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</si>
  <si>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</si>
  <si>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</si>
  <si>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</si>
  <si>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</si>
  <si>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</si>
  <si>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</si>
  <si>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</si>
  <si>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</si>
  <si>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</si>
  <si>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</si>
  <si>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</si>
  <si>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</si>
  <si>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</si>
  <si>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</si>
  <si>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</si>
  <si>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</si>
  <si>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</si>
  <si>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</si>
  <si>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</si>
  <si>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</si>
  <si>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</si>
  <si>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</si>
  <si>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</si>
  <si>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</si>
  <si>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</si>
  <si>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</si>
  <si>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</si>
  <si>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</si>
  <si>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</si>
  <si>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</si>
  <si>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</si>
  <si>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</si>
  <si>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</si>
  <si>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</si>
  <si>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</si>
  <si>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</si>
  <si>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</si>
  <si>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</si>
  <si>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</si>
  <si>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</si>
  <si>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</si>
  <si>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</si>
  <si>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</si>
  <si>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</si>
  <si>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</si>
  <si>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</si>
  <si>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</si>
  <si>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</si>
  <si>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</si>
  <si>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</si>
  <si>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</si>
  <si>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</si>
  <si>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</si>
  <si>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</si>
  <si>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</si>
  <si>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</si>
  <si>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</si>
  <si>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</si>
  <si>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</si>
  <si>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</si>
  <si>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</si>
  <si>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</si>
  <si>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</si>
  <si>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</si>
  <si>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</si>
  <si>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</si>
  <si>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</si>
  <si>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</si>
  <si>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</si>
  <si>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</si>
  <si>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</si>
  <si>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</si>
  <si>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</si>
  <si>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</si>
  <si>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</si>
  <si>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</si>
  <si>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</si>
  <si>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</si>
  <si>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</si>
  <si>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</si>
  <si>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</si>
  <si>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</si>
  <si>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</si>
  <si>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</si>
  <si>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</si>
  <si>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</si>
  <si>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</si>
  <si>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</si>
  <si>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</si>
  <si>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</si>
  <si>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</si>
  <si>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</si>
  <si>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</si>
  <si>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</si>
  <si>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</si>
  <si>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</si>
  <si>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</si>
  <si>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</si>
  <si>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</si>
  <si>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</si>
  <si>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</si>
  <si>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</si>
  <si>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</si>
  <si>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</si>
  <si>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</si>
  <si>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</si>
  <si>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</si>
  <si>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</si>
  <si>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</si>
  <si>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</si>
  <si>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</si>
  <si>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</si>
  <si>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</si>
  <si>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</si>
  <si>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</si>
  <si>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</si>
  <si>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</si>
  <si>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</si>
  <si>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</si>
  <si>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</si>
  <si>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</si>
  <si>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</si>
  <si>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</si>
  <si>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</si>
  <si>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</si>
  <si>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</si>
  <si>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</si>
  <si>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</si>
  <si>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</si>
  <si>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</si>
  <si>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</si>
  <si>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</si>
  <si>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</si>
  <si>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</si>
  <si>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</si>
  <si>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</si>
  <si>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</si>
  <si>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</si>
  <si>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</si>
  <si>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</si>
  <si>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</si>
  <si>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</si>
  <si>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</si>
  <si>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</si>
  <si>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</si>
  <si>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</si>
  <si>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</si>
  <si>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</si>
  <si>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</si>
  <si>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</si>
  <si>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</si>
  <si>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</si>
  <si>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</si>
  <si>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</si>
  <si>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</si>
  <si>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</si>
  <si>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</si>
  <si>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</si>
  <si>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</si>
  <si>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</si>
  <si>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</si>
  <si>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</si>
  <si>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</si>
  <si>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</si>
  <si>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</si>
  <si>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</si>
  <si>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</si>
  <si>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</si>
  <si>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</si>
  <si>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</si>
  <si>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</si>
  <si>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</si>
  <si>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</si>
  <si>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</si>
  <si>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</si>
  <si>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</si>
  <si>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</si>
  <si>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</si>
  <si>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</si>
  <si>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</si>
  <si>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</si>
  <si>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</si>
  <si>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</si>
  <si>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</si>
  <si>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</si>
  <si>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</si>
  <si>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</si>
  <si>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</si>
  <si>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</si>
  <si>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</si>
  <si>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</si>
  <si>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</si>
  <si>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</si>
  <si>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</si>
  <si>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</si>
  <si>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</si>
  <si>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</si>
  <si>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</si>
  <si>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</si>
  <si>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</si>
  <si>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</si>
  <si>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</si>
  <si>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</si>
  <si>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</si>
  <si>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</si>
  <si>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</si>
  <si>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</si>
  <si>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</si>
  <si>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</si>
  <si>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</si>
  <si>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</si>
  <si>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</si>
  <si>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</si>
  <si>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</si>
  <si>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</si>
  <si>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</si>
  <si>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</si>
  <si>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</si>
  <si>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</si>
  <si>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</si>
  <si>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</si>
  <si>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</si>
  <si>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</si>
  <si>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</si>
  <si>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</si>
  <si>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</si>
  <si>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</si>
  <si>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</si>
  <si>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</si>
  <si>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</si>
  <si>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</si>
  <si>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</si>
  <si>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</si>
  <si>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</si>
  <si>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</si>
  <si>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</si>
  <si>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</si>
  <si>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</si>
  <si>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</si>
  <si>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</si>
  <si>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</si>
  <si>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</si>
  <si>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</si>
  <si>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</si>
  <si>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</si>
  <si>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</si>
  <si>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</si>
  <si>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</si>
  <si>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</si>
  <si>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</si>
  <si>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</si>
  <si>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</si>
  <si>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</si>
  <si>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</si>
  <si>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</si>
  <si>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</si>
  <si>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</si>
  <si>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</si>
  <si>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</si>
  <si>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</si>
  <si>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</si>
  <si>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</si>
  <si>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</si>
  <si>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</si>
  <si>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</si>
  <si>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</si>
  <si>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</si>
  <si>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</si>
  <si>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</si>
  <si>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</si>
  <si>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</si>
  <si>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</si>
  <si>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</si>
  <si>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</si>
  <si>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</si>
  <si>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</si>
  <si>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</si>
  <si>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</si>
  <si>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</si>
  <si>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</si>
  <si>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</si>
  <si>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</si>
  <si>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</si>
  <si>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</si>
  <si>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</si>
  <si>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</si>
  <si>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</si>
  <si>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</si>
  <si>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</si>
  <si>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</si>
  <si>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</si>
  <si>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</si>
  <si>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</si>
  <si>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</si>
  <si>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</si>
  <si>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</si>
  <si>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</si>
  <si>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</si>
  <si>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</si>
  <si>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</si>
  <si>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</si>
  <si>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</si>
  <si>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</si>
  <si>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</si>
  <si>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</si>
  <si>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</si>
  <si>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</si>
  <si>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</si>
  <si>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</si>
  <si>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</si>
  <si>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</si>
  <si>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</si>
  <si>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</si>
  <si>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</si>
  <si>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</si>
  <si>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</si>
  <si>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</si>
  <si>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</si>
  <si>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</si>
  <si>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</si>
  <si>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</si>
  <si>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</si>
  <si>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</si>
  <si>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</si>
  <si>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</si>
  <si>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</si>
  <si>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</si>
  <si>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</si>
  <si>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</si>
  <si>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</si>
  <si>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</si>
  <si>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</si>
  <si>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</si>
  <si>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</si>
  <si>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</si>
  <si>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</si>
  <si>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</si>
  <si>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</si>
  <si>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</si>
  <si>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</si>
  <si>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</si>
  <si>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</si>
  <si>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</si>
  <si>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</si>
  <si>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</si>
  <si>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</si>
  <si>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</si>
  <si>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</si>
  <si>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</si>
  <si>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</si>
  <si>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</si>
  <si>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</si>
  <si>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</si>
  <si>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</si>
  <si>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</si>
  <si>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</si>
  <si>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</si>
  <si>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</si>
  <si>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</si>
  <si>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</si>
  <si>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</si>
  <si>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</si>
  <si>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</si>
  <si>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</si>
  <si>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</si>
  <si>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</si>
  <si>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</si>
  <si>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</si>
  <si>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</si>
  <si>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</si>
  <si>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</si>
  <si>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</si>
  <si>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</si>
  <si>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</si>
  <si>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</si>
  <si>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</si>
  <si>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</si>
  <si>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</si>
  <si>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</si>
  <si>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</si>
  <si>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</si>
  <si>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</si>
  <si>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</si>
  <si>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</si>
  <si>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</si>
  <si>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</si>
  <si>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</si>
  <si>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</si>
  <si>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</si>
  <si>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</si>
  <si>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</si>
  <si>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</si>
  <si>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</si>
  <si>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</si>
  <si>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</si>
  <si>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</si>
  <si>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</si>
  <si>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</si>
  <si>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</si>
  <si>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</si>
  <si>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</si>
  <si>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</si>
  <si>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</si>
  <si>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</si>
  <si>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</si>
  <si>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</si>
  <si>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</si>
  <si>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</si>
  <si>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</si>
  <si>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</si>
  <si>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</si>
  <si>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</si>
  <si>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</si>
  <si>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</si>
  <si>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</si>
  <si>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</si>
  <si>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</si>
  <si>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</si>
  <si>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</si>
  <si>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</si>
  <si>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</si>
  <si>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</si>
  <si>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</si>
  <si>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</si>
  <si>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</si>
  <si>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</si>
  <si>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</si>
  <si>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</si>
  <si>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</si>
  <si>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</si>
  <si>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</si>
  <si>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</si>
  <si>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</si>
  <si>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</si>
  <si>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</si>
  <si>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</si>
  <si>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</si>
  <si>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</si>
  <si>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</si>
  <si>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</si>
  <si>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</si>
  <si>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</si>
  <si>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</si>
  <si>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</si>
  <si>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</si>
  <si>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</si>
  <si>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</si>
  <si>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</si>
  <si>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</si>
  <si>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</si>
  <si>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</si>
  <si>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</si>
  <si>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</si>
  <si>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</si>
  <si>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</si>
  <si>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</si>
  <si>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</si>
  <si>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</si>
  <si>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</si>
  <si>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</si>
  <si>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</si>
  <si>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</si>
  <si>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</si>
  <si>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</si>
  <si>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</si>
  <si>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</si>
  <si>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</si>
  <si>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</si>
  <si>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</si>
  <si>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</si>
  <si>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</si>
  <si>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</si>
  <si>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</si>
  <si>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</si>
  <si>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</si>
  <si>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</si>
  <si>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</si>
  <si>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</si>
  <si>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</si>
  <si>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</si>
  <si>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</si>
  <si>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</si>
  <si>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</si>
  <si>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</si>
  <si>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</si>
  <si>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</si>
  <si>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</si>
  <si>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</si>
  <si>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</si>
  <si>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</si>
  <si>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</si>
  <si>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</si>
  <si>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</si>
  <si>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</si>
  <si>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</si>
  <si>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</si>
  <si>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</si>
  <si>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</si>
  <si>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</si>
  <si>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</si>
  <si>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</si>
  <si>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</si>
  <si>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</si>
  <si>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</si>
  <si>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</si>
  <si>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</si>
  <si>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</si>
  <si>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</si>
  <si>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</si>
  <si>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</si>
  <si>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</si>
  <si>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</si>
  <si>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</si>
  <si>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</si>
  <si>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</si>
  <si>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</si>
  <si>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</si>
  <si>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</si>
  <si>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</si>
  <si>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</si>
  <si>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</si>
  <si>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</si>
  <si>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</si>
  <si>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</si>
  <si>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</si>
  <si>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</si>
  <si>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</si>
  <si>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</si>
  <si>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</si>
  <si>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</si>
  <si>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</si>
  <si>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</si>
  <si>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</si>
  <si>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</si>
  <si>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</si>
  <si>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</si>
  <si>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</si>
  <si>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</si>
  <si>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</si>
  <si>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</si>
  <si>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</si>
  <si>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</si>
  <si>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</si>
  <si>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</si>
  <si>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</si>
  <si>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</si>
  <si>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</si>
  <si>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</si>
  <si>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</si>
  <si>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</si>
  <si>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</si>
  <si>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</si>
  <si>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</si>
  <si>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</si>
  <si>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</si>
  <si>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</si>
  <si>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</si>
  <si>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</si>
  <si>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</si>
  <si>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</si>
  <si>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</si>
  <si>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</si>
  <si>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</si>
  <si>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</si>
  <si>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</si>
  <si>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</si>
  <si>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</si>
  <si>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</si>
  <si>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</si>
  <si>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</si>
  <si>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</si>
  <si>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</si>
  <si>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</si>
  <si>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</si>
  <si>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</si>
  <si>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</si>
  <si>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</si>
  <si>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</si>
  <si>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</si>
  <si>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</si>
  <si>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</si>
  <si>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</si>
  <si>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</si>
  <si>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</si>
  <si>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</si>
  <si>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</si>
  <si>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</si>
  <si>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</si>
  <si>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</si>
  <si>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</si>
  <si>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</si>
  <si>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</si>
  <si>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</si>
  <si>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</si>
  <si>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</si>
  <si>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</si>
  <si>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</si>
  <si>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</si>
  <si>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</si>
  <si>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</si>
  <si>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</si>
  <si>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</si>
  <si>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</si>
  <si>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</si>
  <si>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</si>
  <si>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</si>
  <si>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</si>
  <si>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</si>
  <si>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</si>
  <si>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</si>
  <si>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</si>
  <si>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</si>
  <si>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</si>
  <si>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</si>
  <si>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</si>
  <si>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</si>
  <si>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</si>
  <si>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</si>
  <si>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</si>
  <si>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</si>
  <si>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</si>
  <si>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</si>
  <si>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</si>
  <si>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</si>
  <si>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</si>
  <si>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</si>
  <si>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</si>
  <si>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</si>
  <si>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</si>
  <si>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</si>
  <si>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</si>
  <si>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</si>
  <si>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</si>
  <si>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</si>
  <si>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</si>
  <si>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</si>
  <si>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</si>
  <si>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</si>
  <si>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</si>
  <si>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</si>
  <si>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</si>
  <si>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</si>
  <si>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</si>
  <si>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</si>
  <si>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</si>
  <si>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</si>
  <si>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</si>
  <si>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</si>
  <si>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</si>
  <si>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</si>
  <si>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</si>
  <si>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</si>
  <si>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</si>
  <si>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</si>
  <si>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</si>
  <si>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</si>
  <si>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</si>
  <si>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</si>
  <si>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</si>
  <si>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</si>
  <si>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</si>
  <si>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</si>
  <si>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</si>
  <si>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</si>
  <si>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</si>
  <si>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</si>
  <si>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</si>
  <si>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</si>
  <si>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</si>
  <si>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</si>
  <si>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</si>
  <si>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</si>
  <si>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</si>
  <si>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</si>
  <si>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</si>
  <si>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</si>
  <si>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</si>
  <si>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</si>
  <si>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</si>
  <si>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</si>
  <si>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</si>
  <si>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</si>
  <si>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</si>
  <si>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</si>
  <si>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</si>
  <si>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</si>
  <si>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</si>
  <si>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</si>
  <si>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</si>
  <si>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</si>
  <si>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</si>
  <si>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</si>
  <si>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</si>
  <si>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</si>
  <si>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</si>
  <si>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</si>
  <si>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</si>
  <si>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</si>
  <si>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</si>
  <si>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</si>
  <si>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</si>
  <si>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</si>
  <si>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</si>
  <si>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</si>
  <si>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</si>
  <si>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</si>
  <si>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</si>
  <si>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</si>
  <si>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</si>
  <si>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</si>
  <si>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</si>
  <si>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</si>
  <si>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</si>
  <si>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</si>
  <si>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</si>
  <si>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</si>
  <si>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</si>
  <si>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</si>
  <si>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</si>
  <si>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</si>
  <si>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</si>
  <si>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</si>
  <si>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</si>
  <si>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</si>
  <si>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</si>
  <si>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</si>
  <si>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</si>
  <si>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</si>
  <si>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</si>
  <si>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</si>
  <si>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</si>
  <si>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</si>
  <si>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</si>
  <si>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</si>
  <si>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</si>
  <si>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</si>
  <si>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</si>
  <si>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</si>
  <si>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</si>
  <si>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</si>
  <si>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</si>
  <si>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</si>
  <si>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</si>
  <si>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</si>
  <si>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</si>
  <si>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</si>
  <si>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</si>
  <si>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</si>
  <si>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</si>
  <si>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</si>
  <si>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</si>
  <si>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</si>
  <si>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</si>
  <si>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</si>
  <si>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</si>
  <si>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</si>
  <si>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</si>
  <si>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</si>
  <si>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</si>
  <si>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</si>
  <si>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</si>
  <si>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</si>
  <si>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</si>
  <si>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</si>
  <si>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</si>
  <si>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</si>
  <si>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</si>
  <si>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</si>
  <si>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</si>
  <si>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</si>
  <si>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</si>
  <si>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</si>
  <si>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</si>
  <si>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</si>
  <si>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</si>
  <si>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</si>
  <si>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</si>
  <si>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</si>
  <si>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</si>
  <si>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</si>
  <si>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</si>
  <si>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</si>
  <si>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</si>
  <si>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</si>
  <si>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</si>
  <si>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</si>
  <si>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</si>
  <si>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</si>
  <si>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</si>
  <si>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</si>
  <si>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</si>
  <si>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</si>
  <si>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</si>
  <si>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</si>
  <si>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</si>
  <si>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</si>
  <si>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</si>
  <si>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</si>
  <si>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</si>
  <si>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</si>
  <si>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</si>
  <si>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</si>
  <si>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</si>
  <si>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</si>
  <si>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</si>
  <si>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</si>
  <si>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</si>
  <si>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</si>
  <si>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</si>
  <si>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</si>
  <si>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</si>
  <si>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</si>
  <si>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</si>
  <si>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</si>
  <si>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</si>
  <si>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</si>
  <si>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</si>
  <si>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</si>
  <si>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</si>
  <si>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</si>
  <si>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</si>
  <si>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</si>
  <si>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</si>
  <si>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</si>
  <si>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</si>
  <si>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</si>
  <si>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</si>
  <si>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</si>
  <si>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</si>
  <si>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</si>
  <si>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</si>
  <si>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</si>
  <si>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</si>
  <si>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</si>
  <si>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</si>
  <si>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</si>
  <si>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</si>
  <si>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</si>
  <si>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</si>
  <si>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</si>
  <si>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</si>
  <si>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</si>
  <si>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</si>
  <si>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</si>
  <si>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</si>
  <si>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</si>
  <si>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</si>
  <si>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</si>
  <si>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</si>
  <si>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</si>
  <si>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</si>
  <si>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</si>
  <si>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</si>
  <si>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</si>
  <si>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</si>
  <si>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</si>
  <si>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</si>
  <si>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</si>
  <si>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</si>
  <si>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</si>
  <si>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</si>
  <si>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</si>
  <si>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</si>
  <si>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</si>
  <si>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</si>
  <si>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</si>
  <si>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</si>
  <si>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</si>
  <si>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</si>
  <si>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</si>
  <si>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</si>
  <si>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</si>
  <si>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</si>
  <si>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</si>
  <si>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</si>
  <si>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</si>
  <si>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</si>
  <si>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</si>
  <si>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</si>
  <si>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</si>
  <si>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</si>
  <si>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</si>
  <si>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</si>
  <si>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</si>
  <si>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</si>
  <si>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</si>
  <si>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</si>
  <si>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</si>
  <si>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</si>
  <si>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</si>
  <si>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</si>
  <si>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</si>
  <si>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</si>
  <si>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</si>
  <si>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</si>
  <si>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</si>
  <si>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</si>
  <si>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</si>
  <si>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</si>
  <si>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</si>
  <si>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</si>
  <si>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</si>
  <si>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</si>
  <si>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</si>
  <si>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</si>
  <si>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</si>
  <si>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</si>
  <si>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</si>
  <si>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</si>
  <si>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</si>
  <si>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</si>
  <si>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</si>
  <si>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</si>
  <si>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</si>
  <si>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</si>
  <si>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</si>
  <si>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</si>
  <si>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</si>
  <si>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</si>
  <si>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</si>
  <si>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</si>
  <si>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</si>
  <si>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</si>
  <si>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</si>
  <si>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</si>
  <si>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</si>
  <si>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</si>
  <si>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</si>
  <si>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</si>
  <si>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</si>
  <si>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</si>
  <si>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</si>
  <si>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</si>
  <si>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</si>
  <si>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</si>
  <si>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</si>
  <si>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</si>
  <si>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</si>
  <si>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</si>
  <si>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</si>
  <si>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</si>
  <si>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</si>
  <si>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</si>
  <si>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</si>
  <si>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</si>
  <si>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</si>
  <si>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</si>
  <si>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</si>
  <si>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</si>
  <si>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</si>
  <si>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</si>
  <si>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</si>
  <si>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</si>
  <si>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</si>
  <si>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</si>
  <si>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</si>
  <si>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</si>
  <si>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</si>
  <si>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</si>
  <si>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</si>
  <si>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</si>
  <si>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</si>
  <si>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</si>
  <si>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</si>
  <si>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</si>
  <si>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</si>
  <si>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</si>
  <si>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</si>
  <si>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</si>
  <si>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</si>
  <si>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</si>
  <si>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</si>
  <si>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</si>
  <si>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</si>
  <si>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</si>
  <si>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</si>
  <si>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</si>
  <si>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</si>
  <si>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</si>
  <si>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</si>
  <si>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</si>
  <si>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</si>
  <si>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</si>
  <si>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</si>
  <si>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</si>
  <si>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</si>
  <si>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</si>
  <si>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</si>
  <si>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</si>
  <si>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</si>
  <si>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</si>
  <si>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</si>
  <si>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</si>
  <si>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</si>
  <si>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</si>
  <si>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</si>
  <si>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</si>
  <si>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</si>
  <si>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</si>
  <si>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</si>
  <si>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</si>
  <si>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</si>
  <si>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</si>
  <si>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</si>
  <si>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</si>
  <si>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</si>
  <si>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</si>
  <si>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</si>
  <si>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</si>
  <si>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</si>
  <si>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</si>
  <si>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</si>
  <si>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</si>
  <si>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</si>
  <si>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</si>
  <si>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</si>
  <si>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</si>
  <si>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</si>
  <si>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</si>
  <si>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</si>
  <si>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</si>
  <si>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</si>
  <si>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</si>
  <si>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</si>
  <si>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</si>
  <si>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</si>
  <si>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</si>
  <si>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</si>
  <si>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</si>
  <si>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</si>
  <si>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</si>
  <si>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</si>
  <si>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</si>
  <si>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</si>
  <si>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</si>
  <si>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</si>
  <si>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</si>
  <si>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</si>
  <si>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</si>
  <si>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</si>
  <si>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</si>
  <si>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</si>
  <si>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</si>
  <si>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</si>
  <si>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</si>
  <si>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</si>
  <si>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</si>
  <si>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</si>
  <si>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</si>
  <si>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</si>
  <si>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</si>
  <si>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</si>
  <si>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</si>
  <si>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</si>
  <si>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</si>
  <si>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</si>
  <si>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</si>
  <si>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</si>
  <si>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</si>
  <si>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</si>
  <si>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</si>
  <si>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</si>
  <si>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</si>
  <si>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</si>
  <si>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</si>
  <si>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</si>
  <si>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</si>
  <si>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</si>
  <si>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</si>
  <si>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</si>
  <si>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</si>
  <si>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</si>
  <si>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</si>
  <si>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</si>
  <si>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</si>
  <si>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</si>
  <si>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</si>
  <si>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</si>
  <si>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</si>
  <si>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</si>
  <si>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</si>
  <si>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</si>
  <si>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</si>
  <si>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</si>
  <si>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</si>
  <si>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</si>
  <si>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</si>
  <si>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</si>
  <si>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</si>
  <si>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</si>
  <si>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</si>
  <si>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</si>
  <si>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</si>
  <si>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</si>
  <si>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</si>
  <si>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</si>
  <si>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</si>
  <si>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</si>
  <si>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</si>
  <si>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</si>
  <si>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</si>
  <si>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</si>
  <si>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</si>
  <si>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</si>
  <si>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</si>
  <si>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</si>
  <si>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</si>
  <si>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</si>
  <si>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</si>
  <si>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</si>
  <si>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</si>
  <si>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</si>
  <si>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</si>
  <si>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</si>
  <si>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</si>
  <si>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</si>
  <si>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</si>
  <si>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</si>
  <si>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</si>
  <si>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</si>
  <si>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</si>
  <si>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</si>
  <si>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</si>
  <si>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</si>
  <si>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</si>
  <si>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</si>
  <si>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</si>
  <si>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</si>
  <si>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</si>
  <si>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</si>
  <si>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</si>
  <si>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</si>
  <si>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</si>
  <si>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</si>
  <si>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</si>
  <si>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</si>
  <si>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</si>
  <si>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</si>
  <si>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</si>
  <si>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</si>
  <si>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</si>
  <si>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</si>
  <si>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</si>
  <si>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</si>
  <si>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</si>
  <si>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</si>
  <si>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</si>
  <si>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</si>
  <si>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</si>
  <si>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</si>
  <si>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</si>
  <si>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</si>
  <si>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</si>
  <si>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</si>
  <si>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</si>
  <si>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</si>
  <si>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</si>
  <si>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</si>
  <si>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</si>
  <si>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</si>
  <si>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</si>
  <si>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</si>
  <si>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</si>
  <si>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</si>
  <si>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</si>
  <si>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</si>
  <si>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</si>
  <si>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</si>
  <si>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</si>
  <si>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</si>
  <si>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</si>
  <si>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</si>
  <si>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</si>
  <si>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</si>
  <si>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</si>
  <si>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</si>
  <si>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</si>
  <si>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</si>
  <si>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</si>
  <si>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</si>
  <si>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</si>
  <si>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</si>
  <si>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</si>
  <si>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</si>
  <si>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</si>
  <si>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</si>
  <si>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</si>
  <si>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</si>
  <si>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</si>
  <si>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</si>
  <si>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</si>
  <si>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</si>
  <si>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</si>
  <si>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</si>
  <si>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</si>
  <si>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</si>
  <si>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</si>
  <si>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</si>
  <si>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</si>
  <si>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</si>
  <si>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</si>
  <si>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</si>
  <si>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</si>
  <si>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</si>
  <si>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</si>
  <si>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</si>
  <si>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</si>
  <si>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</si>
  <si>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</si>
  <si>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</si>
  <si>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</si>
  <si>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</si>
  <si>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</si>
  <si>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</si>
  <si>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</si>
  <si>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</si>
  <si>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</si>
  <si>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</si>
  <si>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</si>
  <si>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</si>
  <si>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</si>
  <si>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</si>
  <si>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</si>
  <si>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</si>
  <si>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</si>
  <si>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</si>
  <si>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</si>
  <si>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</si>
  <si>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</si>
  <si>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</si>
  <si>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</si>
  <si>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</si>
  <si>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</si>
  <si>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</si>
  <si>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</si>
  <si>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</si>
  <si>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</si>
  <si>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</si>
  <si>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</si>
  <si>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</si>
  <si>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</si>
  <si>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</si>
  <si>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</si>
  <si>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</si>
  <si>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</si>
  <si>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</si>
  <si>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</si>
  <si>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</si>
  <si>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</si>
  <si>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</si>
  <si>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</si>
  <si>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</si>
  <si>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</si>
  <si>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</si>
  <si>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</si>
  <si>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</si>
  <si>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</si>
  <si>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</si>
  <si>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</si>
  <si>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</si>
  <si>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</si>
  <si>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</si>
  <si>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</si>
  <si>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</si>
  <si>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</si>
  <si>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</si>
  <si>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</si>
  <si>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</si>
  <si>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</si>
  <si>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</si>
  <si>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</si>
  <si>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</si>
  <si>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</si>
  <si>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</si>
  <si>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</si>
  <si>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</si>
  <si>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</si>
  <si>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</si>
  <si>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</si>
  <si>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</si>
  <si>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</si>
  <si>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</si>
  <si>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</si>
  <si>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</si>
  <si>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</si>
  <si>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</si>
  <si>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</si>
  <si>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</si>
  <si>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</si>
  <si>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</si>
  <si>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</si>
  <si>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</si>
  <si>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</si>
  <si>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</si>
  <si>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</si>
  <si>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</si>
  <si>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</si>
  <si>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</si>
  <si>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</si>
  <si>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</si>
  <si>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</si>
  <si>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</si>
  <si>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</si>
  <si>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</si>
  <si>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</si>
  <si>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</si>
  <si>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</si>
  <si>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</si>
  <si>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</si>
  <si>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</si>
  <si>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</si>
  <si>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</si>
  <si>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</si>
  <si>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</si>
  <si>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</si>
  <si>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</si>
  <si>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</si>
  <si>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</si>
  <si>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</si>
  <si>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</si>
  <si>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</si>
  <si>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</si>
  <si>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</si>
  <si>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</si>
  <si>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</si>
  <si>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</si>
  <si>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</si>
  <si>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</si>
  <si>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</si>
  <si>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</si>
  <si>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</si>
  <si>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</si>
  <si>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</si>
  <si>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</si>
  <si>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</si>
  <si>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</si>
  <si>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</si>
  <si>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</si>
  <si>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</si>
  <si>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</si>
  <si>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</si>
  <si>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</si>
  <si>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</si>
  <si>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</si>
  <si>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</si>
  <si>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</si>
  <si>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</si>
  <si>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</si>
  <si>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</si>
  <si>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</si>
  <si>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</si>
  <si>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</si>
  <si>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</si>
  <si>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</si>
  <si>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</si>
  <si>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</si>
  <si>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</si>
  <si>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</si>
  <si>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</si>
  <si>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</si>
  <si>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</si>
  <si>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</si>
  <si>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</si>
  <si>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</si>
  <si>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</si>
  <si>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</si>
  <si>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</si>
  <si>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</si>
  <si>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</si>
  <si>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</si>
  <si>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</si>
  <si>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</si>
  <si>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</si>
  <si>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</si>
  <si>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</si>
  <si>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</si>
  <si>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</si>
  <si>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</si>
  <si>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</si>
  <si>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</si>
  <si>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</si>
  <si>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</si>
  <si>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</si>
  <si>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</si>
  <si>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</si>
  <si>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</si>
  <si>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</si>
  <si>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</si>
  <si>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</si>
  <si>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</si>
  <si>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</si>
  <si>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</si>
  <si>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</si>
  <si>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</si>
  <si>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</si>
  <si>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</si>
  <si>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</si>
  <si>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</si>
  <si>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</si>
  <si>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</si>
  <si>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</si>
  <si>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</si>
  <si>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</si>
  <si>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</si>
  <si>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</si>
  <si>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</si>
  <si>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</si>
  <si>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</si>
  <si>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</si>
  <si>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</si>
  <si>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</si>
  <si>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</si>
  <si>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</si>
  <si>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</si>
  <si>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</si>
  <si>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</si>
  <si>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</si>
  <si>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</si>
  <si>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</si>
  <si>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</si>
  <si>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</si>
  <si>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</si>
  <si>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</si>
  <si>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</si>
  <si>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</si>
  <si>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</si>
  <si>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</si>
  <si>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</si>
  <si>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</si>
  <si>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</si>
  <si>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</si>
  <si>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</si>
  <si>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</si>
  <si>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</si>
  <si>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</si>
  <si>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</si>
  <si>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</si>
  <si>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</si>
  <si>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</si>
  <si>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</si>
  <si>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</si>
  <si>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</si>
  <si>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</si>
  <si>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</si>
  <si>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</si>
  <si>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</si>
  <si>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</si>
  <si>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</si>
  <si>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</si>
  <si>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</si>
  <si>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</si>
  <si>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</si>
  <si>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</si>
  <si>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</si>
  <si>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</si>
  <si>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</si>
  <si>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</si>
  <si>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</si>
  <si>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</si>
  <si>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</si>
  <si>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</si>
  <si>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</si>
  <si>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</si>
  <si>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</si>
  <si>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</si>
  <si>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</si>
  <si>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</si>
  <si>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</si>
  <si>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</si>
  <si>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</si>
  <si>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</si>
  <si>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</si>
  <si>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</si>
  <si>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</si>
  <si>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</si>
  <si>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</si>
  <si>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</si>
  <si>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</si>
  <si>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</si>
  <si>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</si>
  <si>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</si>
  <si>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</si>
  <si>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</si>
  <si>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</si>
  <si>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</si>
  <si>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</si>
  <si>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</si>
  <si>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</si>
  <si>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</si>
  <si>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</si>
  <si>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</si>
  <si>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</si>
  <si>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</si>
  <si>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</si>
  <si>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</si>
  <si>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</si>
  <si>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</si>
  <si>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</si>
  <si>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</si>
  <si>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</si>
  <si>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</si>
  <si>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</si>
  <si>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</si>
  <si>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</si>
  <si>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</si>
  <si>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</si>
  <si>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</si>
  <si>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</si>
  <si>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</si>
  <si>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</si>
  <si>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</si>
  <si>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</si>
  <si>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</si>
  <si>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</si>
  <si>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</si>
  <si>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</si>
  <si>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</si>
  <si>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</si>
  <si>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</si>
  <si>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</si>
  <si>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</si>
  <si>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</si>
  <si>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</si>
  <si>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</si>
  <si>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</si>
  <si>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</si>
  <si>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</si>
  <si>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</si>
  <si>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</si>
  <si>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</si>
  <si>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</si>
  <si>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</si>
  <si>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</si>
  <si>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</si>
  <si>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</si>
  <si>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</si>
  <si>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</si>
  <si>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</si>
  <si>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</si>
  <si>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</si>
  <si>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</si>
  <si>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</si>
  <si>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</si>
  <si>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</si>
  <si>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</si>
  <si>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</si>
  <si>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</si>
  <si>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</si>
  <si>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</si>
  <si>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</si>
  <si>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</si>
  <si>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</si>
  <si>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</si>
  <si>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</si>
  <si>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</si>
  <si>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</si>
  <si>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</si>
  <si>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</si>
  <si>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</si>
  <si>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</si>
  <si>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</si>
  <si>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</si>
  <si>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</si>
  <si>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</si>
  <si>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</si>
  <si>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</si>
  <si>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</si>
  <si>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</si>
  <si>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</si>
  <si>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</si>
  <si>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</si>
  <si>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</si>
  <si>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</si>
  <si>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</si>
  <si>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</si>
  <si>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</si>
  <si>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</si>
  <si>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</si>
  <si>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</si>
  <si>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</si>
  <si>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</si>
  <si>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</si>
  <si>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</si>
  <si>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</si>
  <si>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</si>
  <si>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</si>
  <si>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</si>
  <si>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</si>
  <si>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</si>
  <si>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</si>
  <si>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</si>
  <si>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</si>
  <si>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</si>
  <si>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</si>
  <si>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</si>
  <si>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</si>
  <si>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</si>
  <si>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</si>
  <si>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</si>
  <si>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</si>
  <si>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</si>
  <si>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</si>
  <si>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</si>
  <si>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</si>
  <si>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</si>
  <si>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</si>
  <si>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</si>
  <si>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</si>
  <si>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</si>
  <si>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</si>
  <si>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</si>
  <si>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</si>
  <si>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</si>
  <si>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</si>
  <si>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</si>
  <si>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</si>
  <si>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</si>
  <si>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</si>
  <si>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</si>
  <si>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</si>
  <si>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</si>
  <si>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</si>
  <si>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</si>
  <si>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</si>
  <si>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</si>
  <si>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</si>
  <si>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</si>
  <si>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</si>
  <si>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</si>
  <si>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</si>
  <si>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</si>
  <si>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</si>
  <si>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</si>
  <si>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</si>
  <si>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</si>
  <si>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</si>
  <si>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</si>
  <si>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</si>
  <si>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</si>
  <si>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</si>
  <si>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</si>
  <si>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</si>
  <si>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</si>
  <si>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</si>
  <si>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</si>
  <si>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</si>
  <si>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</si>
  <si>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</si>
  <si>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</si>
  <si>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</si>
  <si>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</si>
  <si>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</si>
  <si>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</si>
  <si>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</si>
  <si>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</si>
  <si>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</si>
  <si>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</si>
  <si>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</si>
  <si>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</si>
  <si>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</si>
  <si>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</si>
  <si>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</si>
  <si>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</si>
  <si>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</si>
  <si>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</si>
  <si>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</si>
  <si>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</si>
  <si>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</si>
  <si>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</si>
  <si>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</si>
  <si>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</si>
  <si>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</si>
  <si>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</si>
  <si>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</si>
  <si>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</si>
  <si>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</si>
  <si>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</si>
  <si>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</si>
  <si>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</si>
  <si>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</si>
  <si>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</si>
  <si>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</si>
  <si>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</si>
  <si>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</si>
  <si>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</si>
  <si>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</si>
  <si>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</si>
  <si>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</si>
  <si>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</si>
  <si>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</si>
  <si>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</si>
  <si>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</si>
  <si>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</si>
  <si>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</si>
  <si>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</si>
  <si>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</si>
  <si>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</si>
  <si>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</si>
  <si>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</si>
  <si>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</si>
  <si>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</si>
  <si>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</si>
  <si>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</si>
  <si>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</si>
  <si>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</si>
  <si>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</si>
  <si>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</si>
  <si>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</si>
  <si>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</si>
  <si>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</si>
  <si>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</si>
  <si>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</si>
  <si>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</si>
  <si>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</si>
  <si>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</si>
  <si>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</si>
  <si>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</si>
  <si>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</si>
  <si>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</si>
  <si>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</si>
  <si>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</si>
  <si>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</si>
  <si>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</si>
  <si>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</si>
  <si>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</si>
  <si>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</si>
  <si>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</si>
  <si>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</si>
  <si>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</si>
  <si>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</si>
  <si>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</si>
  <si>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</si>
  <si>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</si>
  <si>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</si>
  <si>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</si>
  <si>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</si>
  <si>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</si>
  <si>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</si>
  <si>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</si>
  <si>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</si>
  <si>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</si>
  <si>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</si>
  <si>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</si>
  <si>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</si>
  <si>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</si>
  <si>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</si>
  <si>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</si>
  <si>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</si>
  <si>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</si>
  <si>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</si>
  <si>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</si>
  <si>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</si>
  <si>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</si>
  <si>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</si>
  <si>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</si>
  <si>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</si>
  <si>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</si>
  <si>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</si>
  <si>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</si>
  <si>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</si>
  <si>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</si>
  <si>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</si>
  <si>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</si>
  <si>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</si>
  <si>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</si>
  <si>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</si>
  <si>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</si>
  <si>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</si>
  <si>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</si>
  <si>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</si>
  <si>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</si>
  <si>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</si>
  <si>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</si>
  <si>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</si>
  <si>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</si>
  <si>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</si>
  <si>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</si>
  <si>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</si>
  <si>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</si>
  <si>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</si>
  <si>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</si>
  <si>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</si>
  <si>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</si>
  <si>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</si>
  <si>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</si>
  <si>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</si>
  <si>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</si>
  <si>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</si>
  <si>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</si>
  <si>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</si>
  <si>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</si>
  <si>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</si>
  <si>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</si>
  <si>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</si>
  <si>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</si>
  <si>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</si>
  <si>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</si>
  <si>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</si>
  <si>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</si>
  <si>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„Absolwenci słabszych uczelni nie są gorsi od tych z lepszych (pracowitość, walka, chęć rozwoju)”</t>
  </si>
  <si>
    <t>„Kluczowe są efekty dla gospodarki”</t>
  </si>
  <si>
    <t>„Chyba jeszcze nie, może na zachodzie…?”</t>
  </si>
  <si>
    <t>ankieta</t>
  </si>
  <si>
    <t>„warto pytać, sprawdzać”</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</si>
  <si>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</si>
  <si>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</si>
  <si>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</si>
  <si>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</si>
  <si>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</si>
  <si>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</si>
  <si>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</si>
  <si>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</si>
  <si>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</si>
  <si>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</si>
  <si>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</si>
  <si>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</si>
  <si>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</si>
  <si>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</si>
  <si>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</si>
  <si>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</si>
  <si>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</si>
  <si>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</si>
  <si>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</si>
  <si>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</si>
  <si>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</si>
  <si>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</si>
  <si>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</si>
  <si>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</si>
  <si>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</si>
  <si>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</si>
  <si>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</si>
  <si>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</si>
  <si>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</si>
  <si>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</si>
  <si>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</si>
  <si>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</si>
  <si>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</si>
  <si>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</si>
  <si>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</si>
  <si>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</si>
  <si>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</si>
  <si>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</si>
  <si>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</si>
  <si>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</si>
  <si>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</si>
  <si>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</si>
  <si>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</si>
  <si>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</si>
  <si>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</si>
  <si>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</si>
  <si>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</si>
  <si>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</si>
  <si>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</si>
  <si>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</si>
  <si>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</si>
  <si>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</si>
  <si>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</si>
  <si>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</si>
  <si>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</si>
  <si>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</si>
  <si>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</si>
  <si>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</si>
  <si>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</si>
  <si>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</si>
  <si>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</si>
  <si>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</si>
  <si>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</si>
  <si>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</si>
  <si>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</si>
  <si>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</si>
  <si>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</si>
  <si>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</si>
  <si>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</si>
  <si>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</si>
  <si>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</si>
  <si>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</si>
  <si>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</si>
  <si>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</si>
  <si>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</si>
  <si>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</si>
  <si>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</si>
  <si>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</si>
  <si>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</si>
  <si>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</si>
  <si>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</si>
  <si>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</si>
  <si>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</si>
  <si>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</si>
  <si>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</si>
  <si>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</si>
  <si>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</si>
  <si>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</si>
  <si>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</si>
  <si>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</si>
  <si>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</si>
  <si>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</si>
  <si>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</si>
  <si>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</si>
  <si>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</si>
  <si>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</si>
  <si>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</si>
  <si>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</si>
  <si>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</si>
  <si>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</si>
  <si>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</si>
  <si>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</si>
  <si>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</si>
  <si>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</si>
  <si>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</si>
  <si>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</si>
  <si>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</si>
  <si>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</si>
  <si>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</si>
  <si>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</si>
  <si>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</si>
  <si>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</si>
  <si>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</si>
  <si>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</si>
  <si>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</si>
  <si>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</si>
  <si>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</si>
  <si>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</si>
  <si>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</si>
  <si>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</si>
  <si>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</si>
  <si>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</si>
  <si>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</si>
  <si>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</si>
  <si>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</si>
  <si>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</si>
  <si>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</si>
  <si>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</si>
  <si>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</si>
  <si>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</si>
  <si>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</si>
  <si>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</si>
  <si>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</si>
  <si>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</si>
  <si>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</si>
  <si>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</si>
  <si>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</si>
  <si>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</si>
  <si>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</si>
  <si>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</si>
  <si>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</si>
  <si>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</si>
  <si>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</si>
  <si>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</si>
  <si>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</si>
  <si>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</si>
  <si>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</si>
  <si>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</si>
  <si>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</si>
  <si>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</si>
  <si>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</si>
  <si>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</si>
  <si>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</si>
  <si>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</si>
  <si>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</si>
  <si>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</si>
  <si>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</si>
  <si>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</si>
  <si>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</si>
  <si>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</si>
  <si>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</si>
  <si>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</si>
  <si>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</si>
  <si>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</si>
  <si>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</si>
  <si>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</si>
  <si>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</si>
  <si>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</si>
  <si>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</si>
  <si>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</si>
  <si>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</si>
  <si>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</si>
  <si>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</si>
  <si>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</si>
  <si>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</si>
  <si>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</si>
  <si>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</si>
  <si>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</si>
  <si>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</si>
  <si>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</si>
  <si>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</si>
  <si>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</si>
  <si>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</si>
  <si>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</si>
  <si>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</si>
  <si>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</si>
  <si>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</si>
  <si>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</si>
  <si>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</si>
  <si>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</si>
  <si>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</si>
  <si>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</si>
  <si>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</si>
  <si>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</si>
  <si>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</si>
  <si>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</si>
  <si>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</si>
  <si>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</si>
  <si>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</si>
  <si>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</si>
  <si>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</si>
  <si>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</si>
  <si>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</si>
  <si>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Samodzielne uczenie się, wnioskowanie logiczne, umiejętności zawodowe</t>
  </si>
  <si>
    <t>Studenci, absolwenci</t>
  </si>
  <si>
    <t>Biznesowe Nowy Sącz, Warszawa, P Warsz.</t>
  </si>
  <si>
    <t>niekoniecznie</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</si>
  <si>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</si>
  <si>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</si>
  <si>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</si>
  <si>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</si>
  <si>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</si>
  <si>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</si>
  <si>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</si>
  <si>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</si>
  <si>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</si>
  <si>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</si>
  <si>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</si>
  <si>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</si>
  <si>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</si>
  <si>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</si>
  <si>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</si>
  <si>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</si>
  <si>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</si>
  <si>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</si>
  <si>
    <t>(A_R_P_U; 5; m; F; t/n)</t>
  </si>
  <si>
    <t>(A_R_W; 5; m; D; t/n)</t>
  </si>
  <si>
    <t>(A_R_W_U_WŁ; 5; m; F; t/n)</t>
  </si>
  <si>
    <t>(A; 2; m; D; t/t)</t>
  </si>
  <si>
    <t>(A_AD_W_U_WŁ; 5; m; E; t/n)</t>
  </si>
  <si>
    <t>(A_AD; 2; k; C; t/t)</t>
  </si>
  <si>
    <t>(A_W_P; 3; m; F; t/n)</t>
  </si>
  <si>
    <t>(A_AD; 3; m; E; t/n)</t>
  </si>
  <si>
    <t>(S_A; 2; m; F; t/t)</t>
  </si>
  <si>
    <t>(A_P; 3; k; E; t/n)</t>
  </si>
  <si>
    <t>(S_A; 2; m; C; t/n)</t>
  </si>
  <si>
    <t>(A; 3; m; F; n/n)</t>
  </si>
  <si>
    <t>(A_R_AD_W_P; 5; k; F; t/n)</t>
  </si>
  <si>
    <t>(A; 2; m; F; n/n)</t>
  </si>
  <si>
    <t>(A; 2; m; F; t/n)</t>
  </si>
  <si>
    <t>(A; 2; k; A; n/n)</t>
  </si>
  <si>
    <t>(A_R_W_U; 5; m; F; t/n)</t>
  </si>
  <si>
    <t>(A_P; 4; m; F; n/n)</t>
  </si>
  <si>
    <t>(A_W_P; 2; m; F; t/n)</t>
  </si>
  <si>
    <t>(A; 4; m; F; t/n)</t>
  </si>
  <si>
    <t>(A_R_U; 5; k; F; t/n)</t>
  </si>
  <si>
    <t>(A_WŁ; 4; m; E; t/n)</t>
  </si>
  <si>
    <t>(A_W; 3; m; F; t/n)</t>
  </si>
  <si>
    <t>(A_R_W_P; 5; m; E; t/t)</t>
  </si>
  <si>
    <t>(A_P; 2; m; D; t/t)</t>
  </si>
  <si>
    <t>(A_R_WŁ; 4; m; C; t/n)</t>
  </si>
  <si>
    <t>(A_U; 5; m; F; t/n)</t>
  </si>
  <si>
    <t>(A_R_P; 5; m; F; t/n)</t>
  </si>
  <si>
    <t>(A_W; 3; k; F; t/n)</t>
  </si>
  <si>
    <t>(A_W; 4; m; F; t/n)</t>
  </si>
  <si>
    <t>Techniczna</t>
  </si>
  <si>
    <t>Nietechniczna</t>
  </si>
  <si>
    <t>Czy uczelnia techniczna?</t>
  </si>
  <si>
    <t>Czy kierunek techniczny?</t>
  </si>
  <si>
    <t>Tech</t>
  </si>
  <si>
    <t>Opis metryczkowy</t>
  </si>
  <si>
    <t>Lp. wywiadu</t>
  </si>
  <si>
    <t>NTech</t>
  </si>
  <si>
    <t>(pusta)</t>
  </si>
  <si>
    <t>(A_R_P; 5; m; F; n/t)</t>
  </si>
  <si>
    <t>Pracodawcy</t>
  </si>
  <si>
    <t>Pracownicy</t>
  </si>
  <si>
    <t>Państwo</t>
  </si>
  <si>
    <t>Pracownicy (naukowi/wykładowcy)</t>
  </si>
  <si>
    <t>Rodzice</t>
  </si>
  <si>
    <t>Władze centralne / samorządowe ("państwo")</t>
  </si>
  <si>
    <t>Inne uczelnie / ośrodki badawcze</t>
  </si>
  <si>
    <t>Uczelnie</t>
  </si>
  <si>
    <t>Doktoranci i studenci</t>
  </si>
  <si>
    <t>Naród / Społeczeństwo</t>
  </si>
  <si>
    <t>Naród</t>
  </si>
  <si>
    <t>Wszyscy</t>
  </si>
  <si>
    <t>Pracodawcy / Przemysł / Biznes</t>
  </si>
  <si>
    <t>Rodzaj interesariusza</t>
  </si>
  <si>
    <t>Liczba wskazań</t>
  </si>
  <si>
    <t>Nagranie</t>
  </si>
  <si>
    <t>Kształcenie kadr;
Umiejętność rozwijania wiedzy, prowadzenie badań; umiejętność konfrontacji rezultatów;
GZ: Misja nastawiona na przygotowanie do zawodu;
Powinna być równowaga: potrzeby rynkowe – naukowość – kompetencje społeczne i organizacyjne;
Obecnie regulacje promują ukierunkowanie na badania naukowe</t>
  </si>
  <si>
    <t>(A_R_W; 6; m; F;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</si>
</sst>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7">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9" fontId="6" fillId="0" borderId="0" applyFont="0" applyFill="0" applyBorder="0" applyAlignment="0" applyProtection="0"/>
  </cellStyleXfs>
  <cellXfs count="67">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top" wrapText="1"/>
    </xf>
    <xf numFmtId="0" fontId="2" fillId="0" borderId="16" xfId="0" applyFont="1" applyBorder="1" applyAlignment="1">
      <alignment vertical="center"/>
    </xf>
    <xf numFmtId="0" fontId="0" fillId="0" borderId="0" xfId="0" applyAlignment="1">
      <alignment vertical="center"/>
    </xf>
    <xf numFmtId="0" fontId="2"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top" wrapText="1"/>
    </xf>
    <xf numFmtId="0" fontId="5" fillId="2" borderId="0" xfId="0" applyFont="1" applyFill="1"/>
  </cellXfs>
  <cellStyles count="3">
    <cellStyle name="Normalny" xfId="0" builtinId="0"/>
    <cellStyle name="Normalny 2" xfId="1" xr:uid="{B583D91A-72FD-4F8D-9274-2D4BD9705AA5}"/>
    <cellStyle name="Procentowy" xfId="2" builtinId="5"/>
  </cellStyles>
  <dxfs count="563">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10</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32</c:v>
                  </c:pt>
                  <c:pt idx="1">
                    <c:v>1</c:v>
                  </c:pt>
                  <c:pt idx="2">
                    <c:v>0</c:v>
                  </c:pt>
                </c:lvl>
              </c:multiLvlStrCache>
            </c:multiLvlStrRef>
          </c:cat>
          <c:val>
            <c:numRef>
              <c:f>Zestawienia_ilościowe!$C$120:$C$122</c:f>
              <c:numCache>
                <c:formatCode>0.00%</c:formatCode>
                <c:ptCount val="3"/>
                <c:pt idx="0">
                  <c:v>0.96969696969696972</c:v>
                </c:pt>
                <c:pt idx="1">
                  <c:v>3.0303030303030304E-2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8.3333333333333329E-2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14</c:v>
                </c:pt>
                <c:pt idx="10">
                  <c:v>0</c:v>
                </c:pt>
                <c:pt idx="11">
                  <c:v>0</c:v>
                </c:pt>
                <c:pt idx="12">
                  <c:v>0</c:v>
                </c:pt>
                <c:pt idx="13">
                  <c:v>1</c:v>
                </c:pt>
                <c:pt idx="14">
                  <c:v>1</c:v>
                </c:pt>
                <c:pt idx="15">
                  <c:v>0</c:v>
                </c:pt>
                <c:pt idx="16">
                  <c:v>0</c:v>
                </c:pt>
                <c:pt idx="17">
                  <c:v>0</c:v>
                </c:pt>
                <c:pt idx="18">
                  <c:v>1</c:v>
                </c:pt>
                <c:pt idx="19">
                  <c:v>10</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463">
      <pivotArea type="all" dataOnly="0" outline="0" fieldPosition="0"/>
    </format>
    <format dxfId="462">
      <pivotArea outline="0" collapsedLevelsAreSubtotals="1" fieldPosition="0"/>
    </format>
    <format dxfId="461">
      <pivotArea field="31" type="button" dataOnly="0" labelOnly="1" outline="0" axis="axisRow" fieldPosition="0"/>
    </format>
    <format dxfId="460">
      <pivotArea dataOnly="0" labelOnly="1" fieldPosition="0">
        <references count="1">
          <reference field="31" count="0"/>
        </references>
      </pivotArea>
    </format>
    <format dxfId="459">
      <pivotArea dataOnly="0" labelOnly="1" grandRow="1" outline="0" fieldPosition="0"/>
    </format>
    <format dxfId="45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469">
      <pivotArea type="all" dataOnly="0" outline="0" fieldPosition="0"/>
    </format>
    <format dxfId="468">
      <pivotArea outline="0" collapsedLevelsAreSubtotals="1" fieldPosition="0"/>
    </format>
    <format dxfId="467">
      <pivotArea field="144" type="button" dataOnly="0" labelOnly="1" outline="0" axis="axisRow" fieldPosition="0"/>
    </format>
    <format dxfId="466">
      <pivotArea dataOnly="0" labelOnly="1" fieldPosition="0">
        <references count="1">
          <reference field="144" count="0"/>
        </references>
      </pivotArea>
    </format>
    <format dxfId="465">
      <pivotArea dataOnly="0" labelOnly="1" grandRow="1" outline="0" fieldPosition="0"/>
    </format>
    <format dxfId="46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475">
      <pivotArea type="all" dataOnly="0" outline="0" fieldPosition="0"/>
    </format>
    <format dxfId="474">
      <pivotArea outline="0" collapsedLevelsAreSubtotals="1" fieldPosition="0"/>
    </format>
    <format dxfId="473">
      <pivotArea field="15" type="button" dataOnly="0" labelOnly="1" outline="0" axis="axisRow" fieldPosition="0"/>
    </format>
    <format dxfId="472">
      <pivotArea dataOnly="0" labelOnly="1" fieldPosition="0">
        <references count="1">
          <reference field="15" count="0"/>
        </references>
      </pivotArea>
    </format>
    <format dxfId="471">
      <pivotArea dataOnly="0" labelOnly="1" grandRow="1" outline="0" fieldPosition="0"/>
    </format>
    <format dxfId="47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481">
      <pivotArea type="all" dataOnly="0" outline="0" fieldPosition="0"/>
    </format>
    <format dxfId="480">
      <pivotArea outline="0" collapsedLevelsAreSubtotals="1" fieldPosition="0"/>
    </format>
    <format dxfId="479">
      <pivotArea field="49" type="button" dataOnly="0" labelOnly="1" outline="0" axis="axisRow" fieldPosition="0"/>
    </format>
    <format dxfId="478">
      <pivotArea dataOnly="0" labelOnly="1" fieldPosition="0">
        <references count="1">
          <reference field="49" count="0"/>
        </references>
      </pivotArea>
    </format>
    <format dxfId="477">
      <pivotArea dataOnly="0" labelOnly="1" grandRow="1" outline="0" fieldPosition="0"/>
    </format>
    <format dxfId="47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487">
      <pivotArea type="all" dataOnly="0" outline="0" fieldPosition="0"/>
    </format>
    <format dxfId="486">
      <pivotArea outline="0" collapsedLevelsAreSubtotals="1" fieldPosition="0"/>
    </format>
    <format dxfId="485">
      <pivotArea field="170" type="button" dataOnly="0" labelOnly="1" outline="0" axis="axisRow" fieldPosition="0"/>
    </format>
    <format dxfId="484">
      <pivotArea dataOnly="0" labelOnly="1" fieldPosition="0">
        <references count="1">
          <reference field="170" count="0"/>
        </references>
      </pivotArea>
    </format>
    <format dxfId="483">
      <pivotArea dataOnly="0" labelOnly="1" grandRow="1" outline="0" fieldPosition="0"/>
    </format>
    <format dxfId="48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493">
      <pivotArea type="all" dataOnly="0" outline="0" fieldPosition="0"/>
    </format>
    <format dxfId="492">
      <pivotArea outline="0" collapsedLevelsAreSubtotals="1" fieldPosition="0"/>
    </format>
    <format dxfId="491">
      <pivotArea field="95" type="button" dataOnly="0" labelOnly="1" outline="0" axis="axisRow" fieldPosition="0"/>
    </format>
    <format dxfId="490">
      <pivotArea dataOnly="0" labelOnly="1" fieldPosition="0">
        <references count="1">
          <reference field="95" count="0"/>
        </references>
      </pivotArea>
    </format>
    <format dxfId="489">
      <pivotArea dataOnly="0" labelOnly="1" grandRow="1" outline="0" fieldPosition="0"/>
    </format>
    <format dxfId="48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499">
      <pivotArea type="all" dataOnly="0" outline="0" fieldPosition="0"/>
    </format>
    <format dxfId="498">
      <pivotArea outline="0" collapsedLevelsAreSubtotals="1" fieldPosition="0"/>
    </format>
    <format dxfId="497">
      <pivotArea field="105" type="button" dataOnly="0" labelOnly="1" outline="0" axis="axisRow" fieldPosition="0"/>
    </format>
    <format dxfId="496">
      <pivotArea dataOnly="0" labelOnly="1" fieldPosition="0">
        <references count="1">
          <reference field="105" count="0"/>
        </references>
      </pivotArea>
    </format>
    <format dxfId="495">
      <pivotArea dataOnly="0" labelOnly="1" grandRow="1" outline="0" fieldPosition="0"/>
    </format>
    <format dxfId="49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504">
      <pivotArea type="all" dataOnly="0" outline="0" fieldPosition="0"/>
    </format>
    <format dxfId="503">
      <pivotArea outline="0" collapsedLevelsAreSubtotals="1" fieldPosition="0"/>
    </format>
    <format dxfId="502">
      <pivotArea field="49" type="button" dataOnly="0" labelOnly="1" outline="0" axis="axisRow" fieldPosition="0"/>
    </format>
    <format dxfId="501">
      <pivotArea dataOnly="0" labelOnly="1" grandRow="1" outline="0" fieldPosition="0"/>
    </format>
    <format dxfId="50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2"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510">
      <pivotArea type="all" dataOnly="0" outline="0" fieldPosition="0"/>
    </format>
    <format dxfId="509">
      <pivotArea outline="0" collapsedLevelsAreSubtotals="1" fieldPosition="0"/>
    </format>
    <format dxfId="508">
      <pivotArea field="115" type="button" dataOnly="0" labelOnly="1" outline="0" axis="axisRow" fieldPosition="0"/>
    </format>
    <format dxfId="507">
      <pivotArea dataOnly="0" labelOnly="1" fieldPosition="0">
        <references count="1">
          <reference field="115" count="0"/>
        </references>
      </pivotArea>
    </format>
    <format dxfId="506">
      <pivotArea dataOnly="0" labelOnly="1" grandRow="1" outline="0" fieldPosition="0"/>
    </format>
    <format dxfId="50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3"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IA36" totalsRowCount="1">
  <autoFilter ref="A2:IA35" xr:uid="{BC01C17C-E729-4430-9A94-BDF77386BAED}"/>
  <sortState xmlns:xlrd2="http://schemas.microsoft.com/office/spreadsheetml/2017/richdata2" ref="A3:IA33">
    <sortCondition ref="G2:G33"/>
  </sortState>
  <tableColumns count="235">
    <tableColumn id="1" xr3:uid="{37199E79-F22A-49C0-B1C3-8001D68B6905}" name="Lp. wywiadu" dataDxfId="562"/>
    <tableColumn id="214" xr3:uid="{15F16F1A-B79B-4E98-AC9F-5DC850A3D9F6}" name="ID_zakończone" dataDxfId="561">
      <calculatedColumnFormula>_xlfn.IFNA(VLOOKUP(AnalizaCzyste[[#This Row],[Zakończono wypełnianie]],Zakończone[],2,0),"BRAK")</calculatedColumnFormula>
    </tableColumn>
    <tableColumn id="213" xr3:uid="{D0D33D71-A9E4-4CAC-BFB1-A490F680AF4A}" name="ILE niepustych" dataDxfId="560">
      <calculatedColumnFormula>COUNTA(AI3:IA3)</calculatedColumnFormula>
    </tableColumn>
    <tableColumn id="9" xr3:uid="{B8DCE562-4599-46A0-98D0-29A2F2B1980B}" name="Rozpoczęto wypełnianie" dataDxfId="559"/>
    <tableColumn id="10" xr3:uid="{E2617982-2AA5-46BF-BF8D-CCC1DC921D1A}" name="Zakończono wypełnianie" dataDxfId="558"/>
    <tableColumn id="11" xr3:uid="{5C243F5F-5B7A-4FD5-94E5-052DFE39FA5B}" name="Czas trwania (s)" dataDxfId="557"/>
    <tableColumn id="218" xr3:uid="{AA8B8567-C52B-4727-A725-D1B2249E52E9}" name="Wywiad (tak)" dataDxfId="556"/>
    <tableColumn id="3" xr3:uid="{D158FB31-EDCB-417F-BABD-A3B2B9EE0829}" name="Nagranie" dataDxfId="555"/>
    <tableColumn id="219" xr3:uid="{F8693F28-3C62-40E9-9FD6-468716B62CBC}" name="Osoba" dataDxfId="554"/>
    <tableColumn id="5" xr3:uid="{E0F3AAFA-D2F4-47FA-AB10-146B31AE1539}" name="Opis metryczkowy" dataDxfId="553">
      <calculatedColumnFormula>"("&amp;"ID:"&amp;AnalizaCzyste[[#This Row],[Lp. wywiadu]]&amp;"; "&amp;AnalizaCzyste[[#This Row],[Czy kierunek techniczny?]]&amp;"; "&amp;MID(AnalizaCzyste[[#This Row],[Info metryczkowe]],2,40)</calculatedColumnFormula>
    </tableColumn>
    <tableColumn id="232" xr3:uid="{B7E402BE-354E-4309-95B7-523788D81571}" name="11. Kategorie jakości (wymienić w odniesieniu do uczelni)" dataDxfId="552"/>
    <tableColumn id="231" xr3:uid="{D67E567F-38E0-4A74-BCAD-EFDB07D402F4}" name="10. SSI dla doskonalenia SZJ?" dataDxfId="551"/>
    <tableColumn id="224" xr3:uid="{54237CB1-FE91-4A4B-A669-52F09EE4BAD9}" name="9. SSI do podnoszenia jakości?" dataDxfId="550"/>
    <tableColumn id="229" xr3:uid="{1BDEECD3-C999-44DF-B7DB-8EBA6D79D65D}" name="8. Czy pomiar satysfakcji interesariuszy może dawać istotne informacje do podnoszenia jakości?" dataDxfId="549"/>
    <tableColumn id="228" xr3:uid="{D81785BC-7280-4F7D-9034-A822247B4942}" name="7. Ocena uczelni (ankieta)" dataDxfId="548"/>
    <tableColumn id="227" xr3:uid="{643812DD-97E7-4A22-A24D-FF3EF5E4512D}" name="6. Czy pomiar zarobków absolwentów może być dobrą miarą jakości usług uczelni?" dataDxfId="547"/>
    <tableColumn id="226" xr3:uid="{D3FC4C00-7A93-4CA5-9BAB-71690EA4EA98}" name="5. Czy pomiar sukcesów absolwentów może być dobrą miarą jakości usług uczelni?" dataDxfId="546"/>
    <tableColumn id="225" xr3:uid="{91DADDE1-4B39-4C79-A4DE-035F52998A87}" name="4. Absolwenci, których uczelni są najwyżej cenieni?" dataDxfId="2"/>
    <tableColumn id="223" xr3:uid="{8ADB0362-752B-41BA-87DB-E7681855BC21}" name="3. Jak oceniasz różne uczelnie (najlepsze)" dataDxfId="0"/>
    <tableColumn id="222" xr3:uid="{38B78989-9A45-4CC8-B889-04B16E250054}" name="2. Jacy interesariusze są najistotniejsi dla uczelni?" dataDxfId="1" totalsRowDxfId="105"/>
    <tableColumn id="13" xr3:uid="{658ACBE6-9CC6-46D6-B256-212A1E82279E}" name="Studenci" totalsRowFunction="custom" dataDxfId="106" totalsRowDxfId="104">
      <totalsRowFormula>COUNTA(AnalizaCzyste[Studenci])</totalsRowFormula>
    </tableColumn>
    <tableColumn id="8" xr3:uid="{1B4F1CD7-2B95-4ED6-9469-AD061FCC0315}" name="Absolwenci" totalsRowFunction="custom" dataDxfId="545" totalsRowDxfId="103">
      <totalsRowFormula>COUNTA(AnalizaCzyste[Absolwenci])</totalsRowFormula>
    </tableColumn>
    <tableColumn id="12" xr3:uid="{75D2EDE8-8097-46AF-B9B8-6AE81EADF1AC}" name="Pracodawcy / Przemysł / Biznes" totalsRowFunction="custom" dataDxfId="544" totalsRowDxfId="102">
      <totalsRowFormula>COUNTA(AnalizaCzyste[Pracodawcy / Przemysł / Biznes])</totalsRowFormula>
    </tableColumn>
    <tableColumn id="217" xr3:uid="{FCECF68C-120C-4FBE-8FCD-F34BD96A55AA}" name="Władze centralne / samorządowe (&quot;państwo&quot;)" totalsRowFunction="custom" dataDxfId="543" totalsRowDxfId="101">
      <totalsRowFormula>COUNTA(AnalizaCzyste[Władze centralne / samorządowe ("państwo")])</totalsRowFormula>
    </tableColumn>
    <tableColumn id="230" xr3:uid="{C5A837E8-76EE-47B9-B6EE-9E6246D36E3C}" name="Pracownicy (naukowi/wykładowcy)" totalsRowFunction="custom" dataDxfId="542" totalsRowDxfId="100">
      <totalsRowFormula>COUNTA(AnalizaCzyste[Pracownicy (naukowi/wykładowcy)])</totalsRowFormula>
    </tableColumn>
    <tableColumn id="233" xr3:uid="{969CFDA6-B659-4F05-8CE2-0F92FCE3A1D6}" name="Rodzice" totalsRowFunction="custom" dataDxfId="541" totalsRowDxfId="99">
      <totalsRowFormula>COUNTA(AnalizaCzyste[Rodzice])</totalsRowFormula>
    </tableColumn>
    <tableColumn id="234" xr3:uid="{BB334540-C89D-4C8C-B841-E72E19587D2F}" name="Inne uczelnie / ośrodki badawcze" totalsRowFunction="custom" dataDxfId="540" totalsRowDxfId="98">
      <totalsRowFormula>COUNTA(AnalizaCzyste[Inne uczelnie / ośrodki badawcze])</totalsRowFormula>
    </tableColumn>
    <tableColumn id="235" xr3:uid="{37B3AF45-2AD3-4DCE-B93A-4C6B06B3499B}" name="Naród / Społeczeństwo" totalsRowFunction="custom" dataDxfId="539" totalsRowDxfId="97">
      <totalsRowFormula>COUNTA(AnalizaCzyste[Naród / Społeczeństwo])</totalsRowFormula>
    </tableColumn>
    <tableColumn id="221" xr3:uid="{092826CC-1CEB-40AF-8074-DB3C0404BBAA}" name="1. Co dla Ciebie jest najważniejszą wartością usług oferowanych przez uczelnie" dataDxfId="538"/>
    <tableColumn id="220" xr3:uid="{B4538D8A-99EF-4DEE-84DF-B77D242243C2}" name="Info metryczkowe" dataDxfId="537"/>
    <tableColumn id="4" xr3:uid="{AF080C10-5FC3-4979-BEC8-057E76DEB30E}" name="Czy kierunek techniczny?" dataDxfId="536"/>
    <tableColumn id="2" xr3:uid="{49E5D40A-5FA0-4983-9FBE-6FD61D93074A}" name="Czy uczelnia techniczna?" dataDxfId="535">
      <calculatedColumnFormula>VLOOKUP(AnalizaCzyste[[#This Row],[Jak się nazywa uczelnia którą ukończyłeś? (proszę o wybranie jednej uczelni podlegającej ocenie)]],KategorieUczelni[],3,0)</calculatedColumnFormula>
    </tableColumn>
    <tableColumn id="6" xr3:uid="{3078C14E-3846-4DFD-9430-6DD9C9BEA9BD}" name="Kolumna2" dataDxfId="534">
      <calculatedColumnFormula>MID(AnalizaCzyste[[#This Row],[Info metryczkowe]],2,40)</calculatedColumnFormula>
    </tableColumn>
    <tableColumn id="7" xr3:uid="{46829F8F-8F4B-4A44-8FD4-C5C7F3FF9E1A}" name="(pusta)" dataDxfId="533"/>
    <tableColumn id="14" xr3:uid="{A75D7BB0-BDD4-4F9E-BFE1-A35FFDAA2A35}" name="Czy jesteś studentem uczelni wyższej?" totalsRowFunction="custom" dataDxfId="532" totalsRowDxfId="96">
      <totalsRowFormula>COUNTA((AI3:AI35))</totalsRowFormula>
    </tableColumn>
    <tableColumn id="15" xr3:uid="{59EBE606-808E-4993-BA84-2428F0FB2A27}" name="Jak się nazywa uczelnia, na której studiujesz? (proszę o wybranie jednej uczelni podlegającej ocenie)" totalsRowFunction="custom" totalsRowDxfId="95">
      <totalsRowFormula>COUNTA((AJ3:AJ35))</totalsRowFormula>
    </tableColumn>
    <tableColumn id="16" xr3:uid="{B883EC52-B4D3-434E-8AFF-6334D1B8C483}" name="Czy studiujesz na kierunku technicznym, tzn. takim, po którym uzyskasz tytuł inżyniera?" totalsRowFunction="custom" totalsRowDxfId="94">
      <totalsRowFormula>COUNTA((AK3:AK35))</totalsRowFormula>
    </tableColumn>
    <tableColumn id="17" xr3:uid="{C6F68B54-181D-4E6B-90DE-3758AC28643F}" name="Jak się nazywa kierunek, na którym studiujesz?" totalsRowFunction="custom" totalsRowDxfId="93">
      <totalsRowFormula>COUNTA((AL3:AL35))</totalsRowFormula>
    </tableColumn>
    <tableColumn id="18" xr3:uid="{4009F8D5-0845-4794-BD7B-DEDD90E1035F}" name="Moja satysfakcja z usług edukacyjnych ocenianej uczelni jest wysoka." totalsRowFunction="custom" totalsRowDxfId="92">
      <totalsRowFormula>COUNTA((AM3:AM35))</totalsRowFormula>
    </tableColumn>
    <tableColumn id="19" xr3:uid="{9C33E588-FD6F-4756-A796-19608D8E5787}" name="Usługi edukacyjne ocenianej uczelni mają wysoką wartość (okazja / szansa rozwoju własnego lub kariery)." totalsRowFunction="custom" totalsRowDxfId="91">
      <totalsRowFormula>COUNTA((AN3:AN35))</totalsRowFormula>
    </tableColumn>
    <tableColumn id="20" xr3:uid="{AD29E10C-3B61-4AC3-9DB6-E5592E85F54D}" name="Kształcenie na ocenianej uczelni ma/będzie miało pozytywny wpływ na zwiększenie moich zarobków." totalsRowFunction="custom" totalsRowDxfId="90">
      <totalsRowFormula>COUNTA((AO3:AO35))</totalsRowFormula>
    </tableColumn>
    <tableColumn id="21" xr3:uid="{29A03634-DD01-47E7-9082-570B2CBA75AC}" name="Kolumna1" totalsRowFunction="custom" totalsRowDxfId="89">
      <totalsRowFormula>COUNTA((AP3:AP35))</totalsRowFormula>
    </tableColumn>
    <tableColumn id="22" xr3:uid="{E3063293-8C09-4AD3-970A-FC723899E602}" name="w pierwszym roku po ukończeniu studiów : wybierz wartość z listy rozwijanej" totalsRowFunction="custom" totalsRowDxfId="88">
      <totalsRowFormula>COUNTA((AQ3:AQ35))</totalsRowFormula>
    </tableColumn>
    <tableColumn id="23" xr3:uid="{62967F23-9856-4DFD-AADC-42AC36B2CDB1}" name="w 3 lata po ukończeniu studiów : wybierz wartość z listy rozwijanej" totalsRowFunction="custom" totalsRowDxfId="87">
      <totalsRowFormula>COUNTA((AR3:AR35))</totalsRowFormula>
    </tableColumn>
    <tableColumn id="24" xr3:uid="{574DBE71-FF3A-4DA1-A563-EECF8E03B030}" name="Jakich innych (poza zarobkami) efektów kształcenia na ocenianej uczelni się spodziewasz?" totalsRowFunction="custom" totalsRowDxfId="86">
      <totalsRowFormula>COUNTA((AS3:AS35))</totalsRowFormula>
    </tableColumn>
    <tableColumn id="25" xr3:uid="{70C7E301-ECA2-4DF8-B78C-6550E2B616A1}" name="Jakie elementy lub cechy sprawiały, że Tobie studiowało się dobrze?" totalsRowFunction="custom" totalsRowDxfId="85">
      <totalsRowFormula>COUNTA((AT3:AT35))</totalsRowFormula>
    </tableColumn>
    <tableColumn id="26" xr3:uid="{86CB3A73-27F1-4FCF-B9E3-8D590DC2DB33}" name="Jakie elementy lub cechy sprawiały, że Tobie studiowało się źle?" totalsRowFunction="custom" totalsRowDxfId="84">
      <totalsRowFormula>COUNTA((AU3:AU35))</totalsRowFormula>
    </tableColumn>
    <tableColumn id="27" xr3:uid="{8DCB6BDF-C860-4D73-8953-D14EF0C8F0AA}" name="Jakiego rodzaju są Twoje studia?" totalsRowFunction="custom" totalsRowDxfId="83">
      <totalsRowFormula>COUNTA((AV3:AV35))</totalsRowFormula>
    </tableColumn>
    <tableColumn id="28" xr3:uid="{F292FE47-988D-4A95-932D-2E3B34B7BF0B}" name="Pole dodatkowe" totalsRowFunction="custom" totalsRowDxfId="82">
      <totalsRowFormula>COUNTA((AW3:AW35))</totalsRowFormula>
    </tableColumn>
    <tableColumn id="29" xr3:uid="{4225184D-873A-4CF3-B8D1-575C3D6A2435}" name="Na którym semestrze studiujesz obecnie?" totalsRowFunction="custom" totalsRowDxfId="81">
      <totalsRowFormula>COUNTA((AX3:AX35))</totalsRowFormula>
    </tableColumn>
    <tableColumn id="30" xr3:uid="{41979390-06F4-463C-ADB5-F98E8C311CBA}" name="Czy jesteś absolwentem uczelni wyższej?" totalsRowFunction="custom" dataDxfId="531" totalsRowDxfId="80">
      <totalsRowFormula>COUNTA((AY3:AY35))</totalsRowFormula>
    </tableColumn>
    <tableColumn id="31" xr3:uid="{BBF7434D-D66B-496B-B17B-27248613CC58}" name="Jak się nazywa uczelnia którą ukończyłeś? (proszę o wybranie jednej uczelni podlegającej ocenie)" totalsRowFunction="custom" totalsRowDxfId="79">
      <totalsRowFormula>COUNTA((AZ3:AZ35))</totalsRowFormula>
    </tableColumn>
    <tableColumn id="216" xr3:uid="{72DEEBC7-088A-46A4-9999-AE96ED74030A}" name="KategoriaUczelni" dataDxfId="530" totalsRowDxfId="78">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7">
      <totalsRowFormula>COUNTA((BB3:BB35))</totalsRowFormula>
    </tableColumn>
    <tableColumn id="33" xr3:uid="{AE05B081-E180-4E09-9192-4F27CE79F7EB}" name="Czy ukończony kierunek był kierunkiem technicznym, tzn. takim, po którym uzyskałaś/eś tytuł inżyniera?" totalsRowFunction="custom" totalsRowDxfId="76">
      <totalsRowFormula>COUNTA((BC3:BC35))</totalsRowFormula>
    </tableColumn>
    <tableColumn id="34" xr3:uid="{B85DD2EE-D5F2-46D3-9E33-DA992576E185}" name="Jak się nazywa kierunek, który ukończyłaś/eś?" totalsRowFunction="custom" totalsRowDxfId="75">
      <totalsRowFormula>COUNTA((BD3:BD35))</totalsRowFormula>
    </tableColumn>
    <tableColumn id="35" xr3:uid="{4CC44F8F-616F-4095-99F6-60AF14EEC568}" name="Moja satysfakcja z (efektów) usług edukacyjnych ocenianej uczelni jest wysoka." totalsRowFunction="custom" totalsRowDxfId="74">
      <totalsRowFormula>COUNTA((BE3:BE35))</totalsRowFormula>
    </tableColumn>
    <tableColumn id="36" xr3:uid="{1C6D88CF-332B-4752-A729-93BFDD454B5A}" name="Usługi edukacyjne ocenianej uczelni mają wysoką wartość (okazja / szansa rozwoju własnego lub kariery).3" totalsRowFunction="custom" totalsRowDxfId="73">
      <totalsRowFormula>COUNTA((BF3:BF35))</totalsRowFormula>
    </tableColumn>
    <tableColumn id="37" xr3:uid="{44EB38FB-B9C9-46B4-B0FB-9985D53C385D}" name="Kształcenie na ocenianej uczelni ma/miało pozytywny wpływ na zwiększenie moich zarobków." totalsRowFunction="custom" totalsRowDxfId="72">
      <totalsRowFormula>COUNTA((BG3:BG35))</totalsRowFormula>
    </tableColumn>
    <tableColumn id="38" xr3:uid="{34BE9A51-E55F-4AE8-87A0-FBEC63D51E8F}" name="Moje zarobki w pierwszym roku po ukończeniu studiów były satysfakcjonujące." totalsRowFunction="custom" totalsRowDxfId="71">
      <totalsRowFormula>COUNTA((BH3:BH35))</totalsRowFormula>
    </tableColumn>
    <tableColumn id="39" xr3:uid="{4033761C-CB95-4451-B0C4-2ABCB2769F7E}" name="Moje zarobki po 3. latach po ukończeniu studiów były satysfakcjonujące." totalsRowFunction="custom" totalsRowDxfId="70">
      <totalsRowFormula>COUNTA((BI3:BI35))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9">
      <totalsRowFormula>COUNTA((BJ3:BJ35))</totalsRowFormula>
    </tableColumn>
    <tableColumn id="41" xr3:uid="{25DB6FAA-8A3B-408B-9262-5EDE22E06BA2}" name="w pierwszym roku po ukończeniu studiów : wybierz wartość z listy rozwijanej4" totalsRowFunction="custom" totalsRowDxfId="68">
      <totalsRowFormula>COUNTA((BK3:BK35))</totalsRowFormula>
    </tableColumn>
    <tableColumn id="42" xr3:uid="{2B38DFDD-3D06-4B52-B1DB-7F8144FEDBDB}" name="w 3 lata po ukończeniu studiów : wybierz wartość z listy rozwijanej5" totalsRowFunction="custom" totalsRowDxfId="67">
      <totalsRowFormula>COUNTA((BL3:BL35))</totalsRowFormula>
    </tableColumn>
    <tableColumn id="43" xr3:uid="{FBBBF8D2-7A99-41FF-B15C-4A2191C9D8D9}" name="Jakie inne (poza zarobkami) efekty kształcenia na ocenianej uczelni dostrzegasz obecnie?" totalsRowFunction="custom" totalsRowDxfId="66">
      <totalsRowFormula>COUNTA((BM3:BM35))</totalsRowFormula>
    </tableColumn>
    <tableColumn id="44" xr3:uid="{6B48263B-8F26-4FBA-9F9A-424993C5E3ED}" name="Co wpływało na twoją satysfakcję ze studiowania?_x000a_" totalsRowFunction="custom" totalsRowDxfId="65">
      <totalsRowFormula>COUNTA((BN3:BN35))</totalsRowFormula>
    </tableColumn>
    <tableColumn id="45" xr3:uid="{52ED1FC9-CD2D-42A5-B204-567F0483F099}" name="Kolumna6" totalsRowFunction="custom" totalsRowDxfId="64">
      <totalsRowFormula>COUNTA((BO3:BO35))</totalsRowFormula>
    </tableColumn>
    <tableColumn id="46" xr3:uid="{3D74590B-7E93-443E-BE1C-FD99ECE16017}" name="Jakiego rodzaju były Twoje studia?" totalsRowFunction="custom" totalsRowDxfId="63">
      <totalsRowFormula>COUNTA((BP3:BP35))</totalsRowFormula>
    </tableColumn>
    <tableColumn id="47" xr3:uid="{E8CA34F5-D9E4-418D-8BF9-050444C4061E}" name="Pole dodatkowe7" totalsRowFunction="custom" totalsRowDxfId="62">
      <totalsRowFormula>COUNTA((BQ3:BQ35))</totalsRowFormula>
    </tableColumn>
    <tableColumn id="48" xr3:uid="{A48EA897-6002-486C-94A2-3071DE7EB5AD}" name="Czy jesteś rodzicem / opiekunem absolwenta uczelni wyższej?" totalsRowFunction="custom" dataDxfId="529" totalsRowDxfId="61">
      <totalsRowFormula>COUNTA((BR3:BR35))</totalsRowFormula>
    </tableColumn>
    <tableColumn id="49" xr3:uid="{FEE5A281-6D4B-4D31-93CD-509A968E7773}" name="Uczelnie ilu podopiecznych będziesz oceniać?" totalsRowFunction="custom" totalsRowDxfId="60">
      <totalsRowFormula>COUNTA((BS3:BS35))</totalsRowFormula>
    </tableColumn>
    <tableColumn id="50" xr3:uid="{E5BA02DF-38AB-4F47-A962-51A6F161AE1D}" name="Jak się nazywa uczelnia, którą ukończył/a Twoja/Twój podopieczna/podopieczny? (proszę o wybranie jednej uczelni podlegającej ocenie)" totalsRowFunction="custom" totalsRowDxfId="59">
      <totalsRowFormula>COUNTA((BT3:BT35))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8">
      <totalsRowFormula>COUNTA((BU3:BU35))</totalsRowFormula>
    </tableColumn>
    <tableColumn id="52" xr3:uid="{2D5E47C8-051A-480B-B96D-83E7709F1700}" name="Czy ukończony kierunek był kierunkiem technicznym, tzn. takim, po którym uzyskano tytuł inżyniera?" totalsRowFunction="custom" totalsRowDxfId="57">
      <totalsRowFormula>COUNTA((BV3:BV35))</totalsRowFormula>
    </tableColumn>
    <tableColumn id="53" xr3:uid="{D51D9DD7-878A-415B-B2F8-02F53EBFA22A}" name="Jak się nazywa kierunek, który ukończył/a Twoja/Twój podopieczna/podopieczny?" totalsRowFunction="custom" totalsRowDxfId="56">
      <totalsRowFormula>COUNTA((BW3:BW35))</totalsRowFormula>
    </tableColumn>
    <tableColumn id="54" xr3:uid="{D3DB1C46-F931-4289-86D2-779EC4340002}" name="Moja satysfakcja z (efektów) usług edukacyjnych ocenianej uczelni jest wysoka.8" totalsRowFunction="custom" totalsRowDxfId="55">
      <totalsRowFormula>COUNTA((BX3:BX35))</totalsRowFormula>
    </tableColumn>
    <tableColumn id="55" xr3:uid="{FC532F03-86AD-4521-9C9D-42FA860A53FB}" name="Usługi edukacyjne ocenianej uczelni mają wysoką wartość (okazja / szansa rozwoju własnego lub kariery).9" totalsRowFunction="custom" totalsRowDxfId="54">
      <totalsRowFormula>COUNTA((BY3:BY35))</totalsRowFormula>
    </tableColumn>
    <tableColumn id="56" xr3:uid="{ADE01F9E-A39A-4B42-8796-82BBD1C5DB09}" name="Kształcenie na ocenianej uczelni ma/będzie miało pozytywny wpływ na zwiększenie zarobków mojej/mojego podopiecznej/podopiecznego." totalsRowFunction="custom" totalsRowDxfId="53">
      <totalsRowFormula>COUNTA((BZ3:BZ35))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52">
      <totalsRowFormula>COUNTA((CA3:CA35))</totalsRowFormula>
    </tableColumn>
    <tableColumn id="58" xr3:uid="{D6856550-859E-4C25-987B-935AD584E7BC}" name="Zarobki uzyskiwane przez mojego/moją podopieczną/podopiecznego w 3 lata po ukończeniu studiów były satysfakcjonujące (z mojego punktu widzenia)" totalsRowFunction="custom" totalsRowDxfId="51">
      <totalsRowFormula>COUNTA((CB3:CB35))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50">
      <totalsRowFormula>COUNTA((CC3:CC35))</totalsRowFormula>
    </tableColumn>
    <tableColumn id="60" xr3:uid="{847514F8-F661-4B2D-88BE-10ABFD806894}" name="Jakie inne (poza zarobkami) efekty kształcenia na ocenianej uczelni się dostrzegasz obecnie?" totalsRowFunction="custom" totalsRowDxfId="49">
      <totalsRowFormula>COUNTA((CD3:CD35))</totalsRowFormula>
    </tableColumn>
    <tableColumn id="61" xr3:uid="{8B4485AE-C106-41C7-89AC-D28DBDA4C166}" name="Jakiego rodzaju były studia, które ukończył/a Twoja/Twój podopieczna/podopieczny?" totalsRowFunction="custom" totalsRowDxfId="48">
      <totalsRowFormula>COUNTA((CE3:CE35))</totalsRowFormula>
    </tableColumn>
    <tableColumn id="62" xr3:uid="{F0DE0B1C-928B-4581-8D63-11188CD95233}" name="Pole dodatkowe10" totalsRowFunction="custom" totalsRowDxfId="47">
      <totalsRowFormula>COUNTA((CF3:CF35))</totalsRowFormula>
    </tableColumn>
    <tableColumn id="63" xr3:uid="{8E46F3BC-7F63-49DA-A043-B5C618E92A15}" name="Jeśli Twoja/Twój podopieczna/podopieczny ukończył/a również inne szkoły / kierunki studiów to proszę wpisz je tutaj." totalsRowFunction="custom" totalsRowDxfId="46">
      <totalsRowFormula>COUNTA((CG3:CG35))</totalsRowFormula>
    </tableColumn>
    <tableColumn id="64" xr3:uid="{08619068-F1EA-4298-AAE7-77A34A620074}" name="Czy będziesz oceniał uczelnię ukończoną przez drugiego podopiecznego?" totalsRowFunction="custom" totalsRowDxfId="45">
      <totalsRowFormula>COUNTA((CH3:CH35))</totalsRowFormula>
    </tableColumn>
    <tableColumn id="65" xr3:uid="{DABFBBCE-1FAE-47A8-9F22-7E5D764A0D51}" name="Jak się nazywa uczelnia, którą ukończył/a Twoja/Twój podopieczna/podopieczny? (proszę o wybranie jednej uczelni podlegającej ocenie)11" totalsRowFunction="custom" totalsRowDxfId="44">
      <totalsRowFormula>COUNTA((CI3:CI35))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3">
      <totalsRowFormula>COUNTA((CJ3:CJ35))</totalsRowFormula>
    </tableColumn>
    <tableColumn id="67" xr3:uid="{1C6ADC27-9F30-4227-81CE-3C15A0D6C10C}" name="Czy ukończony kierunek był kierunkiem technicznym, tzn. takim, po którym uzyskano tytuł inżyniera?13" totalsRowFunction="custom" totalsRowDxfId="42">
      <totalsRowFormula>COUNTA((CK3:CK35))</totalsRowFormula>
    </tableColumn>
    <tableColumn id="68" xr3:uid="{94C8B518-4547-40DD-AC32-B5C834F0511E}" name="Jak się nazywa kierunek, który ukończył/a Twoja/Twój podopieczna/podopieczny?14" totalsRowFunction="custom" totalsRowDxfId="41">
      <totalsRowFormula>COUNTA((CL3:CL35))</totalsRowFormula>
    </tableColumn>
    <tableColumn id="69" xr3:uid="{00BE12AC-CBE0-47D5-8BEF-A62C47DFED23}" name="Moja satysfakcja z (efektów) usług edukacyjnych ocenianej uczelni jest wysoka.15" totalsRowFunction="custom" totalsRowDxfId="40">
      <totalsRowFormula>COUNTA((CM3:CM35))</totalsRowFormula>
    </tableColumn>
    <tableColumn id="70" xr3:uid="{D1A7746F-F4B7-4351-BB70-448903B08063}" name="Usługi edukacyjne ocenianej uczelni mają wysoką wartość (okazja / szansa rozwoju własnego lub kariery).16" totalsRowFunction="custom" totalsRowDxfId="39">
      <totalsRowFormula>COUNTA((CN3:CN35))</totalsRowFormula>
    </tableColumn>
    <tableColumn id="71" xr3:uid="{6112D901-D11B-4C1B-B41D-9098A3465773}" name="Kształcenie na ocenianej uczelni ma/będzie miało pozytywny wpływ na zwiększenie zarobków mojej/mojego podopiecznej/podopiecznego.17" totalsRowFunction="custom" totalsRowDxfId="38">
      <totalsRowFormula>COUNTA((CO3:CO35))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7">
      <totalsRowFormula>COUNTA((CP3:CP35))</totalsRowFormula>
    </tableColumn>
    <tableColumn id="73" xr3:uid="{8082EBCE-9058-4F2B-90FE-A0801CAEF8D5}" name="Zarobki uzyskiwane przez mojego/moją podopieczną/podopiecznego w 3 lata po ukończeniu studiów były satysfakcjonujące (z mojego punktu widzenia)19" totalsRowFunction="custom" totalsRowDxfId="36">
      <totalsRowFormula>COUNTA((CQ3:CQ35))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5">
      <totalsRowFormula>COUNTA((CR3:CR35))</totalsRowFormula>
    </tableColumn>
    <tableColumn id="75" xr3:uid="{54EF7743-0CB2-446D-9665-46C77C464F05}" name="Jakie inne (poza zarobkami) efekty kształcenia na ocenianej uczelni się dostrzegasz obecnie?21" totalsRowFunction="custom" totalsRowDxfId="34">
      <totalsRowFormula>COUNTA((CS3:CS35))</totalsRowFormula>
    </tableColumn>
    <tableColumn id="76" xr3:uid="{BE93B27C-1906-4695-BEC1-231FA6883C68}" name="Jakiego rodzaju były studia, które ukończył/a Twoja/Twój podopieczna/podopieczny?22" totalsRowFunction="custom" totalsRowDxfId="33">
      <totalsRowFormula>COUNTA((CT3:CT35))</totalsRowFormula>
    </tableColumn>
    <tableColumn id="77" xr3:uid="{C2670D09-B14E-48CE-8D3B-FD4F08474C2E}" name="Pole dodatkowe23" totalsRowFunction="custom" totalsRowDxfId="32">
      <totalsRowFormula>COUNTA((CU3:CU35))</totalsRowFormula>
    </tableColumn>
    <tableColumn id="78" xr3:uid="{52CA9D8D-0AC4-426B-BA8B-D9983F77052C}" name="Jeśli Twoja/Twój podopieczna/podopieczny ukończył/a również inne szkoły / kierunki studiów to proszę wpisz je tutaj.24" totalsRowFunction="custom" totalsRowDxfId="31">
      <totalsRowFormula>COUNTA((CV3:CV35))</totalsRowFormula>
    </tableColumn>
    <tableColumn id="79" xr3:uid="{E97ECC9E-9FF4-4C29-9ADE-07B0EFB1798E}" name="Czy będziesz oceniał uczelnię ukończoną przez trzeciego podopiecznego?" totalsRowFunction="custom" totalsRowDxfId="30">
      <totalsRowFormula>COUNTA((CW3:CW35))</totalsRowFormula>
    </tableColumn>
    <tableColumn id="80" xr3:uid="{A33ABE47-EABE-4B85-B4E0-F0A4FFF2A996}" name="Jak się nazywa uczelnia, którą ukończył/a Twoja/Twój podopieczna/podopieczny? (proszę o wybranie jednej uczelni podlegającej ocenie)25" totalsRowFunction="custom" totalsRowDxfId="29">
      <totalsRowFormula>COUNTA((CX3:CX35))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8">
      <totalsRowFormula>COUNTA((CY3:CY35))</totalsRowFormula>
    </tableColumn>
    <tableColumn id="82" xr3:uid="{E402E02B-32F9-4918-AC52-1E2746EFF732}" name="Czy ukończony kierunek był kierunkiem technicznym, tzn. takim, po którym uzyskano tytuł inżyniera?27" totalsRowFunction="custom" totalsRowDxfId="27">
      <totalsRowFormula>COUNTA((CZ3:CZ35))</totalsRowFormula>
    </tableColumn>
    <tableColumn id="83" xr3:uid="{366FF8BB-67D0-4A1D-9E42-1C25C26E69CE}" name="Jak się nazywa kierunek, który ukończył/a Twoja/Twój podopieczna/podopieczny?28" totalsRowFunction="custom" totalsRowDxfId="26">
      <totalsRowFormula>COUNTA((DA3:DA35))</totalsRowFormula>
    </tableColumn>
    <tableColumn id="84" xr3:uid="{32321BD9-57CD-47D0-BD7D-B2AFCC1C3078}" name="Moja satysfakcja z (efektów) usług edukacyjnych ocenianej uczelni jest wysoka.29" totalsRowFunction="custom" totalsRowDxfId="25">
      <totalsRowFormula>COUNTA((DB3:DB35))</totalsRowFormula>
    </tableColumn>
    <tableColumn id="85" xr3:uid="{27DF5669-9BEE-4320-9001-51E16696F4B3}" name="Usługi edukacyjne ocenianej uczelni mają wysoką wartość (okazja / szansa rozwoju własnego lub kariery).30" totalsRowFunction="custom" totalsRowDxfId="24">
      <totalsRowFormula>COUNTA((DC3:DC35))</totalsRowFormula>
    </tableColumn>
    <tableColumn id="86" xr3:uid="{D4634990-E01E-4CA5-95A6-55E50F899DE1}" name="Kształcenie na ocenianej uczelni ma/będzie miało pozytywny wpływ na zwiększenie zarobków mojej/mojego podopiecznej/podopiecznego.31" totalsRowFunction="custom" totalsRowDxfId="23">
      <totalsRowFormula>COUNTA((DD3:DD35))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22">
      <totalsRowFormula>COUNTA((DE3:DE35))</totalsRowFormula>
    </tableColumn>
    <tableColumn id="88" xr3:uid="{2827967D-045B-4DF4-8F95-4979197AAA39}" name="Zarobki uzyskiwane przez mojego/moją podopieczną/podopiecznego w 3 lata po ukończeniu studiów były satysfakcjonujące (z mojego punktu widzenia)33" totalsRowFunction="custom" totalsRowDxfId="21">
      <totalsRowFormula>COUNTA((DF3:DF35))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20">
      <totalsRowFormula>COUNTA((DG3:DG35))</totalsRowFormula>
    </tableColumn>
    <tableColumn id="90" xr3:uid="{5F53B8F1-FD09-4B74-AA23-7EDED9615A73}" name="Jakie inne (poza zarobkami) efekty kształcenia na ocenianej uczelni się dostrzegasz obecnie?35" totalsRowFunction="custom" totalsRowDxfId="19">
      <totalsRowFormula>COUNTA((DH3:DH35))</totalsRowFormula>
    </tableColumn>
    <tableColumn id="91" xr3:uid="{0049B607-BD4D-49EA-B5EE-E8E785ACDC34}" name="Jakiego rodzaju były studia, które ukończył/a Twoja/Twój podopieczna/podopieczny?36" totalsRowFunction="custom" totalsRowDxfId="18">
      <totalsRowFormula>COUNTA((DI3:DI35))</totalsRowFormula>
    </tableColumn>
    <tableColumn id="92" xr3:uid="{86B9680A-4D70-4DFA-8189-827F813E4B73}" name="Pole dodatkowe37" totalsRowFunction="custom" totalsRowDxfId="17">
      <totalsRowFormula>COUNTA((DJ3:DJ35))</totalsRowFormula>
    </tableColumn>
    <tableColumn id="93" xr3:uid="{7B56F444-36AC-424E-9E2D-FDA11AEA9557}" name="Jeśli Twoja/Twój podopieczna/podopieczny ukończył/a również inne szkoły / kierunki studiów to proszę wpisz je tutaj.38" totalsRowFunction="custom" totalsRowDxfId="16">
      <totalsRowFormula>COUNTA((DK3:DK35))</totalsRowFormula>
    </tableColumn>
    <tableColumn id="94" xr3:uid="{BA461F2C-93E1-4AB3-B06B-BCD05B9B9AA2}" name="Czy jesteś aktualnie pracownikiem administracyjnym uczelni wyższej?" totalsRowFunction="custom" dataDxfId="528" totalsRowDxfId="15">
      <totalsRowFormula>COUNTA((DL3:DL35))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527" totalsRowDxfId="14">
      <totalsRowFormula>COUNTA((DV3:DV35))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526" totalsRowDxfId="13">
      <totalsRowFormula>COUNTA((EF3:EF35))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525" totalsRowDxfId="12">
      <totalsRowFormula>COUNTA((FI3:FI35))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524" totalsRowDxfId="11">
      <totalsRowFormula>COUNTA((GI3:GI35))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10">
      <totalsRowFormula>COUNTA((HT3:HT35))</totalsRowFormula>
    </tableColumn>
    <tableColumn id="207" xr3:uid="{2B31368C-8BB4-45F5-A368-4A4E1AFFFE2E}" name="Rok urodzenia" totalsRowFunction="custom" totalsRowDxfId="9">
      <totalsRowFormula>COUNTA((HU3:HU35))</totalsRowFormula>
    </tableColumn>
    <tableColumn id="215" xr3:uid="{0DA27BC3-BCA7-4CF6-A54C-77E28EA17827}" name="GrupaWiekowa" dataDxfId="523" totalsRowDxfId="8">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7">
      <totalsRowFormula>COUNTA((HW3:HW35))</totalsRowFormula>
    </tableColumn>
    <tableColumn id="209" xr3:uid="{40C0F4A2-88CA-4804-AB61-0C883C5C9CF7}" name="Pole dodatkowe52" totalsRowFunction="custom" totalsRowDxfId="6">
      <totalsRowFormula>COUNTA((HX3:HX35))</totalsRowFormula>
    </tableColumn>
    <tableColumn id="210" xr3:uid="{B1D5E2A4-3FA4-4D1D-ACA2-E506E6C3632D}" name="Jakie inne wykształcenie poza tym uwzględnionym w niniejszej ankiecie posiadasz? (ukończone szkoły/studia)" totalsRowFunction="custom" totalsRowDxfId="5">
      <totalsRowFormula>COUNTA((HY3:HY35))</totalsRowFormula>
    </tableColumn>
    <tableColumn id="211" xr3:uid="{C0DD7143-2468-4BEC-B88F-1EE24DB6D0F0}" name="Jakie inne wykształcenie poza tym uwzględnionym w niniejszej ankiecie zdobywasz? (nieukończone jeszcze lub przerwane szkoły/studia)" totalsRowFunction="custom" totalsRowDxfId="4">
      <totalsRowFormula>COUNTA((HZ3:HZ35))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3">
      <totalsRowFormula>COUNTA((IA3:IA35))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22">
  <autoFilter ref="B2:C8" xr:uid="{E63B5C4A-F9C7-4F57-A625-32E993ED50EE}"/>
  <tableColumns count="2">
    <tableColumn id="1" xr3:uid="{82964CF4-6EC9-45E3-BCAE-782CAA430102}" name="Wiek"/>
    <tableColumn id="2" xr3:uid="{A8B6ABC8-837D-42C0-B03A-97D5E2F5B5B7}" name="Kategorie wiekowe" dataDxfId="52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D41" totalsRowShown="0" headerRowDxfId="520">
  <autoFilter ref="B11:D41" xr:uid="{153EF96D-20D3-4BD5-AB25-706F6B338490}"/>
  <sortState xmlns:xlrd2="http://schemas.microsoft.com/office/spreadsheetml/2017/richdata2" ref="B12:D41">
    <sortCondition ref="B11:B41"/>
  </sortState>
  <tableColumns count="3">
    <tableColumn id="1" xr3:uid="{F3934641-58AD-451D-A35B-5D57D7E0E414}" name="Nazwa uczelni" dataDxfId="519"/>
    <tableColumn id="2" xr3:uid="{011F8DAE-7C60-444B-B4A2-78D05A325532}" name="Kategoria uczelni" dataDxfId="518"/>
    <tableColumn id="3" xr3:uid="{AE52D877-4E7F-452C-A07F-C076AC3B04E8}" name="Techniczna"/>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17">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16">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15">
  <autoFilter ref="C56:J176" xr:uid="{5D26DE38-F7A2-4F97-87CE-56F2D813A5B5}"/>
  <tableColumns count="8">
    <tableColumn id="1" xr3:uid="{87EDC6F7-8950-491A-8CAF-CF6610BCA33B}" name="Poziom istotności / _x000a_stopnie swobody" dataDxfId="514"/>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513">
  <autoFilter ref="F44:G51" xr:uid="{0B0D128A-46C3-497C-A070-B19EDC90314A}"/>
  <tableColumns count="2">
    <tableColumn id="1" xr3:uid="{85BFDFE9-FEF0-48BD-8D34-235474A93582}" name="Wartość graniczna" dataDxfId="512"/>
    <tableColumn id="2" xr3:uid="{1807328A-696A-4241-94CB-E1EC739F6F81}" name="Interpretacja średniej" dataDxfId="511"/>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57" totalsRowDxfId="456">
      <calculatedColumnFormula>_xlfn.IFNA(VLOOKUP(Analiza[[#This Row],[Zakończono wypełnianie]],Zakończone[],2,0),"BRAK")</calculatedColumnFormula>
    </tableColumn>
    <tableColumn id="213" xr3:uid="{21FBA976-232F-49E9-82A1-034812744A11}" name="ILE niepustych" dataDxfId="455" totalsRowDxfId="454">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53">
      <totalsRowFormula>COUNTA((O3:O159))</totalsRowFormula>
    </tableColumn>
    <tableColumn id="14" xr3:uid="{0BD7A98F-1F10-4FB8-B054-37BDD3B56396}" name="Czy jesteś studentem uczelni wyższej?" totalsRowFunction="custom" dataDxfId="452" totalsRowDxfId="451">
      <totalsRowFormula>COUNTA((P3:P159))</totalsRowFormula>
    </tableColumn>
    <tableColumn id="15" xr3:uid="{AB168C36-23BC-41CF-A8B7-C7F5F26BC59A}" name="Jak się nazywa uczelnia, na której studiujesz? (proszę o wybranie jednej uczelni podlegającej ocenie)" totalsRowFunction="custom" totalsRowDxfId="450">
      <totalsRowFormula>COUNTA((Q3:Q159))</totalsRowFormula>
    </tableColumn>
    <tableColumn id="16" xr3:uid="{854C4B62-EAE8-405A-96CD-32148FB75ABD}" name="Czy studiujesz na kierunku technicznym, tzn. takim, po którym uzyskasz tytuł inżyniera?" totalsRowFunction="custom" totalsRowDxfId="449">
      <totalsRowFormula>COUNTA((R3:R159))</totalsRowFormula>
    </tableColumn>
    <tableColumn id="17" xr3:uid="{24BCBB34-34C1-4984-962F-C53466F3EF8F}" name="Jak się nazywa kierunek, na którym studiujesz?" totalsRowFunction="custom" totalsRowDxfId="448">
      <totalsRowFormula>COUNTA((S3:S159))</totalsRowFormula>
    </tableColumn>
    <tableColumn id="18" xr3:uid="{9ADB9BCC-C1C9-4FDD-A2DF-FCC26DBEB749}" name="Moja satysfakcja z usług edukacyjnych ocenianej uczelni jest wysoka." totalsRowFunction="custom" totalsRowDxfId="447">
      <totalsRowFormula>COUNTA((T3:T159))</totalsRowFormula>
    </tableColumn>
    <tableColumn id="19" xr3:uid="{0765E0D2-1173-4D2D-98A3-B8C9EC813AB6}" name="Usługi edukacyjne ocenianej uczelni mają wysoką wartość (okazja / szansa rozwoju własnego lub kariery)." totalsRowFunction="custom" totalsRowDxfId="446">
      <totalsRowFormula>COUNTA((U3:U159))</totalsRowFormula>
    </tableColumn>
    <tableColumn id="20" xr3:uid="{B8B6DDB9-7682-4144-AB5B-DA2CE47AD589}" name="Kształcenie na ocenianej uczelni ma/będzie miało pozytywny wpływ na zwiększenie moich zarobków." totalsRowFunction="custom" totalsRowDxfId="445">
      <totalsRowFormula>COUNTA((V3:V159))</totalsRowFormula>
    </tableColumn>
    <tableColumn id="21" xr3:uid="{EAC188BA-5A2E-4D44-97B7-481328766AE0}" name="Kolumna1" totalsRowFunction="custom" totalsRowDxfId="444">
      <totalsRowFormula>COUNTA((W3:W159))</totalsRowFormula>
    </tableColumn>
    <tableColumn id="22" xr3:uid="{45CEF26A-2A20-4110-957F-4A81415F208F}" name="w pierwszym roku po ukończeniu studiów : wybierz wartość z listy rozwijanej" totalsRowFunction="custom" totalsRowDxfId="443">
      <totalsRowFormula>COUNTA((X3:X159))</totalsRowFormula>
    </tableColumn>
    <tableColumn id="23" xr3:uid="{36E47482-B5FD-4E87-827E-0139C02CF35C}" name="w 3 lata po ukończeniu studiów : wybierz wartość z listy rozwijanej" totalsRowFunction="custom" totalsRowDxfId="442">
      <totalsRowFormula>COUNTA((Y3:Y159))</totalsRowFormula>
    </tableColumn>
    <tableColumn id="24" xr3:uid="{8655FEEC-F7C8-48BC-B109-9244A7AB6BAC}" name="Jakich innych (poza zarobkami) efektów kształcenia na ocenianej uczelni się spodziewasz?" totalsRowFunction="custom" totalsRowDxfId="441">
      <totalsRowFormula>COUNTA((Z3:Z159))</totalsRowFormula>
    </tableColumn>
    <tableColumn id="25" xr3:uid="{D91B74B4-E8B9-401D-A7E4-820C4DF791D4}" name="Jakie elementy lub cechy sprawiały, że Tobie studiowało się dobrze?" totalsRowFunction="custom" totalsRowDxfId="440">
      <totalsRowFormula>COUNTA((AA3:AA159))</totalsRowFormula>
    </tableColumn>
    <tableColumn id="26" xr3:uid="{1E74CD43-D0E9-47B9-8442-05054D3E31F6}" name="Jakie elementy lub cechy sprawiały, że Tobie studiowało się źle?" totalsRowFunction="custom" totalsRowDxfId="439">
      <totalsRowFormula>COUNTA((AB3:AB159))</totalsRowFormula>
    </tableColumn>
    <tableColumn id="27" xr3:uid="{D0177BE1-4E02-4595-8669-95C494930B5B}" name="Jakiego rodzaju są Twoje studia?" totalsRowFunction="custom" totalsRowDxfId="438">
      <totalsRowFormula>COUNTA((AC3:AC159))</totalsRowFormula>
    </tableColumn>
    <tableColumn id="28" xr3:uid="{3597DDE1-E56A-406C-8EDD-22E18D515174}" name="Pole dodatkowe" totalsRowFunction="custom" totalsRowDxfId="437">
      <totalsRowFormula>COUNTA((AD3:AD159))</totalsRowFormula>
    </tableColumn>
    <tableColumn id="29" xr3:uid="{66ED4699-908F-4DD2-BD11-F0A6AA4499D4}" name="Na którym semestrze studiujesz obecnie?" totalsRowFunction="custom" totalsRowDxfId="436">
      <totalsRowFormula>COUNTA((AE3:AE159))</totalsRowFormula>
    </tableColumn>
    <tableColumn id="30" xr3:uid="{665AE932-5635-468D-B539-28624FF56492}" name="Czy jesteś absolwentem uczelni wyższej?" totalsRowFunction="custom" dataDxfId="435" totalsRowDxfId="434">
      <totalsRowFormula>COUNTA((AF3:AF159))</totalsRowFormula>
    </tableColumn>
    <tableColumn id="31" xr3:uid="{6D42BC0A-E5D6-447B-8744-250407520358}" name="Jak się nazywa uczelnia którą ukończyłeś? (proszę o wybranie jednej uczelni podlegającej ocenie)" totalsRowFunction="custom" totalsRowDxfId="433">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32">
      <totalsRowFormula>COUNTA((AH3:AH159))</totalsRowFormula>
    </tableColumn>
    <tableColumn id="33" xr3:uid="{FA60BF2C-8D84-4777-836B-1FF0604F1C9C}" name="Czy ukończony kierunek był kierunkiem technicznym, tzn. takim, po którym uzyskałaś/eś tytuł inżyniera?" totalsRowFunction="custom" totalsRowDxfId="431">
      <totalsRowFormula>COUNTA((AI3:AI159))</totalsRowFormula>
    </tableColumn>
    <tableColumn id="34" xr3:uid="{ADAE23AC-8F73-4453-AC5D-FE2116FA8AF9}" name="Jak się nazywa kierunek, który ukończyłaś/eś?" totalsRowFunction="custom" totalsRowDxfId="430">
      <totalsRowFormula>COUNTA((AJ3:AJ159))</totalsRowFormula>
    </tableColumn>
    <tableColumn id="35" xr3:uid="{428C07E3-7968-48E6-A4DA-496F1181FEB2}" name="Moja satysfakcja z (efektów) usług edukacyjnych ocenianej uczelni jest wysoka." totalsRowFunction="custom" totalsRowDxfId="429">
      <totalsRowFormula>COUNTA((AK3:AK159))</totalsRowFormula>
    </tableColumn>
    <tableColumn id="36" xr3:uid="{7E3FB4AF-502F-4F5F-80C8-50BD2F50FD94}" name="Usługi edukacyjne ocenianej uczelni mają wysoką wartość (okazja / szansa rozwoju własnego lub kariery).3" totalsRowFunction="custom" totalsRowDxfId="428">
      <totalsRowFormula>COUNTA((AL3:AL159))</totalsRowFormula>
    </tableColumn>
    <tableColumn id="37" xr3:uid="{13B29A8A-9864-47D3-8D85-03ADE3F9CFBD}" name="Kształcenie na ocenianej uczelni ma/miało pozytywny wpływ na zwiększenie moich zarobków." totalsRowFunction="custom" totalsRowDxfId="427">
      <totalsRowFormula>COUNTA((AM3:AM159))</totalsRowFormula>
    </tableColumn>
    <tableColumn id="38" xr3:uid="{9D91EBF3-6BD2-4E2B-A118-A8EA8C2FF810}" name="Moje zarobki w pierwszym roku po ukończeniu studiów były satysfakcjonujące." totalsRowFunction="custom" totalsRowDxfId="426">
      <totalsRowFormula>COUNTA((AN3:AN159))</totalsRowFormula>
    </tableColumn>
    <tableColumn id="39" xr3:uid="{4C05D2D8-542C-4CD2-B02B-74A6107B9906}" name="Moje zarobki po 3. latach po ukończeniu studiów były satysfakcjonujące." totalsRowFunction="custom" totalsRowDxfId="425">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24">
      <totalsRowFormula>COUNTA((AP3:AP159))</totalsRowFormula>
    </tableColumn>
    <tableColumn id="41" xr3:uid="{17F2CC62-23FF-4121-AD9B-57CD659BC75D}" name="w pierwszym roku po ukończeniu studiów : wybierz wartość z listy rozwijanej4" totalsRowFunction="custom" totalsRowDxfId="423">
      <totalsRowFormula>COUNTA((AQ3:AQ159))</totalsRowFormula>
    </tableColumn>
    <tableColumn id="42" xr3:uid="{4CAB053F-2163-4455-9A70-0A489C75ED6D}" name="w 3 lata po ukończeniu studiów : wybierz wartość z listy rozwijanej5" totalsRowFunction="custom" totalsRowDxfId="422">
      <totalsRowFormula>COUNTA((AR3:AR159))</totalsRowFormula>
    </tableColumn>
    <tableColumn id="43" xr3:uid="{ED349003-2383-4091-A70C-5B26539031D1}" name="Jakie inne (poza zarobkami) efekty kształcenia na ocenianej uczelni dostrzegasz obecnie?" totalsRowFunction="custom" totalsRowDxfId="421">
      <totalsRowFormula>COUNTA((AS3:AS159))</totalsRowFormula>
    </tableColumn>
    <tableColumn id="44" xr3:uid="{C9AA4BEA-8991-4F56-A7E1-DA0762C2B486}" name="Co wpływało na twoją satysfakcję ze studiowania?_x000a_" totalsRowFunction="custom" totalsRowDxfId="420">
      <totalsRowFormula>COUNTA((AT3:AT159))</totalsRowFormula>
    </tableColumn>
    <tableColumn id="45" xr3:uid="{00A5350A-103D-4E86-99F7-01E1F081E96E}" name="Kolumna6" totalsRowFunction="custom" totalsRowDxfId="419">
      <totalsRowFormula>COUNTA((AU3:AU159))</totalsRowFormula>
    </tableColumn>
    <tableColumn id="46" xr3:uid="{AB30AA0A-ADAF-4A76-852B-9C6171DBA36D}" name="Jakiego rodzaju były Twoje studia?" totalsRowFunction="custom" totalsRowDxfId="418">
      <totalsRowFormula>COUNTA((AV3:AV159))</totalsRowFormula>
    </tableColumn>
    <tableColumn id="47" xr3:uid="{156EF4B8-4A3F-4406-9CDE-324D32F939BA}" name="Pole dodatkowe7" totalsRowFunction="custom" totalsRowDxfId="417">
      <totalsRowFormula>COUNTA((AW3:AW159))</totalsRowFormula>
    </tableColumn>
    <tableColumn id="48" xr3:uid="{085D3107-411D-41F8-A270-88DCB1EAF46B}" name="Czy jesteś rodzicem / opiekunem absolwenta uczelni wyższej?" totalsRowFunction="custom" dataDxfId="416" totalsRowDxfId="415">
      <totalsRowFormula>COUNTA((AX3:AX159))</totalsRowFormula>
    </tableColumn>
    <tableColumn id="49" xr3:uid="{373F08C1-1889-416C-AADD-9D721E98EE00}" name="Uczelnie ilu podopiecznych będziesz oceniać?" totalsRowFunction="custom" totalsRowDxfId="414">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413">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412">
      <totalsRowFormula>COUNTA((BA3:BA159))</totalsRowFormula>
    </tableColumn>
    <tableColumn id="52" xr3:uid="{46B60108-007B-4727-8517-B149C9074216}" name="Czy ukończony kierunek był kierunkiem technicznym, tzn. takim, po którym uzyskano tytuł inżyniera?" totalsRowFunction="custom" totalsRowDxfId="411">
      <totalsRowFormula>COUNTA((BB3:BB159))</totalsRowFormula>
    </tableColumn>
    <tableColumn id="53" xr3:uid="{60C869D2-DBCF-44AD-B67A-F6E4F68A66EA}" name="Jak się nazywa kierunek, który ukończył/a Twoja/Twój podopieczna/podopieczny?" totalsRowFunction="custom" totalsRowDxfId="410">
      <totalsRowFormula>COUNTA((BC3:BC159))</totalsRowFormula>
    </tableColumn>
    <tableColumn id="54" xr3:uid="{A3CBF3B3-DD1B-4022-88CB-1555D7F4F8C5}" name="Moja satysfakcja z (efektów) usług edukacyjnych ocenianej uczelni jest wysoka.8" totalsRowFunction="custom" totalsRowDxfId="409">
      <totalsRowFormula>COUNTA((BD3:BD159))</totalsRowFormula>
    </tableColumn>
    <tableColumn id="55" xr3:uid="{D34023F4-654B-483D-BB5D-A538A9480931}" name="Usługi edukacyjne ocenianej uczelni mają wysoką wartość (okazja / szansa rozwoju własnego lub kariery).9" totalsRowFunction="custom" totalsRowDxfId="408">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407">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406">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405">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04">
      <totalsRowFormula>COUNTA((BI3:BI159))</totalsRowFormula>
    </tableColumn>
    <tableColumn id="60" xr3:uid="{EF473340-3BCA-4590-B1D3-586452233B88}" name="Jakie inne (poza zarobkami) efekty kształcenia na ocenianej uczelni się dostrzegasz obecnie?" totalsRowFunction="custom" totalsRowDxfId="403">
      <totalsRowFormula>COUNTA((BJ3:BJ159))</totalsRowFormula>
    </tableColumn>
    <tableColumn id="61" xr3:uid="{F5907E33-A84C-4D35-815F-7AB4B7FD4A9A}" name="Jakiego rodzaju były studia, które ukończył/a Twoja/Twój podopieczna/podopieczny?" totalsRowFunction="custom" totalsRowDxfId="402">
      <totalsRowFormula>COUNTA((BK3:BK159))</totalsRowFormula>
    </tableColumn>
    <tableColumn id="62" xr3:uid="{D7A10314-D8C8-4D47-9939-D597680A8D89}" name="Pole dodatkowe10" totalsRowFunction="custom" totalsRowDxfId="401">
      <totalsRowFormula>COUNTA((BL3:BL159))</totalsRowFormula>
    </tableColumn>
    <tableColumn id="63" xr3:uid="{165E7C41-F825-40A7-BA29-7D65FA1622DD}" name="Jeśli Twoja/Twój podopieczna/podopieczny ukończył/a również inne szkoły / kierunki studiów to proszę wpisz je tutaj." totalsRowFunction="custom" totalsRowDxfId="400">
      <totalsRowFormula>COUNTA((BM3:BM159))</totalsRowFormula>
    </tableColumn>
    <tableColumn id="64" xr3:uid="{F460018C-F65A-4EBC-A1B3-720CD09E2F51}" name="Czy będziesz oceniał uczelnię ukończoną przez drugiego podopiecznego?" totalsRowFunction="custom" totalsRowDxfId="399">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398">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397">
      <totalsRowFormula>COUNTA((BP3:BP159))</totalsRowFormula>
    </tableColumn>
    <tableColumn id="67" xr3:uid="{3D25B926-3D3A-4554-8D21-C8CEA4B700DB}" name="Czy ukończony kierunek był kierunkiem technicznym, tzn. takim, po którym uzyskano tytuł inżyniera?13" totalsRowFunction="custom" totalsRowDxfId="396">
      <totalsRowFormula>COUNTA((BQ3:BQ159))</totalsRowFormula>
    </tableColumn>
    <tableColumn id="68" xr3:uid="{82D0E1F6-AAC9-483E-86A4-72BFF90C14E1}" name="Jak się nazywa kierunek, który ukończył/a Twoja/Twój podopieczna/podopieczny?14" totalsRowFunction="custom" totalsRowDxfId="395">
      <totalsRowFormula>COUNTA((BR3:BR159))</totalsRowFormula>
    </tableColumn>
    <tableColumn id="69" xr3:uid="{66B3F5D6-8119-4B13-944B-F7FA87F55668}" name="Moja satysfakcja z (efektów) usług edukacyjnych ocenianej uczelni jest wysoka.15" totalsRowFunction="custom" totalsRowDxfId="394">
      <totalsRowFormula>COUNTA((BS3:BS159))</totalsRowFormula>
    </tableColumn>
    <tableColumn id="70" xr3:uid="{CBFEDB9C-E8C2-4738-B7E9-8CA5AFA2B25A}" name="Usługi edukacyjne ocenianej uczelni mają wysoką wartość (okazja / szansa rozwoju własnego lub kariery).16" totalsRowFunction="custom" totalsRowDxfId="393">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392">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391">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390">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89">
      <totalsRowFormula>COUNTA((BX3:BX159))</totalsRowFormula>
    </tableColumn>
    <tableColumn id="75" xr3:uid="{D391B630-A02F-4FC9-A4FF-6812943B9BB8}" name="Jakie inne (poza zarobkami) efekty kształcenia na ocenianej uczelni się dostrzegasz obecnie?21" totalsRowFunction="custom" totalsRowDxfId="388">
      <totalsRowFormula>COUNTA((BY3:BY159))</totalsRowFormula>
    </tableColumn>
    <tableColumn id="76" xr3:uid="{10689BE6-B95B-4AE5-83F1-55BDA0BA3CDC}" name="Jakiego rodzaju były studia, które ukończył/a Twoja/Twój podopieczna/podopieczny?22" totalsRowFunction="custom" totalsRowDxfId="387">
      <totalsRowFormula>COUNTA((BZ3:BZ159))</totalsRowFormula>
    </tableColumn>
    <tableColumn id="77" xr3:uid="{6FCF6001-0320-49B2-98E4-DBE8BE04E809}" name="Pole dodatkowe23" totalsRowFunction="custom" totalsRowDxfId="386">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385">
      <totalsRowFormula>COUNTA((CB3:CB159))</totalsRowFormula>
    </tableColumn>
    <tableColumn id="79" xr3:uid="{1A403871-DFFF-4390-AEEF-95D5C0FD9400}" name="Czy będziesz oceniał uczelnię ukończoną przez trzeciego podopiecznego?" totalsRowFunction="custom" totalsRowDxfId="384">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383">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382">
      <totalsRowFormula>COUNTA((CE3:CE159))</totalsRowFormula>
    </tableColumn>
    <tableColumn id="82" xr3:uid="{EFEA0D59-60B6-44B3-85E7-69B8079A2E71}" name="Czy ukończony kierunek był kierunkiem technicznym, tzn. takim, po którym uzyskano tytuł inżyniera?27" totalsRowFunction="custom" totalsRowDxfId="381">
      <totalsRowFormula>COUNTA((CF3:CF159))</totalsRowFormula>
    </tableColumn>
    <tableColumn id="83" xr3:uid="{A9E82F19-DDC8-4060-ABD0-5E045F5308D6}" name="Jak się nazywa kierunek, który ukończył/a Twoja/Twój podopieczna/podopieczny?28" totalsRowFunction="custom" totalsRowDxfId="380">
      <totalsRowFormula>COUNTA((CG3:CG159))</totalsRowFormula>
    </tableColumn>
    <tableColumn id="84" xr3:uid="{15E6D0BD-B208-4418-84AB-12BCB30ABA39}" name="Moja satysfakcja z (efektów) usług edukacyjnych ocenianej uczelni jest wysoka.29" totalsRowFunction="custom" totalsRowDxfId="379">
      <totalsRowFormula>COUNTA((CH3:CH159))</totalsRowFormula>
    </tableColumn>
    <tableColumn id="85" xr3:uid="{E59F07E5-5F50-49F9-8B40-4A530F682447}" name="Usługi edukacyjne ocenianej uczelni mają wysoką wartość (okazja / szansa rozwoju własnego lub kariery).30" totalsRowFunction="custom" totalsRowDxfId="378">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377">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376">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375">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374">
      <totalsRowFormula>COUNTA((CM3:CM159))</totalsRowFormula>
    </tableColumn>
    <tableColumn id="90" xr3:uid="{0FA72066-CF3D-49BE-AC2D-FA05BABB3516}" name="Jakie inne (poza zarobkami) efekty kształcenia na ocenianej uczelni się dostrzegasz obecnie?35" totalsRowFunction="custom" totalsRowDxfId="373">
      <totalsRowFormula>COUNTA((CN3:CN159))</totalsRowFormula>
    </tableColumn>
    <tableColumn id="91" xr3:uid="{91E77103-7890-4078-B592-ECCB3080C6BE}" name="Jakiego rodzaju były studia, które ukończył/a Twoja/Twój podopieczna/podopieczny?36" totalsRowFunction="custom" totalsRowDxfId="372">
      <totalsRowFormula>COUNTA((CO3:CO159))</totalsRowFormula>
    </tableColumn>
    <tableColumn id="92" xr3:uid="{D87D6F17-9A18-4BD2-82A2-E153AE86B37C}" name="Pole dodatkowe37" totalsRowFunction="custom" totalsRowDxfId="371">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370">
      <totalsRowFormula>COUNTA((CQ3:CQ159))</totalsRowFormula>
    </tableColumn>
    <tableColumn id="94" xr3:uid="{E7DDA408-1945-4BDE-9B5A-12AAC3E05194}" name="Czy jesteś aktualnie pracownikiem administracyjnym uczelni wyższej?" totalsRowFunction="custom" dataDxfId="369" totalsRowDxfId="368">
      <totalsRowFormula>COUNTA((CR3:CR159))</totalsRowFormula>
    </tableColumn>
    <tableColumn id="95" xr3:uid="{8FA6CEDE-89F7-4035-B48A-EC70337C4D7E}" name="Jak się nazywa uczelnia, na której pracujesz? (proszę o wybranie jednej uczelni podlegającej ocenie)" totalsRowDxfId="367"/>
    <tableColumn id="96" xr3:uid="{F959B9F3-C53C-4C63-A092-AF4A70D45B06}" name="Na jakim wydziale pracujesz?" totalsRowDxfId="366"/>
    <tableColumn id="97" xr3:uid="{19273B31-1872-4994-B739-304F1E7FBD34}" name="Moja satysfakcja z pracy na ocenianej uczelni jest wysoka." totalsRowDxfId="365"/>
    <tableColumn id="98" xr3:uid="{EE7C1371-E788-4978-B01E-B5870F3E97D1}" name="Atmosfera w zespole współpracowników jest dobra." totalsRowDxfId="364"/>
    <tableColumn id="99" xr3:uid="{04B25BDB-5FFA-42B5-AEBA-FC863BEDBC77}" name="Moje zarobki są satysfakcjonujące." totalsRowDxfId="363"/>
    <tableColumn id="100" xr3:uid="{DAD2DC5B-8DF9-49D3-A852-672969268131}" name="Praca na ocenianej uczelni daje mi duże szanse rozwoju." totalsRowDxfId="362"/>
    <tableColumn id="101" xr3:uid="{27C35901-3DF8-4B77-BEB2-58D43C8B6871}" name="Wartość wykształcenia zdobywanego przez studentów ocenianej uczelni jest wysoka." totalsRowDxfId="361"/>
    <tableColumn id="102" xr3:uid="{4669105C-8E5E-4FD6-97C5-3F5E1BE9CAE4}" name="Zdobyte na ocenianej uczelni wykształcenie ma pozytywny wpływ na zwiększenie zarobków absolwentów." totalsRowDxfId="360"/>
    <tableColumn id="103" xr3:uid="{C2B9909A-91DF-4FB2-B673-AACC920851EA}" name="Jakie inne (poza zarobkami) efekty kształcenia na ocenianej uczelni się dostrzegasz obecnie?39" totalsRowDxfId="359"/>
    <tableColumn id="104" xr3:uid="{1F0E0013-CC4E-4656-BDA5-9028148E569A}" name="Czy jesteś aktualnie pracownikiem naukowym lub dydaktycznym uczelni wyższej?" totalsRowFunction="custom" dataDxfId="358" totalsRowDxfId="357">
      <totalsRowFormula>COUNTA((DB3:DB159))</totalsRowFormula>
    </tableColumn>
    <tableColumn id="105" xr3:uid="{78C36DCE-4E4A-4DAD-AF37-31D23561DE9B}" name="Jak się nazywa uczelnia, na której pracujesz? (proszę o wybranie jednej uczelni podlegającej ocenie)40" totalsRowDxfId="356"/>
    <tableColumn id="106" xr3:uid="{FAD00E10-66DF-401D-8721-330410755C4C}" name="Na jakim wydziale pracujesz?41" totalsRowDxfId="355"/>
    <tableColumn id="107" xr3:uid="{3ED79AD9-3A2A-4796-A7F7-27B53055A7C5}" name="Moja satysfakcja z pracy na ocenianej uczelni jest wysoka.42" totalsRowDxfId="354"/>
    <tableColumn id="108" xr3:uid="{88F3FD29-277A-4D3B-9F35-812F832A00F4}" name="Atmosfera w zespole współpracowników jest dobra.43" totalsRowDxfId="353"/>
    <tableColumn id="109" xr3:uid="{DC511D2A-6FF2-4B52-B52A-324E6688C5E0}" name="Moje zarobki są satysfakcjonujące.44" totalsRowDxfId="352"/>
    <tableColumn id="110" xr3:uid="{3C031862-BB50-46FB-A01C-928A7B955B19}" name="Praca na ocenianej uczelni daje mi duże szanse rozwoju.45" totalsRowDxfId="351"/>
    <tableColumn id="111" xr3:uid="{26178753-38CF-4749-A317-A1E5F425DF12}" name="Wartość wykształcenia zdobywanego przez studentów ocenianej uczelni jest wysoka.46" totalsRowDxfId="350"/>
    <tableColumn id="112" xr3:uid="{889B113B-59F9-4196-9536-C41274799622}" name="Zdobyte na ocenianej uczelni wykształcenie ma pozytywny wpływ na zwiększenie zarobków absolwentów.47" totalsRowDxfId="349"/>
    <tableColumn id="113" xr3:uid="{018446A9-87AE-432A-96CE-C29A37692C27}" name="Jakie inne (poza zarobkami) efekty kształcenia na ocenianej uczelni dostrzegasz obecnie?48" totalsRowDxfId="348"/>
    <tableColumn id="114" xr3:uid="{D11A2879-2C85-42C1-9C08-4BA4A9592DB0}" name="Czy jesteś przedstawicielem władz uczelni z grupy rektorów, prorektorów, dziekanów, prodziekanów, członków senatu lub członków rady uczelni?" totalsRowFunction="custom" dataDxfId="347" totalsRowDxfId="346">
      <totalsRowFormula>COUNTA((DL3:DL159))</totalsRowFormula>
    </tableColumn>
    <tableColumn id="115" xr3:uid="{758B3CD0-0C56-4596-8D61-D90700A05DA1}" name="Proszę podać pełnioną funkcję" totalsRowDxfId="345"/>
    <tableColumn id="116" xr3:uid="{E904AED4-A38D-42EF-9D38-709BB163A619}" name="Kolumna3" totalsRowDxfId="344"/>
    <tableColumn id="117" xr3:uid="{AF0D4680-ECCA-4738-825E-AB146FC0FF8F}" name="Kolumna4" totalsRowDxfId="343"/>
    <tableColumn id="118" xr3:uid="{65A15536-DE99-4D16-A20B-206F127C5BFB}" name="Kolumna5" totalsRowDxfId="342"/>
    <tableColumn id="119" xr3:uid="{E05782FB-7FE9-42ED-94C4-B7F653167A0F}" name="Jak się nazywa uczelnia którą będziesz oceniać (jako przedstawiciel jej władz)?" totalsRowDxfId="341"/>
    <tableColumn id="120" xr3:uid="{1B7FA187-1663-4FBF-A3C5-EA8D6A053A25}" name="Efekty działań ocenianej uczelni na rzesz jakości edukacji są dobre" totalsRowDxfId="340"/>
    <tableColumn id="121" xr3:uid="{8A6C2138-0511-4784-9BCB-D7F056FD5756}" name="Wartość wykształcenia zdobywanego przez studentów na ocenianej uczelni jest wysoka." totalsRowDxfId="339"/>
    <tableColumn id="122" xr3:uid="{33664698-CEF8-4115-B63B-828882A6D501}" name="Zdobyte przez studentów ocenianej uczelni wykształcenie miało/ma pozytywny wpływ na ich zarobki." totalsRowDxfId="338"/>
    <tableColumn id="123" xr3:uid="{6548C317-5775-47D8-8BB5-03CE96ABFB2C}" name="Efekty działań ocenianej uczelni na rzecz jakości edukacji mają dobry wpływ na rozwój regionu." totalsRowDxfId="337"/>
    <tableColumn id="124" xr3:uid="{04271A5C-5560-4CF8-90D9-89BA9B015FBC}" name="Efekty działań ocenianej uczelni na rzecz jakości edukacji mają dobry wpływ na rozwój Polski." totalsRowDxfId="336"/>
    <tableColumn id="125" xr3:uid="{123DE0DC-02B2-4F9B-BEEB-704DB06821EE}" name="Współpraca ocenianej uczelni z biznesem ma pozytywne efekty dla rozwoju regionu / kraju." totalsRowDxfId="335"/>
    <tableColumn id="126" xr3:uid="{A0DF07F0-161A-4193-A1E6-2065A1C8B63E}" name="Ogólny poziom mojej satysfakcji z jakości usług edukacyjnych ocenianej uczelni jest wysoki." totalsRowDxfId="334"/>
    <tableColumn id="127" xr3:uid="{78D52D23-A055-4089-AEA3-0D0030CEAC4A}" name="Studenci : wybierz wartość z listy rozwijanej" totalsRowDxfId="333"/>
    <tableColumn id="128" xr3:uid="{3C88D815-7B36-4940-B457-1D4916A18A9A}" name="Absolwenci : wybierz wartość z listy rozwijanej" totalsRowDxfId="332"/>
    <tableColumn id="129" xr3:uid="{B7AADA93-8D0B-47F3-BCD2-912D3D3EFF96}" name="Rodzice absolwentów : wybierz wartość z listy rozwijanej" totalsRowDxfId="331"/>
    <tableColumn id="130" xr3:uid="{2419B54D-E941-464A-ABB8-3A728F2F5596}" name="Pracownicy administracyjni : wybierz wartość z listy rozwijanej" totalsRowDxfId="330"/>
    <tableColumn id="131" xr3:uid="{BAB27B7B-2698-4085-8E82-FA14AF164B29}" name="Pracownicy naukowi i dydaktyczni : wybierz wartość z listy rozwijanej" totalsRowDxfId="329"/>
    <tableColumn id="132" xr3:uid="{6A6F970F-B3EB-4E50-9DE6-C8C4C7CAA18A}" name="Pracodawcy : wybierz wartość z listy rozwijanej" totalsRowDxfId="328"/>
    <tableColumn id="133" xr3:uid="{09A6A719-E450-4AC4-8182-90B1F383E84C}" name="Władze samorządowe i centralne : wybierz wartość z listy rozwijanej" totalsRowDxfId="327"/>
    <tableColumn id="134" xr3:uid="{2E207BF2-E2F1-4F2B-9DAE-D3B78D867559}" name="Pole dodatkowe4" totalsRowDxfId="326"/>
    <tableColumn id="135" xr3:uid="{EEB77D73-5571-4E17-8266-02BB1710B8F0}" name="Studenci : wybierz wartość z listy rozwijanej5" totalsRowDxfId="325"/>
    <tableColumn id="136" xr3:uid="{81EA592A-292B-42BA-AA88-85A430ABBA5B}" name="Absolwenci : wybierz wartość z listy rozwijanej6" totalsRowDxfId="324"/>
    <tableColumn id="137" xr3:uid="{AC693E91-1370-42E2-8C6B-A2DEAEDAD6D8}" name="Rodzice absolwentów : wybierz wartość z listy rozwijanej7" totalsRowDxfId="323"/>
    <tableColumn id="138" xr3:uid="{C972A3A6-50AF-4CF0-9221-51F3F1B825B5}" name="Pracownicy administracyjni : wybierz wartość z listy rozwijanej8" totalsRowDxfId="322"/>
    <tableColumn id="139" xr3:uid="{8A17F47D-C5DA-4436-9144-E5A1DC2CE401}" name="Pracownicy naukowi i dydaktyczni : wybierz wartość z listy rozwijanej9" totalsRowDxfId="321"/>
    <tableColumn id="140" xr3:uid="{9C9F0784-2723-4BBD-AE36-08FD5221319D}" name="Pracodawcy : wybierz wartość z listy rozwijanej10" totalsRowDxfId="320"/>
    <tableColumn id="141" xr3:uid="{AAE33EE1-D3BE-432C-9A2D-5D55BE9F26EC}" name="Władze samorządowe i centralne : wybierz wartość z listy rozwijanej11" totalsRowDxfId="319"/>
    <tableColumn id="142" xr3:uid="{C7BCF657-B75F-43D7-A19C-E0A38F71C79A}" name="Pole dodatkowe12" totalsRowDxfId="318"/>
    <tableColumn id="143" xr3:uid="{027BA0BD-D7CE-4B61-BD34-CD9336762A59}" name="Czy jesteś przedstawicielem firmy, w której są zatrudniani absolwenci uczelni wyższych (tytuł licencjata, magistra lub wyższy)?" totalsRowFunction="custom" dataDxfId="317" totalsRowDxfId="316">
      <totalsRowFormula>COUNTA((EO3:EO159))</totalsRowFormula>
    </tableColumn>
    <tableColumn id="144" xr3:uid="{AE677D83-CB9E-4B5E-B46A-E76A87DC758B}" name="Czy w Twojej firmie są zatrudnieni absolwenci uczelni technicznych (posiadają tytuł inżyniera)?" totalsRowDxfId="315"/>
    <tableColumn id="145" xr3:uid="{A9C11981-CE44-482B-9485-624EB4CFA91B}" name="Ile uczelni będziesz oceniać?" totalsRowDxfId="314"/>
    <tableColumn id="146" xr3:uid="{822F037D-C81E-4AA1-A477-75B7599C4C4E}" name="Jak się nazywa uczelnia, którą ocenisz? " totalsRowDxfId="313"/>
    <tableColumn id="147" xr3:uid="{B879E027-4001-4F17-98A9-1FF6DD06C0F9}" name="Moja satysfakcja z (efektów) usług edukacyjnych na ocenianej uczelni jest wysoka." totalsRowDxfId="312"/>
    <tableColumn id="148" xr3:uid="{887E2640-884A-454A-B596-856E217BE2DD}" name="Kompetencje absolwentów ocenianej uczelni są wysokie." totalsRowDxfId="311"/>
    <tableColumn id="149" xr3:uid="{478F5E65-AE32-4F52-99FA-3830D9323C3C}" name="Zarobki absolwentów ocenianej uczelni zatrudnionych w mojej firmie są wyższe od zarobków absolwentów innych polskich uczelni." totalsRowDxfId="310"/>
    <tableColumn id="150" xr3:uid="{E5D4AD52-FA66-4019-983E-25DC2AF5A5A8}" name="Czy w Twojej firmie są zatrudniani absolwenci uczelni w pierwszym roku po ukończeniu studiów (do 12 miesięcy od uzyskania dyplomu)?" totalsRowDxfId="309"/>
    <tableColumn id="151" xr3:uid="{FDC480C9-E39B-4D41-9995-A191329D3555}" name="Jakie kompetencje absolwentów ocenianej uczelni są w Twojej firmie najwyżej wyceniane?" totalsRowDxfId="308"/>
    <tableColumn id="152" xr3:uid="{558E6650-0292-450C-9D81-46BC7B7FA1C9}" name="Jakiego rodzaju prace wykonują absolwenci ocenianej uczelni w Twojej firmie?" totalsRowDxfId="307"/>
    <tableColumn id="153" xr3:uid="{9E8CE1F9-05B3-4737-AC9A-FAE812FD292C}" name="Czy będziesz oceniał drugą uczelnię?" totalsRowDxfId="306"/>
    <tableColumn id="154" xr3:uid="{CEB66B10-0E60-4952-A1B0-1E5C8784E791}" name="Jak się nazywa uczelnia, którą ocenisz? 13" totalsRowDxfId="305"/>
    <tableColumn id="155" xr3:uid="{2864E703-440A-477E-8352-68DEA39F85CD}" name="Moja satysfakcja z (efektów) usług edukacyjnych na ocenianej uczelni jest wysoka.14" totalsRowDxfId="304"/>
    <tableColumn id="156" xr3:uid="{B38513D8-CC85-41E0-85A1-82AC6807323C}" name="Kompetencje absolwentów ocenianej uczelni są wysokie.15" totalsRowDxfId="303"/>
    <tableColumn id="157" xr3:uid="{204ADF47-FBCC-47A6-95D9-5D3E03854768}" name="Zarobki absolwentów ocenianej uczelni zatrudnionych w mojej firmie są wyższe od zarobków absolwentów innych polskich uczelni.16" totalsRowDxfId="302"/>
    <tableColumn id="158" xr3:uid="{7E6A13F3-C53A-4FC9-B3AE-9EA25D9CBCE6}" name="Czy w Twojej firmie są zatrudniani absolwenci uczelni w pierwszym roku po ukończeniu studiów (do 12 miesięcy od uzyskania dyplomu)?17" totalsRowDxfId="301"/>
    <tableColumn id="159" xr3:uid="{83E7A1CC-295A-477E-8CD0-1E43143ACFF6}" name="Jakie kompetencje absolwentów ocenianej uczelni są w Twojej firmie najwyżej wyceniane?18" totalsRowDxfId="300"/>
    <tableColumn id="160" xr3:uid="{C3F49389-F342-4110-8A16-536B6EC87EC2}" name="Jakiego rodzaju prace wykonują absolwenci ocenianej uczelni w Twojej firmie?19" totalsRowDxfId="299"/>
    <tableColumn id="161" xr3:uid="{2BBFB49D-5EDF-4AC5-9179-70BCC6FA0B96}" name="Czy będziesz oceniał trzecią uczelnię techniczną?" totalsRowDxfId="298"/>
    <tableColumn id="162" xr3:uid="{829F7D1E-D133-43C4-A756-6D0B7542D44F}" name="Jak się nazywa uczelnia, którą ocenisz? 20" totalsRowDxfId="297"/>
    <tableColumn id="163" xr3:uid="{8758E395-9800-4CA8-BF43-3BFBF9507549}" name="Moja satysfakcja z (efektów) usług edukacyjnych na ocenianej uczelni jest wysoka.21" totalsRowDxfId="296"/>
    <tableColumn id="164" xr3:uid="{14ABF48C-A9EC-4153-B011-421959501B3A}" name="Kompetencje absolwentów ocenianej uczelni są wysokie.22" totalsRowDxfId="295"/>
    <tableColumn id="165" xr3:uid="{E8A014C5-F146-4C5D-B50B-6E968A7F8B46}" name="Zarobki absolwentów ocenianej uczelni zatrudnionych w mojej firmie są wyższe od zarobków absolwentów innych polskich uczelni.23" totalsRowDxfId="294"/>
    <tableColumn id="166" xr3:uid="{1FF6D355-AF16-4EB9-8805-4741E5F2867E}" name="Czy w Twojej firmie są zatrudniani absolwenci uczelni w pierwszym roku po ukończeniu studiów (do 12 miesięcy od uzyskania dyplomu)?24" totalsRowDxfId="293"/>
    <tableColumn id="167" xr3:uid="{71809E9D-42EC-47FD-9E58-0596DB8FD07D}" name="Jakie kompetencje absolwentów ocenianej uczelni są w Twojej firmie najwyżej wyceniane?25" totalsRowDxfId="292"/>
    <tableColumn id="168" xr3:uid="{6CA2A8B4-3095-459E-BDF0-43522EA7E403}" name="Jakiego rodzaju prace wykonują absolwenci ocenianej uczelni są w Twojej firmie?" totalsRowDxfId="291"/>
    <tableColumn id="169" xr3:uid="{6AEC3D33-E058-4E5E-AEC6-C091FCB970C9}" name="Czy jesteś przedstawicielem władz samorządowych lub centralnych Rzeczypospolitej Polskiej?" totalsRowFunction="custom" dataDxfId="290" totalsRowDxfId="289">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288">
      <totalsRowFormula>COUNTA((GZ3:GZ159))</totalsRowFormula>
    </tableColumn>
    <tableColumn id="207" xr3:uid="{17374C0D-5C50-4F2D-9998-48F1A5105C49}" name="Rok urodzenia" totalsRowFunction="custom" totalsRowDxfId="287">
      <totalsRowFormula>COUNTA((HA3:HA159))</totalsRowFormula>
    </tableColumn>
    <tableColumn id="208" xr3:uid="{1645D477-C887-454C-9538-48CC0158FF63}" name="Z jakiej wielkości miejscowości pochodzisz? (dotyczy miejscowości, w której się wychowałaś/eś" totalsRowFunction="custom" totalsRowDxfId="286">
      <totalsRowFormula>COUNTA((HB3:HB159))</totalsRowFormula>
    </tableColumn>
    <tableColumn id="209" xr3:uid="{12CD2E72-E534-4809-A75E-AF29F5F5F088}" name="Pole dodatkowe52" totalsRowFunction="custom" totalsRowDxfId="285">
      <totalsRowFormula>COUNTA((HC3:HC159))</totalsRowFormula>
    </tableColumn>
    <tableColumn id="210" xr3:uid="{A7F9896F-910A-4A55-B990-91B148C747C5}" name="Jakie inne wykształcenie poza tym uwzględnionym w niniejszej ankiecie posiadasz? (ukończone szkoły/studia)" totalsRowFunction="custom" totalsRowDxfId="284">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283">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282">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281" totalsRowDxfId="280">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279">
      <totalsRowFormula>COUNTIF(Wszystkie[Czy jesteś osobą pełnoletnią?],"*")</totalsRowFormula>
    </tableColumn>
    <tableColumn id="14" xr3:uid="{E3D767D6-BD41-4141-B5C4-1F9D8EF2956E}" name="Czy jesteś studentem uczelni wyższej?" totalsRowFunction="custom" dataDxfId="278" totalsRowDxfId="277">
      <totalsRowFormula>COUNTIF(Wszystkie[Czy jesteś studentem uczelni wyższej?],"*")</totalsRowFormula>
    </tableColumn>
    <tableColumn id="15" xr3:uid="{976C1CBA-1FD7-4C75-8BED-1BFE923879A1}" name="Jak się nazywa uczelnia, na której studiujesz? (proszę o wybranie jednej uczelni podlegającej ocenie)" totalsRowDxfId="276"/>
    <tableColumn id="16" xr3:uid="{AA3DBEFA-9D73-475E-A9A5-2D42522C9072}" name="Czy studiujesz na kierunku technicznym, tzn. takim, po którym uzyskasz tytuł inżyniera?" totalsRowDxfId="275"/>
    <tableColumn id="17" xr3:uid="{8AAAEBAF-D354-47D3-8A57-BF9F06131A1E}" name="Jak się nazywa kierunek, na którym studiujesz?" totalsRowDxfId="274"/>
    <tableColumn id="18" xr3:uid="{CD9C7D41-ABD7-4C41-89ED-89A659BAC655}" name="Moja satysfakcja z usług edukacyjnych ocenianej uczelni jest wysoka." totalsRowDxfId="273"/>
    <tableColumn id="19" xr3:uid="{31FED63E-2530-44F3-A0E2-6B96989E02A8}" name="Usługi edukacyjne ocenianej uczelni mają wysoką wartość (okazja / szansa rozwoju własnego lub kariery)." totalsRowDxfId="272"/>
    <tableColumn id="20" xr3:uid="{378DDC9B-58A3-4DE4-A300-A19FD721A037}" name="Kształcenie na ocenianej uczelni ma/będzie miało pozytywny wpływ na zwiększenie moich zarobków." totalsRowDxfId="271"/>
    <tableColumn id="21" xr3:uid="{C6A24480-7451-49D9-8645-BC69D7F99331}" name="Kolumna1" totalsRowDxfId="270"/>
    <tableColumn id="22" xr3:uid="{D80E567D-CCDD-4B11-B18B-072D893C7687}" name="w pierwszym roku po ukończeniu studiów : wybierz wartość z listy rozwijanej" totalsRowDxfId="269"/>
    <tableColumn id="23" xr3:uid="{CF51D676-6C20-46B0-A565-D78CD8D4C947}" name="w 3 lata po ukończeniu studiów : wybierz wartość z listy rozwijanej" totalsRowDxfId="268"/>
    <tableColumn id="24" xr3:uid="{0F1B2099-4D7F-463D-AC59-617503BC5E14}" name="Jakich innych (poza zarobkami) efektów kształcenia na ocenianej uczelni się spodziewasz?" totalsRowDxfId="267"/>
    <tableColumn id="25" xr3:uid="{35D57207-52B7-455E-A9ED-A6AD95338EC7}" name="Co wpływa na Twoją satysfakcję ze studiowania?" totalsRowDxfId="266"/>
    <tableColumn id="26" xr3:uid="{CAD83457-32FA-404F-A708-C1B3C759AC6E}" name="Kolumna2" totalsRowDxfId="265"/>
    <tableColumn id="27" xr3:uid="{ADC35906-6D65-48D1-81AC-C4B4957B05D5}" name="Jakiego rodzaju są Twoje studia?" totalsRowDxfId="264"/>
    <tableColumn id="28" xr3:uid="{E068B642-DF74-4CAA-A88E-B517DC5FC386}" name="Pole dodatkowe" totalsRowDxfId="263"/>
    <tableColumn id="29" xr3:uid="{38F90488-07A7-4B7C-882D-784B03584081}" name="Na którym semestrze studiujesz obecnie?" totalsRowDxfId="262"/>
    <tableColumn id="30" xr3:uid="{5A578F2D-0AA4-4797-8F97-B23C8F9552C7}" name="Czy jesteś absolwentem uczelni wyższej?" totalsRowFunction="custom" dataDxfId="261" totalsRowDxfId="260">
      <totalsRowFormula>COUNTIF(Wszystkie[Czy jesteś absolwentem uczelni wyższej?],"*")</totalsRowFormula>
    </tableColumn>
    <tableColumn id="31" xr3:uid="{D2B6D93F-7BC9-4B45-93AA-4FD89F63764D}" name="Jak się nazywa uczelnia którą ukończyłeś? (proszę o wybranie jednej uczelni podlegającej ocenie)" totalsRowDxfId="259"/>
    <tableColumn id="32" xr3:uid="{E591DDF7-3A8B-45B3-9972-7C4BB854C0A9}" name="W którym roku ukończyłaś/eś studia (rok w którym uzyskano dyplom ukończenia studiów drugiego stopnia, albo pierwszego stopnia, jeśli nie uzyskano dyplomu 2. stopnia)?" totalsRowDxfId="258"/>
    <tableColumn id="33" xr3:uid="{B826B930-988D-4AF8-9D52-5EF6AF6A7F20}" name="Czy ukończony kierunek był kierunkiem technicznym, tzn. takim, po którym uzyskałaś/eś tytuł inżyniera?" totalsRowDxfId="257"/>
    <tableColumn id="34" xr3:uid="{0507FF43-58D2-4683-81A2-9CE2C2FA5844}" name="Jak się nazywa kierunek, który ukończyłaś/eś?" totalsRowDxfId="256"/>
    <tableColumn id="35" xr3:uid="{AC65CB7E-A5EF-4C79-B96D-EA85400721B9}" name="Moja satysfakcja z (efektów) usług edukacyjnych ocenianej uczelni jest wysoka." totalsRowDxfId="255"/>
    <tableColumn id="36" xr3:uid="{36BB94DA-A6A2-46AA-A0C4-3AAE4ADCC084}" name="Usługi edukacyjne ocenianej uczelni mają wysoką wartość (okazja / szansa rozwoju własnego lub kariery).3" totalsRowDxfId="254"/>
    <tableColumn id="37" xr3:uid="{46DF242C-10FA-47FE-BC6B-045B295812CA}" name="Kształcenie na ocenianej uczelni ma/miało pozytywny wpływ na zwiększenie moich zarobków." totalsRowDxfId="253"/>
    <tableColumn id="38" xr3:uid="{22DB960F-1A91-4EB9-90EA-0C8BB104EBCF}" name="Moje zarobki w pierwszym roku po ukończeniu studiów były satysfakcjonujące." totalsRowDxfId="252"/>
    <tableColumn id="39" xr3:uid="{1AC1C2EA-FD9C-42F6-8732-E88F90068CC4}" name="Moje zarobki po 3. latach po ukończeniu studiów były satysfakcjonujące." totalsRowDxfId="251"/>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50"/>
    <tableColumn id="41" xr3:uid="{53D325CD-E5E6-4C9E-81B0-775315EF4E8E}" name="w pierwszym roku po ukończeniu studiów : wybierz wartość z listy rozwijanej4" totalsRowDxfId="249"/>
    <tableColumn id="42" xr3:uid="{A6B799C8-D5F2-4C68-B71E-F83C3A6075B7}" name="w 3 lata po ukończeniu studiów : wybierz wartość z listy rozwijanej5" totalsRowDxfId="248"/>
    <tableColumn id="43" xr3:uid="{BC589F24-9BD1-4C2F-9397-D51311E5EC39}" name="Jakie inne (poza zarobkami) efekty kształcenia na ocenianej uczelni dostrzegasz obecnie?" totalsRowDxfId="247"/>
    <tableColumn id="44" xr3:uid="{A11C2A67-EC51-4621-92CF-198235F6DDC5}" name="Co wpływało na twoją satysfakcję ze studiowania?_x000a_" totalsRowDxfId="246"/>
    <tableColumn id="45" xr3:uid="{D388932F-1A0A-4689-AB91-4A4F282D3CA9}" name="Kolumna6" totalsRowDxfId="245"/>
    <tableColumn id="46" xr3:uid="{F488CAF2-B800-439E-8332-DDBED1146AB6}" name="Jakiego rodzaju były Twoje studia?" totalsRowDxfId="244"/>
    <tableColumn id="47" xr3:uid="{00FDD7E1-EBD3-4653-98C4-D74FA980AF99}" name="Pole dodatkowe7" totalsRowDxfId="243"/>
    <tableColumn id="48" xr3:uid="{E33AE7B1-7892-48E4-9DBC-AE5EF9034B4E}" name="Czy jesteś rodzicem / opiekunem absolwenta uczelni wyższej?" totalsRowFunction="custom" dataDxfId="242" totalsRowDxfId="241">
      <totalsRowFormula>COUNTIF(Wszystkie[Czy jesteś rodzicem / opiekunem absolwenta uczelni wyższej?],"*")</totalsRowFormula>
    </tableColumn>
    <tableColumn id="49" xr3:uid="{4088849A-C602-4818-8ECC-DDB0335A5DDB}" name="Uczelnie ilu podopiecznych będziesz oceniać?" totalsRowDxfId="240"/>
    <tableColumn id="50" xr3:uid="{6BB0F22F-B640-446D-B936-91DFADFA81F1}" name="Jak się nazywa uczelnia, którą ukończył/a Twoja/Twój podopieczna/podopieczny? (proszę o wybranie jednej uczelni podlegającej ocenie)" totalsRowDxfId="239"/>
    <tableColumn id="51" xr3:uid="{760CF124-AB02-4DF1-9CE7-66B4800AC399}" name="W którym roku Twoja/Twój podopieczna/y ukończył/a studia (rok w którym uzyskano dyplom ukończenia studiów drugiego stopnia, albo pierwszego stopnia, jeśli nie uzyskano dyplomu 2. stopnia)?" totalsRowDxfId="238"/>
    <tableColumn id="52" xr3:uid="{26244E73-3F31-4ED7-99CC-718C75773980}" name="Czy ukończony kierunek był kierunkiem technicznym, tzn. takim, po którym uzyskano tytuł inżyniera?" totalsRowDxfId="237"/>
    <tableColumn id="53" xr3:uid="{F00033CF-BE1C-4649-B99E-A3FC496AF05C}" name="Jak się nazywa kierunek, który ukończył/a Twoja/Twój podopieczna/podopieczny?" totalsRowDxfId="236"/>
    <tableColumn id="54" xr3:uid="{8AE8E0B0-E59A-4253-8E89-6503DDEE44E9}" name="Moja satysfakcja z (efektów) usług edukacyjnych ocenianej uczelni jest wysoka.8" totalsRowDxfId="235"/>
    <tableColumn id="55" xr3:uid="{D72C8628-4CEE-4A6D-BD58-0114E59C605E}" name="Usługi edukacyjne ocenianej uczelni mają wysoką wartość (okazja / szansa rozwoju własnego lub kariery).9" totalsRowDxfId="234"/>
    <tableColumn id="56" xr3:uid="{53B5753F-3212-43BB-931D-3559FF6976DF}" name="Kształcenie na ocenianej uczelni ma/będzie miało pozytywny wpływ na zwiększenie zarobków mojej/mojego podopiecznej/podopiecznego." totalsRowDxfId="233"/>
    <tableColumn id="57" xr3:uid="{A9563BF9-19A1-46BF-9F31-4690E6A2385C}" name="Zarobki uzyskiwane przez mojego/moją podopieczną/podopiecznego w pierwszym roku po ukończeniu studiów były satysfakcjonujące (z mojego punktu widzenia)" totalsRowDxfId="232"/>
    <tableColumn id="58" xr3:uid="{BCC66B2D-86FD-4227-A5E9-2164B45893B0}" name="Zarobki uzyskiwane przez mojego/moją podopieczną/podopiecznego w 3 lata po ukończeniu studiów były satysfakcjonujące (z mojego punktu widzenia)" totalsRowDxfId="231"/>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30"/>
    <tableColumn id="60" xr3:uid="{94345A4F-9EAB-4FE8-A337-CCC43CF7D9D3}" name="Jakie inne (poza zarobkami) efekty kształcenia na ocenianej uczelni się dostrzegasz obecnie?" totalsRowDxfId="229"/>
    <tableColumn id="61" xr3:uid="{05A46EBB-09E0-4294-881F-C45E3B66E515}" name="Jakiego rodzaju były studia, które ukończył/a Twoja/Twój podopieczna/podopieczny?" totalsRowDxfId="228"/>
    <tableColumn id="62" xr3:uid="{FE0A86D0-775F-435F-8B90-2A7B29B0B462}" name="Pole dodatkowe10" totalsRowDxfId="227"/>
    <tableColumn id="63" xr3:uid="{3C426FB0-5F3F-46C5-9E34-DD901FAA5A82}" name="Jeśli Twoja/Twój podopieczna/podopieczny ukończył/a również inne szkoły / kierunki studiów to proszę wpisz je tutaj." totalsRowDxfId="226"/>
    <tableColumn id="64" xr3:uid="{7B6238C1-79C7-4C59-B174-F693B78A54C8}" name="Czy będziesz oceniał uczelnię ukończoną przez drugiego podopiecznego?" totalsRowDxfId="225"/>
    <tableColumn id="65" xr3:uid="{72E69603-FDA8-458A-B355-C3F6177E2961}" name="Jak się nazywa uczelnia, którą ukończył/a Twoja/Twój podopieczna/podopieczny? (proszę o wybranie jednej uczelni podlegającej ocenie)11" totalsRowDxfId="224"/>
    <tableColumn id="66" xr3:uid="{C1A71495-6A60-4B39-8FA2-EDD927CA8962}" name="W którym roku Twoja/Twój podopieczna/y ukończył/a studia (rok w którym uzyskano dyplom ukończenia studiów drugiego stopnia, albo pierwszego stopnia, jeśli nie uzyskano dyplomu 2. stopnia)?12" totalsRowDxfId="223"/>
    <tableColumn id="67" xr3:uid="{51123307-FDE7-45CE-81D3-F8045A68CEB5}" name="Czy ukończony kierunek był kierunkiem technicznym, tzn. takim, po którym uzyskano tytuł inżyniera?13" totalsRowDxfId="222"/>
    <tableColumn id="68" xr3:uid="{E4E7F2FA-608F-4A76-95F9-FC633CF4A850}" name="Jak się nazywa kierunek, który ukończył/a Twoja/Twój podopieczna/podopieczny?14" totalsRowDxfId="221"/>
    <tableColumn id="69" xr3:uid="{2E0E2D92-CA45-4C29-AD1B-4107E60D2F5C}" name="Moja satysfakcja z (efektów) usług edukacyjnych ocenianej uczelni jest wysoka.15" totalsRowDxfId="220"/>
    <tableColumn id="70" xr3:uid="{22160B39-79EF-424B-9B2E-4205C1098DC4}" name="Usługi edukacyjne ocenianej uczelni mają wysoką wartość (okazja / szansa rozwoju własnego lub kariery).16" totalsRowDxfId="219"/>
    <tableColumn id="71" xr3:uid="{C5566328-CB9E-4672-AFA5-9A52C7FB1583}" name="Kształcenie na ocenianej uczelni ma/będzie miało pozytywny wpływ na zwiększenie zarobków mojej/mojego podopiecznej/podopiecznego.17" totalsRowDxfId="218"/>
    <tableColumn id="72" xr3:uid="{ED11287D-6F12-40C0-8EAE-0190C96B2475}" name="Zarobki uzyskiwane przez mojego/moją podopieczną/podopiecznego w pierwszym roku po ukończeniu studiów były satysfakcjonujące (z mojego punktu widzenia)18" totalsRowDxfId="217"/>
    <tableColumn id="73" xr3:uid="{5767066B-CB1E-4AC7-93CC-8721926057A1}" name="Zarobki uzyskiwane przez mojego/moją podopieczną/podopiecznego w 3 lata po ukończeniu studiów były satysfakcjonujące (z mojego punktu widzenia)19" totalsRowDxfId="216"/>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215"/>
    <tableColumn id="75" xr3:uid="{91099E12-4AAE-4B3A-8B21-456B23B8E9C4}" name="Jakie inne (poza zarobkami) efekty kształcenia na ocenianej uczelni się dostrzegasz obecnie?21" totalsRowDxfId="214"/>
    <tableColumn id="76" xr3:uid="{F99FCD0E-141B-4162-9375-D912B829669B}" name="Jakiego rodzaju były studia, które ukończył/a Twoja/Twój podopieczna/podopieczny?22" totalsRowDxfId="213"/>
    <tableColumn id="77" xr3:uid="{9A935095-7069-4B79-9C19-ABCE05DB2953}" name="Pole dodatkowe23" totalsRowDxfId="212"/>
    <tableColumn id="78" xr3:uid="{73C50495-9837-4BA7-BE74-ED58E001D39F}" name="Jeśli Twoja/Twój podopieczna/podopieczny ukończył/a również inne szkoły / kierunki studiów to proszę wpisz je tutaj.24" totalsRowDxfId="211"/>
    <tableColumn id="79" xr3:uid="{2D9E6799-1116-4EBA-A4A6-EC67B715E65E}" name="Czy będziesz oceniał uczelnię ukończoną przez trzeciego podopiecznego?" totalsRowDxfId="210"/>
    <tableColumn id="80" xr3:uid="{98900E64-17FE-4566-98C9-57CB606D4413}" name="Jak się nazywa uczelnia, którą ukończył/a Twoja/Twój podopieczna/podopieczny? (proszę o wybranie jednej uczelni podlegającej ocenie)25" totalsRowDxfId="209"/>
    <tableColumn id="81" xr3:uid="{FB0D4F5E-419D-4EEB-BE63-1379089D4E7A}" name="W którym roku Twoja/Twój podopieczna/y ukończył/a studia (rok w którym uzyskano dyplom ukończenia studiów drugiego stopnia, albo pierwszego stopnia, jeśli nie uzyskano dyplomu 2. stopnia)?26" totalsRowDxfId="208"/>
    <tableColumn id="82" xr3:uid="{367FC414-3E67-4B03-A303-77F5139ABED4}" name="Czy ukończony kierunek był kierunkiem technicznym, tzn. takim, po którym uzyskano tytuł inżyniera?27" totalsRowDxfId="207"/>
    <tableColumn id="83" xr3:uid="{641F2969-C09A-425E-81A7-806949B38666}" name="Jak się nazywa kierunek, który ukończył/a Twoja/Twój podopieczna/podopieczny?28" totalsRowDxfId="206"/>
    <tableColumn id="84" xr3:uid="{6B2F3F5A-F4BF-41A2-85FA-BAC6E179E9A9}" name="Moja satysfakcja z (efektów) usług edukacyjnych ocenianej uczelni jest wysoka.29" totalsRowDxfId="205"/>
    <tableColumn id="85" xr3:uid="{792FE0EC-454A-47B2-9DEE-09E82A55AC5F}" name="Usługi edukacyjne ocenianej uczelni mają wysoką wartość (okazja / szansa rozwoju własnego lub kariery).30" totalsRowDxfId="204"/>
    <tableColumn id="86" xr3:uid="{4BD46113-3AB9-405D-8A53-F153B50E863D}" name="Kształcenie na ocenianej uczelni ma/będzie miało pozytywny wpływ na zwiększenie zarobków mojej/mojego podopiecznej/podopiecznego.31" totalsRowDxfId="203"/>
    <tableColumn id="87" xr3:uid="{4CA1C5A8-3427-428B-B7BA-106EBBA85C17}" name="Zarobki uzyskiwane przez mojego/moją podopieczną/podopiecznego w pierwszym roku po ukończeniu studiów były satysfakcjonujące (z mojego punktu widzenia)32" totalsRowDxfId="202"/>
    <tableColumn id="88" xr3:uid="{C37B06BC-EDB5-471E-9C95-05232AC9EACD}" name="Zarobki uzyskiwane przez mojego/moją podopieczną/podopiecznego w 3 lata po ukończeniu studiów były satysfakcjonujące (z mojego punktu widzenia)33" totalsRowDxfId="201"/>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200"/>
    <tableColumn id="90" xr3:uid="{CEEBCBE8-4DF4-40BE-ADF0-2750A2BF2609}" name="Jakie inne (poza zarobkami) efekty kształcenia na ocenianej uczelni się dostrzegasz obecnie?35" totalsRowDxfId="199"/>
    <tableColumn id="91" xr3:uid="{F1A613DC-A59A-419D-8838-D041B4273E91}" name="Jakiego rodzaju były studia, które ukończył/a Twoja/Twój podopieczna/podopieczny?36" totalsRowDxfId="198"/>
    <tableColumn id="92" xr3:uid="{E26BB465-B221-4E80-9D41-43786B72F743}" name="Pole dodatkowe37" totalsRowDxfId="197"/>
    <tableColumn id="93" xr3:uid="{12E07FC6-6ACA-44C4-A376-689F504EB460}" name="Jeśli Twoja/Twój podopieczna/podopieczny ukończył/a również inne szkoły / kierunki studiów to proszę wpisz je tutaj.38" totalsRowDxfId="196"/>
    <tableColumn id="94" xr3:uid="{4FBA703D-33E9-44C4-BD22-B3FC7B168C76}" name="Czy jesteś aktualnie pracownikiem administracyjnym uczelni wyższej?" totalsRowFunction="custom" dataDxfId="195" totalsRowDxfId="194">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193"/>
    <tableColumn id="96" xr3:uid="{43902112-5836-47AC-AA75-A65F0D4C7817}" name="Na jakim wydziale pracujesz?" totalsRowDxfId="192"/>
    <tableColumn id="97" xr3:uid="{68D4A5FB-B6F1-410C-BBCE-5D895E75D7EF}" name="Moja satysfakcja z pracy na ocenianej uczelni jest wysoka." totalsRowDxfId="191"/>
    <tableColumn id="98" xr3:uid="{097FDF01-C103-4396-9EE5-DC463D453E58}" name="Atmosfera w zespole współpracowników jest dobra." totalsRowDxfId="190"/>
    <tableColumn id="99" xr3:uid="{5B99CA3A-6D7C-4D3E-B448-2EDAF4856B42}" name="Moje zarobki są satysfakcjonujące." totalsRowDxfId="189"/>
    <tableColumn id="100" xr3:uid="{90B0699F-2BC7-4D96-9800-8B1DB165F81E}" name="Praca na ocenianej uczelni daje mi duże szanse rozwoju." totalsRowDxfId="188"/>
    <tableColumn id="101" xr3:uid="{5CB95189-87A6-4F97-B291-A05336B23F22}" name="Wartość wykształcenia zdobywanego przez studentów ocenianej uczelni jest wysoka." totalsRowDxfId="187"/>
    <tableColumn id="102" xr3:uid="{056CF7BB-B947-41A0-AC24-42A1CBCF15BD}" name="Zdobyte na ocenianej uczelni wykształcenie ma pozytywny wpływ na zwiększenie zarobków absolwentów." totalsRowDxfId="186"/>
    <tableColumn id="103" xr3:uid="{2AB65CA7-05ED-4EB7-B603-B864E6D6745F}" name="Jakie inne (poza zarobkami) efekty kształcenia na ocenianej uczelni się dostrzegasz obecnie?39" totalsRowDxfId="185"/>
    <tableColumn id="104" xr3:uid="{DC472BA3-8D88-44A6-B5C1-5BF9558627FA}" name="Czy jesteś aktualnie pracownikiem naukowym lub dydaktycznym uczelni wyższej?" totalsRowFunction="custom" dataDxfId="184" totalsRowDxfId="183">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182"/>
    <tableColumn id="106" xr3:uid="{2E39D77C-CC0F-41F1-8F10-30523EA3DE78}" name="Na jakim wydziale pracujesz?41" totalsRowDxfId="181"/>
    <tableColumn id="107" xr3:uid="{B9CFBDFF-9DC1-4556-855E-D4463D760A19}" name="Moja satysfakcja z pracy na ocenianej uczelni jest wysoka.42" totalsRowDxfId="180"/>
    <tableColumn id="108" xr3:uid="{158CA86A-249B-4193-A207-D38756E887C7}" name="Atmosfera w zespole współpracowników jest dobra.43" totalsRowDxfId="179"/>
    <tableColumn id="109" xr3:uid="{AC3090A9-EC3C-4C62-8AA9-F261EAB7887F}" name="Moje zarobki są satysfakcjonujące.44" totalsRowDxfId="178"/>
    <tableColumn id="110" xr3:uid="{9E04970F-962C-490E-A570-2D0912A5E57D}" name="Praca na ocenianej uczelni daje mi duże szanse rozwoju.45" totalsRowDxfId="177"/>
    <tableColumn id="111" xr3:uid="{C148AE52-9ADC-45EF-8DBC-27F0F1F05355}" name="Wartość wykształcenia zdobywanego przez studentów ocenianej uczelni jest wysoka.46" totalsRowDxfId="176"/>
    <tableColumn id="112" xr3:uid="{63921520-0FA3-4905-ACEB-02AFFB69B471}" name="Zdobyte na ocenianej uczelni wykształcenie ma pozytywny wpływ na zwiększenie zarobków absolwentów.47" totalsRowDxfId="175"/>
    <tableColumn id="113" xr3:uid="{E32B227A-B5B2-41A4-9CEB-B75A56696D75}" name="Jakie inne (poza zarobkami) efekty kształcenia na ocenianej uczelni dostrzegasz obecnie?48" totalsRowDxfId="174"/>
    <tableColumn id="114" xr3:uid="{98E95A67-6B14-4A2E-AB34-682AE1A049DC}" name="Czy jesteś przedstawicielem władz uczelni z grupy rektorów, prorektorów, dziekanów, prodziekanów, członków senatu lub członków rady uczelni?" totalsRowFunction="custom" dataDxfId="173" totalsRowDxfId="172">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171"/>
    <tableColumn id="116" xr3:uid="{55CD3327-D03D-49EA-AD7A-8A8492F8FF76}" name="Kolumna3" totalsRowDxfId="170"/>
    <tableColumn id="117" xr3:uid="{BF356D61-903B-4604-89F3-2B471880C5B8}" name="Kolumna4" totalsRowDxfId="169"/>
    <tableColumn id="118" xr3:uid="{7173EDEB-5382-4DCE-AA15-A72B322560D6}" name="Kolumna5" totalsRowDxfId="168"/>
    <tableColumn id="119" xr3:uid="{6200F07F-FA1F-4A3F-B8ED-B934678483AF}" name="Jak się nazywa uczelnia którą będziesz oceniać (jako przedstawiciel jej władz)?" totalsRowDxfId="167"/>
    <tableColumn id="120" xr3:uid="{E6250DE6-1A12-41F3-90EE-1B4F673F6E58}" name="Efekty działań ocenianej uczelni na rzesz jakości edukacji są dobre" totalsRowDxfId="166"/>
    <tableColumn id="121" xr3:uid="{8AE05FEE-B731-4F93-90B6-915E5774E346}" name="Wartość wykształcenia zdobywanego przez studentów na ocenianej uczelni jest wysoka." totalsRowDxfId="165"/>
    <tableColumn id="122" xr3:uid="{E115058D-8C9C-450E-8DA2-D64EB971F57D}" name="Zdobyte przez studentów ocenianej uczelni wykształcenie miało/ma pozytywny wpływ na ich zarobki." totalsRowDxfId="164"/>
    <tableColumn id="123" xr3:uid="{6FEBB446-227D-4EA1-B507-206156E53809}" name="Efekty działań ocenianej uczelni na rzecz jakości edukacji mają dobry wpływ na rozwój regionu." totalsRowDxfId="163"/>
    <tableColumn id="124" xr3:uid="{01E38E74-9E44-4BFF-97FF-3B0FF3F7CDD0}" name="Efekty działań ocenianej uczelni na rzecz jakości edukacji mają dobry wpływ na rozwój Polski." totalsRowDxfId="162"/>
    <tableColumn id="125" xr3:uid="{F17A6FA5-F0F2-48AD-B639-9161F59ACD49}" name="Współpraca ocenianej uczelni z biznesem ma pozytywne efekty dla rozwoju regionu / kraju." totalsRowDxfId="161"/>
    <tableColumn id="126" xr3:uid="{81D0BDE5-B5BD-41AD-AE49-0F05E206FF4F}" name="Ogólny poziom mojej satysfakcji z jakości usług edukacyjnych ocenianej uczelni jest wysoki." totalsRowDxfId="160"/>
    <tableColumn id="127" xr3:uid="{E1B74221-E8AC-4764-9FBA-17BC7A8DAB4F}" name="Studenci : wybierz wartość z listy rozwijanej" totalsRowDxfId="159"/>
    <tableColumn id="128" xr3:uid="{9521E128-6D78-41F6-9BED-3F1F3009376D}" name="Absolwenci : wybierz wartość z listy rozwijanej" totalsRowDxfId="158"/>
    <tableColumn id="129" xr3:uid="{F972B7F0-4237-45DD-B8D9-6E5F80BC382C}" name="Rodzice absolwentów : wybierz wartość z listy rozwijanej" totalsRowDxfId="157"/>
    <tableColumn id="130" xr3:uid="{D18127FA-4AAC-43F7-8718-648B089DA3AE}" name="Pracownicy administracyjni : wybierz wartość z listy rozwijanej" totalsRowDxfId="156"/>
    <tableColumn id="131" xr3:uid="{9AD30943-8FF3-4081-BC52-0A68F33FA1E6}" name="Pracownicy naukowi i dydaktyczni : wybierz wartość z listy rozwijanej" totalsRowDxfId="155"/>
    <tableColumn id="132" xr3:uid="{F15383FF-5030-41F2-B790-DA1B9ACCD614}" name="Pracodawcy : wybierz wartość z listy rozwijanej" totalsRowDxfId="154"/>
    <tableColumn id="133" xr3:uid="{A113041C-1CEA-48AE-A9F9-6427226B931F}" name="Władze samorządowe i centralne : wybierz wartość z listy rozwijanej" totalsRowDxfId="153"/>
    <tableColumn id="134" xr3:uid="{2391059C-06A8-4E9F-9A30-2923C913E592}" name="Pole dodatkowe4" totalsRowDxfId="152"/>
    <tableColumn id="135" xr3:uid="{87323607-8918-4675-942B-66DDA6ACC52D}" name="Studenci : wybierz wartość z listy rozwijanej5" totalsRowDxfId="151"/>
    <tableColumn id="136" xr3:uid="{575464E3-342E-4010-A0B5-F16E0DA7F25D}" name="Absolwenci : wybierz wartość z listy rozwijanej6" totalsRowDxfId="150"/>
    <tableColumn id="137" xr3:uid="{3C4E7A29-9534-46F7-9E09-353DAEA57455}" name="Rodzice absolwentów : wybierz wartość z listy rozwijanej7" totalsRowDxfId="149"/>
    <tableColumn id="138" xr3:uid="{5EFF4867-813D-4D19-AFD2-41795D704E9D}" name="Pracownicy administracyjni : wybierz wartość z listy rozwijanej8" totalsRowDxfId="148"/>
    <tableColumn id="139" xr3:uid="{BD3A3545-6744-40C8-B6F9-128B604A0016}" name="Pracownicy naukowi i dydaktyczni : wybierz wartość z listy rozwijanej9" totalsRowDxfId="147"/>
    <tableColumn id="140" xr3:uid="{A370427A-746A-432F-8439-DE3E0F05E90C}" name="Pracodawcy : wybierz wartość z listy rozwijanej10" totalsRowDxfId="146"/>
    <tableColumn id="141" xr3:uid="{A6D0879A-E0B6-4F9C-B8AB-CCB9C168853D}" name="Władze samorządowe i centralne : wybierz wartość z listy rozwijanej11" totalsRowDxfId="145"/>
    <tableColumn id="142" xr3:uid="{ED69D784-3A72-4212-8A94-FFF937BB5636}" name="Pole dodatkowe12" totalsRowDxfId="144"/>
    <tableColumn id="143" xr3:uid="{F9376235-C8DC-451D-B95A-275409F154F3}" name="Czy jesteś przedstawicielem firmy, w której są zatrudniani absolwenci uczelni wyższych (tytuł licencjata, magistra lub wyższy)?" totalsRowFunction="custom" dataDxfId="143" totalsRowDxfId="142">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41"/>
    <tableColumn id="145" xr3:uid="{FEA12265-815B-4115-947C-C4D7389958E8}" name="Ile uczelni będziesz oceniać?" totalsRowDxfId="140"/>
    <tableColumn id="146" xr3:uid="{26F5BBF0-E63C-4FC8-A2F3-F0ADC728D5E4}" name="Jak się nazywa uczelnia, którą ocenisz? " totalsRowDxfId="139"/>
    <tableColumn id="147" xr3:uid="{61714612-8B24-4377-BCF5-066C33634E6F}" name="Moja satysfakcja z (efektów) usług edukacyjnych na ocenianej uczelni jest wysoka." totalsRowDxfId="138"/>
    <tableColumn id="148" xr3:uid="{043BF385-CFC6-4AC5-BD7D-2DC21351418F}" name="Kompetencje absolwentów ocenianej uczelni są wysokie." totalsRowDxfId="137"/>
    <tableColumn id="149" xr3:uid="{35B1450E-E76E-4137-923C-C1196FE6A242}" name="Zarobki absolwentów ocenianej uczelni zatrudnionych w mojej firmie są wyższe od zarobków absolwentów innych polskich uczelni." totalsRowDxfId="136"/>
    <tableColumn id="150" xr3:uid="{46264593-E5FF-4A8E-9E32-B5CDAD83DB38}" name="Czy w Twojej firmie są zatrudniani absolwenci uczelni w pierwszym roku po ukończeniu studiów (do 12 miesięcy od uzyskania dyplomu)?" totalsRowDxfId="135"/>
    <tableColumn id="151" xr3:uid="{AFEC3724-7638-4FBB-9B74-E3C5F372DFD7}" name="Jakie kompetencje absolwentów ocenianej uczelni są w Twojej firmie najwyżej wyceniane?" totalsRowDxfId="134"/>
    <tableColumn id="152" xr3:uid="{7C41F20E-87DA-419A-A4DC-8FC7E15280E1}" name="Jakiego rodzaju prace wykonują absolwenci ocenianej uczelni w Twojej firmie?" totalsRowDxfId="133"/>
    <tableColumn id="153" xr3:uid="{A53B26E4-0EB5-4875-918F-C84DFA999490}" name="Czy będziesz oceniał drugą uczelnię?" totalsRowDxfId="132"/>
    <tableColumn id="154" xr3:uid="{C51996BB-6F72-462D-AF3A-889816D9376D}" name="Jak się nazywa uczelnia, którą ocenisz? 13" totalsRowDxfId="131"/>
    <tableColumn id="155" xr3:uid="{C4DC7D31-6CB7-4667-BEF7-8EFAA1443E26}" name="Moja satysfakcja z (efektów) usług edukacyjnych na ocenianej uczelni jest wysoka.14" totalsRowDxfId="130"/>
    <tableColumn id="156" xr3:uid="{6BE5AEB2-D87C-4FAD-8A78-12F3665EA35B}" name="Kompetencje absolwentów ocenianej uczelni są wysokie.15" totalsRowDxfId="129"/>
    <tableColumn id="157" xr3:uid="{E68B03D6-C361-4634-B98C-870BC31CEDD8}" name="Zarobki absolwentów ocenianej uczelni zatrudnionych w mojej firmie są wyższe od zarobków absolwentów innych polskich uczelni.16" totalsRowDxfId="128"/>
    <tableColumn id="158" xr3:uid="{7AE77260-6064-4321-A8D8-8F0B2D560514}" name="Czy w Twojej firmie są zatrudniani absolwenci uczelni w pierwszym roku po ukończeniu studiów (do 12 miesięcy od uzyskania dyplomu)?17" totalsRowDxfId="127"/>
    <tableColumn id="159" xr3:uid="{02179DC7-236C-405B-9717-3820DB37DCDE}" name="Jakie kompetencje absolwentów ocenianej uczelni są w Twojej firmie najwyżej wyceniane?18" totalsRowDxfId="126"/>
    <tableColumn id="160" xr3:uid="{ACD9DA00-A265-43F3-A8CD-4AB9D52D21A7}" name="Jakiego rodzaju prace wykonują absolwenci ocenianej uczelni w Twojej firmie?19" totalsRowDxfId="125"/>
    <tableColumn id="161" xr3:uid="{40C65435-9246-41B9-9D13-8617AD0D615B}" name="Czy będziesz oceniał trzecią uczelnię techniczną?" totalsRowDxfId="124"/>
    <tableColumn id="162" xr3:uid="{6D52B5AA-D38E-4A9C-9FC4-C5F27711E4B2}" name="Jak się nazywa uczelnia, którą ocenisz? 20" totalsRowDxfId="123"/>
    <tableColumn id="163" xr3:uid="{121D311A-63E4-4EF2-A0DA-FAA985067046}" name="Moja satysfakcja z (efektów) usług edukacyjnych na ocenianej uczelni jest wysoka.21" totalsRowDxfId="122"/>
    <tableColumn id="164" xr3:uid="{F282EA05-D156-4529-9BC1-8600524F81FD}" name="Kompetencje absolwentów ocenianej uczelni są wysokie.22" totalsRowDxfId="121"/>
    <tableColumn id="165" xr3:uid="{58F11C5E-414B-4C75-8CE5-1580D3F448A9}" name="Zarobki absolwentów ocenianej uczelni zatrudnionych w mojej firmie są wyższe od zarobków absolwentów innych polskich uczelni.23" totalsRowDxfId="120"/>
    <tableColumn id="166" xr3:uid="{3E1C84AB-DCF6-4B96-B25A-E3AA8A32B928}" name="Czy w Twojej firmie są zatrudniani absolwenci uczelni w pierwszym roku po ukończeniu studiów (do 12 miesięcy od uzyskania dyplomu)?24" totalsRowDxfId="119"/>
    <tableColumn id="167" xr3:uid="{4C87DA44-3851-4B6F-8471-F5B274EEF69E}" name="Jakie kompetencje absolwentów ocenianej uczelni są w Twojej firmie najwyżej wyceniane?25" totalsRowDxfId="118"/>
    <tableColumn id="168" xr3:uid="{4889D3B6-442C-490C-9642-B9781EC55E1C}" name="Jakiego rodzaju prace wykonują absolwenci ocenianej uczelni są w Twojej firmie?" totalsRowDxfId="117"/>
    <tableColumn id="169" xr3:uid="{370CF6EE-F46C-4CFF-9496-7844071DF992}" name="Czy jesteś przedstawicielem władz samorządowych lub centralnych Rzeczypospolitej Polskiej?" totalsRowFunction="custom" dataDxfId="116" totalsRowDxfId="115">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IA42"/>
  <sheetViews>
    <sheetView tabSelected="1" zoomScaleNormal="100" workbookViewId="0">
      <pane ySplit="2" topLeftCell="A18" activePane="bottomLeft" state="frozen"/>
      <selection activeCell="J1" sqref="J1"/>
      <selection pane="bottomLeft" activeCell="I25" sqref="I25"/>
    </sheetView>
  </sheetViews>
  <sheetFormatPr defaultColWidth="8.1328125" defaultRowHeight="14.25" outlineLevelCol="2" x14ac:dyDescent="0.45"/>
  <cols>
    <col min="1" max="1" width="8.1328125" customWidth="1" outlineLevel="1"/>
    <col min="2" max="2" width="5.59765625" customWidth="1"/>
    <col min="3" max="3" width="8.1328125" hidden="1" customWidth="1" outlineLevel="1"/>
    <col min="4" max="5" width="5.9296875" hidden="1" customWidth="1" outlineLevel="1"/>
    <col min="6" max="6" width="8.1328125" hidden="1" customWidth="1" outlineLevel="1"/>
    <col min="7" max="7" width="4.46484375" customWidth="1" collapsed="1"/>
    <col min="8" max="8" width="4.46484375" customWidth="1"/>
    <col min="9" max="9" width="12" customWidth="1"/>
    <col min="10" max="10" width="33.86328125" customWidth="1"/>
    <col min="11" max="11" width="12.33203125" customWidth="1" outlineLevel="1"/>
    <col min="12" max="12" width="15.6640625" customWidth="1" outlineLevel="1"/>
    <col min="13" max="14" width="12.33203125" customWidth="1" outlineLevel="1"/>
    <col min="15" max="15" width="5.46484375" customWidth="1" outlineLevel="1"/>
    <col min="16" max="18" width="16.265625" customWidth="1" outlineLevel="1"/>
    <col min="19" max="19" width="66.9296875" customWidth="1" outlineLevel="1"/>
    <col min="20" max="20" width="18.59765625" style="28" customWidth="1" outlineLevel="1"/>
    <col min="21" max="21" width="10" style="28" hidden="1" customWidth="1" outlineLevel="2"/>
    <col min="22" max="22" width="10.265625" style="28" hidden="1" customWidth="1" outlineLevel="2"/>
    <col min="23" max="28" width="10.796875" style="28" hidden="1" customWidth="1" outlineLevel="2"/>
    <col min="29" max="29" width="14.59765625" customWidth="1" outlineLevel="1" collapsed="1"/>
    <col min="30" max="30" width="6.6640625" customWidth="1" outlineLevel="1"/>
    <col min="31" max="31" width="7" customWidth="1" outlineLevel="1"/>
    <col min="32" max="32" width="6.53125" customWidth="1" outlineLevel="1"/>
    <col min="33" max="33" width="8.73046875" customWidth="1" outlineLevel="1"/>
    <col min="34" max="34" width="3.796875" customWidth="1"/>
    <col min="35" max="35" width="8.1328125" customWidth="1"/>
    <col min="36" max="36" width="7.796875" hidden="1" customWidth="1" outlineLevel="1"/>
    <col min="37" max="37" width="33.1328125" hidden="1" customWidth="1" outlineLevel="1"/>
    <col min="38" max="38" width="8.1328125" hidden="1" customWidth="1" outlineLevel="1"/>
    <col min="39" max="39" width="16.1328125" hidden="1" customWidth="1" outlineLevel="1"/>
    <col min="40" max="40" width="14.59765625" hidden="1" customWidth="1" outlineLevel="1"/>
    <col min="41" max="50" width="8.1328125" hidden="1" customWidth="1" outlineLevel="1"/>
    <col min="51" max="51" width="8.1328125" customWidth="1" collapsed="1"/>
    <col min="52" max="52" width="6.73046875" hidden="1" customWidth="1" outlineLevel="1"/>
    <col min="53" max="53" width="23.1328125" hidden="1" customWidth="1" outlineLevel="1"/>
    <col min="54" max="54" width="11.6640625" hidden="1" customWidth="1" outlineLevel="1"/>
    <col min="55" max="55" width="8.3984375" hidden="1" customWidth="1" outlineLevel="1"/>
    <col min="56" max="56" width="6.53125" hidden="1" customWidth="1" outlineLevel="1"/>
    <col min="57" max="69" width="23.1328125" hidden="1" customWidth="1" outlineLevel="1"/>
    <col min="70" max="70" width="8.19921875" customWidth="1" collapsed="1"/>
    <col min="71" max="71" width="6.9296875" hidden="1" customWidth="1" outlineLevel="1"/>
    <col min="72" max="115" width="7.86328125" hidden="1" customWidth="1" outlineLevel="1"/>
    <col min="116" max="116" width="9.06640625" customWidth="1" collapsed="1"/>
    <col min="117" max="125" width="8.06640625" hidden="1" customWidth="1" outlineLevel="1"/>
    <col min="126" max="126" width="10.265625" customWidth="1" collapsed="1"/>
    <col min="127" max="135" width="10.265625" hidden="1" customWidth="1" outlineLevel="1"/>
    <col min="136" max="136" width="8.59765625" customWidth="1" collapsed="1"/>
    <col min="137" max="137" width="8.6640625" hidden="1" customWidth="1" outlineLevel="1"/>
    <col min="138" max="164" width="8.1328125" hidden="1" customWidth="1" outlineLevel="1"/>
    <col min="165" max="165" width="8.1328125" customWidth="1" collapsed="1"/>
    <col min="166" max="166" width="8.06640625" hidden="1" customWidth="1" outlineLevel="1"/>
    <col min="167" max="190" width="8.1328125" hidden="1" customWidth="1" outlineLevel="1"/>
    <col min="191" max="191" width="8.1328125" customWidth="1" collapsed="1"/>
    <col min="192" max="192" width="7.265625" hidden="1" customWidth="1" outlineLevel="1"/>
    <col min="193" max="227" width="8.1328125" hidden="1" customWidth="1" outlineLevel="1"/>
    <col min="228" max="228" width="8.1328125" customWidth="1" collapsed="1"/>
    <col min="229" max="229" width="5.19921875" customWidth="1"/>
    <col min="230" max="230" width="4.86328125" customWidth="1"/>
    <col min="232" max="232" width="5.9296875" customWidth="1"/>
    <col min="233" max="233" width="2.06640625" customWidth="1"/>
  </cols>
  <sheetData>
    <row r="1" spans="1:235" ht="71.650000000000006" customHeight="1" x14ac:dyDescent="0.45">
      <c r="A1" t="s">
        <v>0</v>
      </c>
      <c r="D1" t="s">
        <v>8</v>
      </c>
      <c r="E1" t="s">
        <v>9</v>
      </c>
      <c r="F1" t="s">
        <v>10</v>
      </c>
      <c r="AI1" s="3" t="s">
        <v>13</v>
      </c>
      <c r="AJ1" t="s">
        <v>14</v>
      </c>
      <c r="AK1" t="s">
        <v>15</v>
      </c>
      <c r="AL1" t="s">
        <v>16</v>
      </c>
      <c r="AM1" t="s">
        <v>17</v>
      </c>
      <c r="AP1" t="s">
        <v>18</v>
      </c>
      <c r="AQ1" t="s">
        <v>19</v>
      </c>
      <c r="AS1" t="s">
        <v>20</v>
      </c>
      <c r="AT1" t="s">
        <v>21</v>
      </c>
      <c r="AV1" t="s">
        <v>22</v>
      </c>
      <c r="AX1" t="s">
        <v>23</v>
      </c>
      <c r="AY1" s="3" t="s">
        <v>24</v>
      </c>
      <c r="AZ1" t="s">
        <v>25</v>
      </c>
      <c r="BB1" t="s">
        <v>26</v>
      </c>
      <c r="BC1" t="s">
        <v>27</v>
      </c>
      <c r="BD1" t="s">
        <v>28</v>
      </c>
      <c r="BE1" t="s">
        <v>17</v>
      </c>
      <c r="BJ1" t="s">
        <v>29</v>
      </c>
      <c r="BK1" t="s">
        <v>30</v>
      </c>
      <c r="BM1" t="s">
        <v>31</v>
      </c>
      <c r="BN1" t="s">
        <v>32</v>
      </c>
      <c r="BP1" t="s">
        <v>33</v>
      </c>
      <c r="BR1" s="3" t="s">
        <v>34</v>
      </c>
      <c r="BS1" t="s">
        <v>35</v>
      </c>
      <c r="BT1" t="s">
        <v>36</v>
      </c>
      <c r="BU1" t="s">
        <v>37</v>
      </c>
      <c r="BV1" t="s">
        <v>38</v>
      </c>
      <c r="BW1" t="s">
        <v>39</v>
      </c>
      <c r="BX1" t="s">
        <v>17</v>
      </c>
      <c r="CC1" t="s">
        <v>40</v>
      </c>
      <c r="CD1" t="s">
        <v>41</v>
      </c>
      <c r="CE1" t="s">
        <v>42</v>
      </c>
      <c r="CG1" t="s">
        <v>43</v>
      </c>
      <c r="CH1" t="s">
        <v>44</v>
      </c>
      <c r="CI1" t="s">
        <v>36</v>
      </c>
      <c r="CJ1" t="s">
        <v>37</v>
      </c>
      <c r="CK1" t="s">
        <v>38</v>
      </c>
      <c r="CL1" t="s">
        <v>39</v>
      </c>
      <c r="CM1" t="s">
        <v>17</v>
      </c>
      <c r="CR1" t="s">
        <v>40</v>
      </c>
      <c r="CS1" t="s">
        <v>41</v>
      </c>
      <c r="CT1" t="s">
        <v>42</v>
      </c>
      <c r="CV1" t="s">
        <v>43</v>
      </c>
      <c r="CW1" t="s">
        <v>45</v>
      </c>
      <c r="CX1" t="s">
        <v>36</v>
      </c>
      <c r="CY1" t="s">
        <v>37</v>
      </c>
      <c r="CZ1" t="s">
        <v>38</v>
      </c>
      <c r="DA1" t="s">
        <v>39</v>
      </c>
      <c r="DB1" t="s">
        <v>17</v>
      </c>
      <c r="DG1" t="s">
        <v>40</v>
      </c>
      <c r="DH1" t="s">
        <v>41</v>
      </c>
      <c r="DI1" t="s">
        <v>42</v>
      </c>
      <c r="DK1" t="s">
        <v>43</v>
      </c>
      <c r="DL1" s="3" t="s">
        <v>46</v>
      </c>
      <c r="DM1" t="s">
        <v>47</v>
      </c>
      <c r="DN1" t="s">
        <v>48</v>
      </c>
      <c r="DO1" t="s">
        <v>17</v>
      </c>
      <c r="DU1" t="s">
        <v>41</v>
      </c>
      <c r="DV1" s="3" t="s">
        <v>49</v>
      </c>
      <c r="DW1" t="s">
        <v>47</v>
      </c>
      <c r="DX1" t="s">
        <v>48</v>
      </c>
      <c r="DY1" t="s">
        <v>17</v>
      </c>
      <c r="EE1" t="s">
        <v>31</v>
      </c>
      <c r="EF1" s="3" t="s">
        <v>50</v>
      </c>
      <c r="EG1" t="s">
        <v>51</v>
      </c>
      <c r="EK1" t="s">
        <v>52</v>
      </c>
      <c r="EL1" t="s">
        <v>17</v>
      </c>
      <c r="ES1" t="s">
        <v>53</v>
      </c>
      <c r="FA1" t="s">
        <v>54</v>
      </c>
      <c r="FI1" s="3" t="s">
        <v>55</v>
      </c>
      <c r="FJ1" t="s">
        <v>56</v>
      </c>
      <c r="FK1" t="s">
        <v>57</v>
      </c>
      <c r="FL1" t="s">
        <v>58</v>
      </c>
      <c r="FM1" t="s">
        <v>17</v>
      </c>
      <c r="FP1" t="s">
        <v>59</v>
      </c>
      <c r="FQ1" t="s">
        <v>60</v>
      </c>
      <c r="FR1" t="s">
        <v>61</v>
      </c>
      <c r="FS1" t="s">
        <v>62</v>
      </c>
      <c r="FT1" t="s">
        <v>58</v>
      </c>
      <c r="FU1" t="s">
        <v>17</v>
      </c>
      <c r="FX1" t="s">
        <v>59</v>
      </c>
      <c r="FY1" t="s">
        <v>60</v>
      </c>
      <c r="FZ1" t="s">
        <v>61</v>
      </c>
      <c r="GA1" t="s">
        <v>63</v>
      </c>
      <c r="GB1" t="s">
        <v>58</v>
      </c>
      <c r="GC1" t="s">
        <v>17</v>
      </c>
      <c r="GF1" t="s">
        <v>59</v>
      </c>
      <c r="GG1" t="s">
        <v>60</v>
      </c>
      <c r="GH1" t="s">
        <v>64</v>
      </c>
      <c r="GI1" s="3" t="s">
        <v>65</v>
      </c>
      <c r="GJ1" t="s">
        <v>66</v>
      </c>
      <c r="GK1" t="s">
        <v>67</v>
      </c>
      <c r="GL1" t="s">
        <v>57</v>
      </c>
      <c r="GM1" t="s">
        <v>68</v>
      </c>
      <c r="GN1" t="s">
        <v>17</v>
      </c>
      <c r="GV1" t="s">
        <v>69</v>
      </c>
      <c r="GW1" t="s">
        <v>70</v>
      </c>
      <c r="GX1" t="s">
        <v>68</v>
      </c>
      <c r="GY1" t="s">
        <v>17</v>
      </c>
      <c r="HF1" t="s">
        <v>71</v>
      </c>
      <c r="HG1" t="s">
        <v>72</v>
      </c>
      <c r="HH1" t="s">
        <v>68</v>
      </c>
      <c r="HI1" t="s">
        <v>17</v>
      </c>
      <c r="HP1" t="s">
        <v>71</v>
      </c>
      <c r="HQ1" t="s">
        <v>73</v>
      </c>
      <c r="HT1" t="s">
        <v>74</v>
      </c>
      <c r="HU1" t="s">
        <v>75</v>
      </c>
      <c r="HW1" t="s">
        <v>76</v>
      </c>
      <c r="HY1" t="s">
        <v>77</v>
      </c>
      <c r="HZ1" t="s">
        <v>78</v>
      </c>
      <c r="IA1" t="s">
        <v>79</v>
      </c>
    </row>
    <row r="2" spans="1:235" ht="114" x14ac:dyDescent="0.45">
      <c r="A2" t="s">
        <v>2766</v>
      </c>
      <c r="B2" t="s">
        <v>2264</v>
      </c>
      <c r="C2" t="s">
        <v>2267</v>
      </c>
      <c r="D2" t="s">
        <v>8</v>
      </c>
      <c r="E2" t="s">
        <v>9</v>
      </c>
      <c r="F2" t="s">
        <v>10</v>
      </c>
      <c r="G2" t="s">
        <v>2447</v>
      </c>
      <c r="H2" s="20" t="s">
        <v>2785</v>
      </c>
      <c r="I2" s="20" t="s">
        <v>2454</v>
      </c>
      <c r="J2" s="58" t="s">
        <v>2765</v>
      </c>
      <c r="K2" s="58" t="s">
        <v>2499</v>
      </c>
      <c r="L2" s="58" t="s">
        <v>2498</v>
      </c>
      <c r="M2" s="58" t="s">
        <v>2497</v>
      </c>
      <c r="N2" s="58" t="s">
        <v>2496</v>
      </c>
      <c r="O2" s="58" t="s">
        <v>2495</v>
      </c>
      <c r="P2" s="58" t="s">
        <v>2493</v>
      </c>
      <c r="Q2" s="58" t="s">
        <v>2494</v>
      </c>
      <c r="R2" s="58" t="s">
        <v>2492</v>
      </c>
      <c r="S2" s="58" t="s">
        <v>2489</v>
      </c>
      <c r="T2" s="58" t="s">
        <v>2490</v>
      </c>
      <c r="U2" s="58" t="s">
        <v>2296</v>
      </c>
      <c r="V2" s="58" t="s">
        <v>2297</v>
      </c>
      <c r="W2" s="58" t="s">
        <v>2782</v>
      </c>
      <c r="X2" s="58" t="s">
        <v>2775</v>
      </c>
      <c r="Y2" s="58" t="s">
        <v>2773</v>
      </c>
      <c r="Z2" s="58" t="s">
        <v>2774</v>
      </c>
      <c r="AA2" s="58" t="s">
        <v>2776</v>
      </c>
      <c r="AB2" s="58" t="s">
        <v>2779</v>
      </c>
      <c r="AC2" s="58" t="s">
        <v>2491</v>
      </c>
      <c r="AD2" s="58" t="s">
        <v>2488</v>
      </c>
      <c r="AE2" s="58" t="s">
        <v>2763</v>
      </c>
      <c r="AF2" s="58" t="s">
        <v>2762</v>
      </c>
      <c r="AG2" s="58" t="s">
        <v>2066</v>
      </c>
      <c r="AH2" s="58" t="s">
        <v>2768</v>
      </c>
      <c r="AI2" s="1" t="s">
        <v>13</v>
      </c>
      <c r="AJ2" t="s">
        <v>14</v>
      </c>
      <c r="AK2" t="s">
        <v>15</v>
      </c>
      <c r="AL2" t="s">
        <v>16</v>
      </c>
      <c r="AM2" t="s">
        <v>80</v>
      </c>
      <c r="AN2" t="s">
        <v>81</v>
      </c>
      <c r="AO2" t="s">
        <v>82</v>
      </c>
      <c r="AP2" t="s">
        <v>2065</v>
      </c>
      <c r="AQ2" t="s">
        <v>83</v>
      </c>
      <c r="AR2" t="s">
        <v>84</v>
      </c>
      <c r="AS2" t="s">
        <v>20</v>
      </c>
      <c r="AT2" t="s">
        <v>2265</v>
      </c>
      <c r="AU2" t="s">
        <v>2266</v>
      </c>
      <c r="AV2" t="s">
        <v>22</v>
      </c>
      <c r="AW2" t="s">
        <v>85</v>
      </c>
      <c r="AX2" t="s">
        <v>23</v>
      </c>
      <c r="AY2" s="1" t="s">
        <v>24</v>
      </c>
      <c r="AZ2" t="s">
        <v>25</v>
      </c>
      <c r="BA2" s="20" t="s">
        <v>2325</v>
      </c>
      <c r="BB2" t="s">
        <v>26</v>
      </c>
      <c r="BC2" t="s">
        <v>27</v>
      </c>
      <c r="BD2" t="s">
        <v>28</v>
      </c>
      <c r="BE2" t="s">
        <v>86</v>
      </c>
      <c r="BF2" t="s">
        <v>2071</v>
      </c>
      <c r="BG2" t="s">
        <v>87</v>
      </c>
      <c r="BH2" t="s">
        <v>88</v>
      </c>
      <c r="BI2" t="s">
        <v>89</v>
      </c>
      <c r="BJ2" t="s">
        <v>29</v>
      </c>
      <c r="BK2" t="s">
        <v>2072</v>
      </c>
      <c r="BL2" t="s">
        <v>2073</v>
      </c>
      <c r="BM2" t="s">
        <v>31</v>
      </c>
      <c r="BN2" t="s">
        <v>32</v>
      </c>
      <c r="BO2" t="s">
        <v>2070</v>
      </c>
      <c r="BP2" t="s">
        <v>33</v>
      </c>
      <c r="BQ2" t="s">
        <v>2074</v>
      </c>
      <c r="BR2" s="1" t="s">
        <v>34</v>
      </c>
      <c r="BS2" t="s">
        <v>35</v>
      </c>
      <c r="BT2" t="s">
        <v>36</v>
      </c>
      <c r="BU2" t="s">
        <v>37</v>
      </c>
      <c r="BV2" t="s">
        <v>38</v>
      </c>
      <c r="BW2" t="s">
        <v>39</v>
      </c>
      <c r="BX2" s="20" t="s">
        <v>2075</v>
      </c>
      <c r="BY2" t="s">
        <v>2076</v>
      </c>
      <c r="BZ2" t="s">
        <v>90</v>
      </c>
      <c r="CA2" t="s">
        <v>91</v>
      </c>
      <c r="CB2" t="s">
        <v>92</v>
      </c>
      <c r="CC2" t="s">
        <v>40</v>
      </c>
      <c r="CD2" t="s">
        <v>41</v>
      </c>
      <c r="CE2" t="s">
        <v>42</v>
      </c>
      <c r="CF2" t="s">
        <v>2077</v>
      </c>
      <c r="CG2" t="s">
        <v>43</v>
      </c>
      <c r="CH2" t="s">
        <v>44</v>
      </c>
      <c r="CI2" t="s">
        <v>2078</v>
      </c>
      <c r="CJ2" t="s">
        <v>2079</v>
      </c>
      <c r="CK2" t="s">
        <v>2080</v>
      </c>
      <c r="CL2" t="s">
        <v>2081</v>
      </c>
      <c r="CM2" t="s">
        <v>2082</v>
      </c>
      <c r="CN2" t="s">
        <v>2083</v>
      </c>
      <c r="CO2" t="s">
        <v>2084</v>
      </c>
      <c r="CP2" t="s">
        <v>2085</v>
      </c>
      <c r="CQ2" t="s">
        <v>2086</v>
      </c>
      <c r="CR2" t="s">
        <v>2087</v>
      </c>
      <c r="CS2" t="s">
        <v>2088</v>
      </c>
      <c r="CT2" t="s">
        <v>2089</v>
      </c>
      <c r="CU2" t="s">
        <v>2090</v>
      </c>
      <c r="CV2" t="s">
        <v>2091</v>
      </c>
      <c r="CW2" t="s">
        <v>45</v>
      </c>
      <c r="CX2" t="s">
        <v>2092</v>
      </c>
      <c r="CY2" t="s">
        <v>2093</v>
      </c>
      <c r="CZ2" t="s">
        <v>2094</v>
      </c>
      <c r="DA2" t="s">
        <v>2095</v>
      </c>
      <c r="DB2" t="s">
        <v>2096</v>
      </c>
      <c r="DC2" t="s">
        <v>2097</v>
      </c>
      <c r="DD2" t="s">
        <v>2098</v>
      </c>
      <c r="DE2" t="s">
        <v>2099</v>
      </c>
      <c r="DF2" t="s">
        <v>2100</v>
      </c>
      <c r="DG2" t="s">
        <v>2101</v>
      </c>
      <c r="DH2" t="s">
        <v>2102</v>
      </c>
      <c r="DI2" t="s">
        <v>2103</v>
      </c>
      <c r="DJ2" t="s">
        <v>2104</v>
      </c>
      <c r="DK2" t="s">
        <v>2105</v>
      </c>
      <c r="DL2" s="1" t="s">
        <v>46</v>
      </c>
      <c r="DM2" t="s">
        <v>47</v>
      </c>
      <c r="DN2" t="s">
        <v>48</v>
      </c>
      <c r="DO2" t="s">
        <v>93</v>
      </c>
      <c r="DP2" t="s">
        <v>94</v>
      </c>
      <c r="DQ2" s="20" t="s">
        <v>95</v>
      </c>
      <c r="DR2" s="20" t="s">
        <v>96</v>
      </c>
      <c r="DS2" t="s">
        <v>97</v>
      </c>
      <c r="DT2" t="s">
        <v>98</v>
      </c>
      <c r="DU2" t="s">
        <v>2106</v>
      </c>
      <c r="DV2" s="1" t="s">
        <v>49</v>
      </c>
      <c r="DW2" t="s">
        <v>2107</v>
      </c>
      <c r="DX2" t="s">
        <v>2108</v>
      </c>
      <c r="DY2" t="s">
        <v>2109</v>
      </c>
      <c r="DZ2" s="20" t="s">
        <v>2110</v>
      </c>
      <c r="EA2" s="20" t="s">
        <v>2111</v>
      </c>
      <c r="EB2" s="20" t="s">
        <v>2112</v>
      </c>
      <c r="EC2" s="20" t="s">
        <v>2113</v>
      </c>
      <c r="ED2" t="s">
        <v>2114</v>
      </c>
      <c r="EE2" t="s">
        <v>2115</v>
      </c>
      <c r="EF2" s="1" t="s">
        <v>50</v>
      </c>
      <c r="EG2" t="s">
        <v>51</v>
      </c>
      <c r="EH2" t="s">
        <v>2067</v>
      </c>
      <c r="EI2" t="s">
        <v>2068</v>
      </c>
      <c r="EJ2" t="s">
        <v>2069</v>
      </c>
      <c r="EK2" t="s">
        <v>52</v>
      </c>
      <c r="EL2" s="20" t="s">
        <v>99</v>
      </c>
      <c r="EM2" s="20" t="s">
        <v>100</v>
      </c>
      <c r="EN2" s="20" t="s">
        <v>101</v>
      </c>
      <c r="EO2" t="s">
        <v>102</v>
      </c>
      <c r="EP2" t="s">
        <v>103</v>
      </c>
      <c r="EQ2" s="20" t="s">
        <v>104</v>
      </c>
      <c r="ER2" s="20" t="s">
        <v>105</v>
      </c>
      <c r="ES2" t="s">
        <v>106</v>
      </c>
      <c r="ET2" t="s">
        <v>107</v>
      </c>
      <c r="EU2" t="s">
        <v>108</v>
      </c>
      <c r="EV2" t="s">
        <v>109</v>
      </c>
      <c r="EW2" t="s">
        <v>110</v>
      </c>
      <c r="EX2" t="s">
        <v>111</v>
      </c>
      <c r="EY2" t="s">
        <v>112</v>
      </c>
      <c r="EZ2" t="s">
        <v>2116</v>
      </c>
      <c r="FA2" t="s">
        <v>2117</v>
      </c>
      <c r="FB2" t="s">
        <v>2118</v>
      </c>
      <c r="FC2" t="s">
        <v>2119</v>
      </c>
      <c r="FD2" t="s">
        <v>2120</v>
      </c>
      <c r="FE2" t="s">
        <v>2121</v>
      </c>
      <c r="FF2" t="s">
        <v>2122</v>
      </c>
      <c r="FG2" t="s">
        <v>2123</v>
      </c>
      <c r="FH2" t="s">
        <v>2124</v>
      </c>
      <c r="FI2" s="1" t="s">
        <v>55</v>
      </c>
      <c r="FJ2" t="s">
        <v>56</v>
      </c>
      <c r="FK2" t="s">
        <v>57</v>
      </c>
      <c r="FL2" t="s">
        <v>58</v>
      </c>
      <c r="FM2" s="20" t="s">
        <v>113</v>
      </c>
      <c r="FN2" t="s">
        <v>114</v>
      </c>
      <c r="FO2" t="s">
        <v>115</v>
      </c>
      <c r="FP2" t="s">
        <v>59</v>
      </c>
      <c r="FQ2" t="s">
        <v>60</v>
      </c>
      <c r="FR2" t="s">
        <v>61</v>
      </c>
      <c r="FS2" t="s">
        <v>62</v>
      </c>
      <c r="FT2" t="s">
        <v>2125</v>
      </c>
      <c r="FU2" t="s">
        <v>2126</v>
      </c>
      <c r="FV2" t="s">
        <v>2127</v>
      </c>
      <c r="FW2" t="s">
        <v>2128</v>
      </c>
      <c r="FX2" t="s">
        <v>2129</v>
      </c>
      <c r="FY2" t="s">
        <v>2130</v>
      </c>
      <c r="FZ2" t="s">
        <v>2131</v>
      </c>
      <c r="GA2" t="s">
        <v>63</v>
      </c>
      <c r="GB2" t="s">
        <v>2132</v>
      </c>
      <c r="GC2" t="s">
        <v>2133</v>
      </c>
      <c r="GD2" t="s">
        <v>2134</v>
      </c>
      <c r="GE2" t="s">
        <v>2135</v>
      </c>
      <c r="GF2" t="s">
        <v>2136</v>
      </c>
      <c r="GG2" t="s">
        <v>2137</v>
      </c>
      <c r="GH2" t="s">
        <v>64</v>
      </c>
      <c r="GI2" s="1" t="s">
        <v>65</v>
      </c>
      <c r="GJ2" t="s">
        <v>66</v>
      </c>
      <c r="GK2" t="s">
        <v>67</v>
      </c>
      <c r="GL2" t="s">
        <v>2138</v>
      </c>
      <c r="GM2" t="s">
        <v>68</v>
      </c>
      <c r="GN2" s="20" t="s">
        <v>116</v>
      </c>
      <c r="GO2" t="s">
        <v>2139</v>
      </c>
      <c r="GP2" t="s">
        <v>2140</v>
      </c>
      <c r="GQ2" t="s">
        <v>2141</v>
      </c>
      <c r="GR2" t="s">
        <v>2142</v>
      </c>
      <c r="GS2" t="s">
        <v>2143</v>
      </c>
      <c r="GT2" t="s">
        <v>2144</v>
      </c>
      <c r="GU2" t="s">
        <v>2145</v>
      </c>
      <c r="GV2" t="s">
        <v>69</v>
      </c>
      <c r="GW2" t="s">
        <v>70</v>
      </c>
      <c r="GX2" t="s">
        <v>2146</v>
      </c>
      <c r="GY2" t="s">
        <v>2147</v>
      </c>
      <c r="GZ2" t="s">
        <v>2148</v>
      </c>
      <c r="HA2" t="s">
        <v>2149</v>
      </c>
      <c r="HB2" t="s">
        <v>2150</v>
      </c>
      <c r="HC2" t="s">
        <v>2151</v>
      </c>
      <c r="HD2" t="s">
        <v>2152</v>
      </c>
      <c r="HE2" t="s">
        <v>2153</v>
      </c>
      <c r="HF2" t="s">
        <v>71</v>
      </c>
      <c r="HG2" t="s">
        <v>72</v>
      </c>
      <c r="HH2" t="s">
        <v>2154</v>
      </c>
      <c r="HI2" t="s">
        <v>2155</v>
      </c>
      <c r="HJ2" t="s">
        <v>2156</v>
      </c>
      <c r="HK2" t="s">
        <v>2157</v>
      </c>
      <c r="HL2" t="s">
        <v>2158</v>
      </c>
      <c r="HM2" t="s">
        <v>2159</v>
      </c>
      <c r="HN2" t="s">
        <v>2160</v>
      </c>
      <c r="HO2" t="s">
        <v>2161</v>
      </c>
      <c r="HP2" t="s">
        <v>2162</v>
      </c>
      <c r="HQ2" t="s">
        <v>73</v>
      </c>
      <c r="HR2" t="s">
        <v>2163</v>
      </c>
      <c r="HS2" t="s">
        <v>2164</v>
      </c>
      <c r="HT2" t="s">
        <v>74</v>
      </c>
      <c r="HU2" t="s">
        <v>75</v>
      </c>
      <c r="HV2" s="20" t="s">
        <v>2316</v>
      </c>
      <c r="HW2" t="s">
        <v>76</v>
      </c>
      <c r="HX2" t="s">
        <v>2165</v>
      </c>
      <c r="HY2" t="s">
        <v>77</v>
      </c>
      <c r="HZ2" t="s">
        <v>78</v>
      </c>
      <c r="IA2" t="s">
        <v>79</v>
      </c>
    </row>
    <row r="3" spans="1:235" ht="56.35" customHeight="1" x14ac:dyDescent="0.45">
      <c r="A3" s="62">
        <v>1</v>
      </c>
      <c r="B3" s="62">
        <f>_xlfn.IFNA(VLOOKUP(AnalizaCzyste[[#This Row],[Zakończono wypełnianie]],Zakończone[],2,0),"BRAK")</f>
        <v>2</v>
      </c>
      <c r="C3" s="62">
        <f t="shared" ref="C3:C35" si="0">COUNTA(AI3:IA3)</f>
        <v>96</v>
      </c>
      <c r="D3" s="62" t="s">
        <v>145</v>
      </c>
      <c r="E3" s="62" t="s">
        <v>146</v>
      </c>
      <c r="F3" s="62">
        <v>1573</v>
      </c>
      <c r="G3" s="59" t="s">
        <v>2292</v>
      </c>
      <c r="H3" s="59" t="s">
        <v>2292</v>
      </c>
      <c r="I3" s="59" t="s">
        <v>2480</v>
      </c>
      <c r="J3" s="59" t="str">
        <f>"("&amp;"ID:"&amp;AnalizaCzyste[[#This Row],[Lp. wywiadu]]&amp;"; "&amp;AnalizaCzyste[[#This Row],[Czy kierunek techniczny?]]&amp;"; "&amp;MID(AnalizaCzyste[[#This Row],[Info metryczkowe]],2,40)</f>
        <v>(ID:1; NTech; A_R_P_U; 5; m; F; t/n)</v>
      </c>
      <c r="K3" s="60"/>
      <c r="L3" s="55" t="s">
        <v>2513</v>
      </c>
      <c r="M3" s="55" t="s">
        <v>2512</v>
      </c>
      <c r="N3" s="55" t="s">
        <v>2511</v>
      </c>
      <c r="O3" s="55" t="s">
        <v>2503</v>
      </c>
      <c r="P3" s="55" t="s">
        <v>2509</v>
      </c>
      <c r="Q3" s="55" t="s">
        <v>2508</v>
      </c>
      <c r="R3" s="55" t="s">
        <v>2510</v>
      </c>
      <c r="S3" s="60" t="s">
        <v>2507</v>
      </c>
      <c r="T3" s="60" t="s">
        <v>2506</v>
      </c>
      <c r="U3" s="63"/>
      <c r="V3" s="63" t="s">
        <v>2297</v>
      </c>
      <c r="W3" s="63" t="s">
        <v>2770</v>
      </c>
      <c r="X3" s="63"/>
      <c r="Y3" s="63"/>
      <c r="Z3" s="63"/>
      <c r="AA3" s="63"/>
      <c r="AB3" s="63"/>
      <c r="AC3" s="60" t="s">
        <v>2505</v>
      </c>
      <c r="AD3" s="55" t="s">
        <v>2730</v>
      </c>
      <c r="AE3" s="55" t="s">
        <v>2767</v>
      </c>
      <c r="AF3" s="55" t="str">
        <f>VLOOKUP(AnalizaCzyste[[#This Row],[Jak się nazywa uczelnia którą ukończyłeś? (proszę o wybranie jednej uczelni podlegającej ocenie)]],KategorieUczelni[],3,0)</f>
        <v>Nietechniczna</v>
      </c>
      <c r="AG3" s="55" t="str">
        <f>MID(AnalizaCzyste[[#This Row],[Info metryczkowe]],2,40)</f>
        <v>A_R_P_U; 5; m; F; t/n)</v>
      </c>
      <c r="AH3" s="55"/>
      <c r="AI3" s="1" t="s">
        <v>123</v>
      </c>
      <c r="AY3" s="56" t="s">
        <v>124</v>
      </c>
      <c r="AZ3" t="s">
        <v>234</v>
      </c>
      <c r="BA3" t="str">
        <f>VLOOKUP(AnalizaCzyste[[#This Row],[Jak się nazywa uczelnia którą ukończyłeś? (proszę o wybranie jednej uczelni podlegającej ocenie)]],KategorieUczelni[],2,0)</f>
        <v>Publiczna</v>
      </c>
      <c r="BB3">
        <v>1986</v>
      </c>
      <c r="BC3" t="s">
        <v>148</v>
      </c>
      <c r="BD3" t="s">
        <v>149</v>
      </c>
      <c r="BE3" t="s">
        <v>150</v>
      </c>
      <c r="BF3" t="s">
        <v>150</v>
      </c>
      <c r="BG3" t="s">
        <v>150</v>
      </c>
      <c r="BH3" t="s">
        <v>151</v>
      </c>
      <c r="BI3" t="s">
        <v>150</v>
      </c>
      <c r="BJ3">
        <v>3</v>
      </c>
      <c r="BK3" t="s">
        <v>152</v>
      </c>
      <c r="BL3" t="s">
        <v>153</v>
      </c>
      <c r="BM3" t="s">
        <v>154</v>
      </c>
      <c r="BN3" t="s">
        <v>155</v>
      </c>
      <c r="BO3" t="s">
        <v>156</v>
      </c>
      <c r="BP3" t="s">
        <v>157</v>
      </c>
      <c r="BQ3" t="s">
        <v>158</v>
      </c>
      <c r="BR3" s="56" t="s">
        <v>159</v>
      </c>
      <c r="BS3">
        <v>2</v>
      </c>
      <c r="BT3" t="s">
        <v>160</v>
      </c>
      <c r="BU3">
        <v>2013</v>
      </c>
      <c r="BV3" t="s">
        <v>148</v>
      </c>
      <c r="BW3" t="s">
        <v>161</v>
      </c>
      <c r="BX3" t="s">
        <v>162</v>
      </c>
      <c r="BY3" t="s">
        <v>150</v>
      </c>
      <c r="BZ3" t="s">
        <v>150</v>
      </c>
      <c r="CA3" t="s">
        <v>150</v>
      </c>
      <c r="CB3" t="s">
        <v>150</v>
      </c>
      <c r="CC3" t="s">
        <v>163</v>
      </c>
      <c r="CD3" t="s">
        <v>164</v>
      </c>
      <c r="CE3" t="s">
        <v>157</v>
      </c>
      <c r="CG3" t="s">
        <v>165</v>
      </c>
      <c r="CH3" t="s">
        <v>166</v>
      </c>
      <c r="CI3" t="s">
        <v>167</v>
      </c>
      <c r="CJ3">
        <v>2015</v>
      </c>
      <c r="CK3" t="s">
        <v>148</v>
      </c>
      <c r="CL3" t="s">
        <v>168</v>
      </c>
      <c r="CM3" t="s">
        <v>150</v>
      </c>
      <c r="CN3" t="s">
        <v>169</v>
      </c>
      <c r="CO3" t="s">
        <v>150</v>
      </c>
      <c r="CP3" t="s">
        <v>150</v>
      </c>
      <c r="CQ3" t="s">
        <v>150</v>
      </c>
      <c r="CR3" t="s">
        <v>170</v>
      </c>
      <c r="CS3" t="s">
        <v>171</v>
      </c>
      <c r="CT3" t="s">
        <v>172</v>
      </c>
      <c r="CW3" t="s">
        <v>173</v>
      </c>
      <c r="DL3" s="1" t="s">
        <v>123</v>
      </c>
      <c r="DV3" s="1" t="s">
        <v>123</v>
      </c>
      <c r="EF3" s="56" t="s">
        <v>174</v>
      </c>
      <c r="EJ3" t="s">
        <v>175</v>
      </c>
      <c r="EK3" t="s">
        <v>176</v>
      </c>
      <c r="EL3" t="s">
        <v>162</v>
      </c>
      <c r="EM3" t="s">
        <v>150</v>
      </c>
      <c r="EN3" t="s">
        <v>151</v>
      </c>
      <c r="EO3" t="s">
        <v>151</v>
      </c>
      <c r="EP3" t="s">
        <v>162</v>
      </c>
      <c r="EQ3" t="s">
        <v>162</v>
      </c>
      <c r="ER3" t="s">
        <v>150</v>
      </c>
      <c r="ES3">
        <v>25</v>
      </c>
      <c r="ET3">
        <v>25</v>
      </c>
      <c r="EU3">
        <v>2</v>
      </c>
      <c r="EV3">
        <v>5</v>
      </c>
      <c r="EW3">
        <v>8</v>
      </c>
      <c r="EX3">
        <v>25</v>
      </c>
      <c r="EY3">
        <v>10</v>
      </c>
      <c r="FA3">
        <v>20</v>
      </c>
      <c r="FB3">
        <v>20</v>
      </c>
      <c r="FC3">
        <v>1</v>
      </c>
      <c r="FD3">
        <v>4</v>
      </c>
      <c r="FE3">
        <v>25</v>
      </c>
      <c r="FF3">
        <v>25</v>
      </c>
      <c r="FG3">
        <v>5</v>
      </c>
      <c r="FI3" s="56" t="s">
        <v>177</v>
      </c>
      <c r="FJ3" t="s">
        <v>178</v>
      </c>
      <c r="FK3">
        <v>1</v>
      </c>
      <c r="FL3" t="s">
        <v>179</v>
      </c>
      <c r="FM3" t="s">
        <v>150</v>
      </c>
      <c r="FN3" t="s">
        <v>150</v>
      </c>
      <c r="FO3" t="s">
        <v>151</v>
      </c>
      <c r="FP3" t="s">
        <v>180</v>
      </c>
      <c r="FQ3" t="s">
        <v>181</v>
      </c>
      <c r="FR3" t="s">
        <v>182</v>
      </c>
      <c r="FS3" t="s">
        <v>173</v>
      </c>
      <c r="GI3" s="1" t="s">
        <v>123</v>
      </c>
      <c r="GJ3" t="s">
        <v>132</v>
      </c>
      <c r="HQ3" t="s">
        <v>183</v>
      </c>
      <c r="HR3" t="s">
        <v>184</v>
      </c>
      <c r="HS3" t="s">
        <v>185</v>
      </c>
      <c r="HT3" t="s">
        <v>186</v>
      </c>
      <c r="HU3">
        <v>1961</v>
      </c>
      <c r="HV3" t="str">
        <f>VLOOKUP(AnalizaCzyste[[#This Row],[Rok urodzenia]],KategorieWiekowe[],2,1)</f>
        <v>56–65 lat</v>
      </c>
      <c r="HW3" t="s">
        <v>141</v>
      </c>
      <c r="HY3" t="s">
        <v>187</v>
      </c>
    </row>
    <row r="4" spans="1:235" ht="56.35" customHeight="1" x14ac:dyDescent="0.45">
      <c r="A4" s="62">
        <v>2</v>
      </c>
      <c r="B4" s="62">
        <f>_xlfn.IFNA(VLOOKUP(AnalizaCzyste[[#This Row],[Zakończono wypełnianie]],Zakończone[],2,0),"BRAK")</f>
        <v>5</v>
      </c>
      <c r="C4" s="62">
        <f t="shared" si="0"/>
        <v>84</v>
      </c>
      <c r="D4" s="62" t="s">
        <v>221</v>
      </c>
      <c r="E4" s="62" t="s">
        <v>222</v>
      </c>
      <c r="F4" s="62">
        <v>1659</v>
      </c>
      <c r="G4" s="59" t="s">
        <v>2292</v>
      </c>
      <c r="H4" s="59" t="s">
        <v>2292</v>
      </c>
      <c r="I4" s="59" t="s">
        <v>2472</v>
      </c>
      <c r="J4" s="59" t="str">
        <f>"("&amp;"ID:"&amp;AnalizaCzyste[[#This Row],[Lp. wywiadu]]&amp;"; "&amp;AnalizaCzyste[[#This Row],[Czy kierunek techniczny?]]&amp;"; "&amp;MID(AnalizaCzyste[[#This Row],[Info metryczkowe]],2,40)</f>
        <v>(ID:2; NTech; A_R_W; 5; m; D; t/n)</v>
      </c>
      <c r="K4" s="55"/>
      <c r="L4" s="55" t="s">
        <v>2521</v>
      </c>
      <c r="M4" s="55" t="s">
        <v>2520</v>
      </c>
      <c r="N4" s="55" t="s">
        <v>2519</v>
      </c>
      <c r="O4" s="55" t="s">
        <v>2503</v>
      </c>
      <c r="P4" s="55" t="s">
        <v>2518</v>
      </c>
      <c r="Q4" s="55" t="s">
        <v>2517</v>
      </c>
      <c r="R4" s="55" t="s">
        <v>2538</v>
      </c>
      <c r="S4" s="60" t="s">
        <v>2516</v>
      </c>
      <c r="T4" s="60" t="s">
        <v>2515</v>
      </c>
      <c r="U4" s="63" t="s">
        <v>2296</v>
      </c>
      <c r="V4" s="63" t="s">
        <v>2297</v>
      </c>
      <c r="W4" s="63"/>
      <c r="X4" s="63" t="s">
        <v>2772</v>
      </c>
      <c r="Y4" s="63"/>
      <c r="Z4" s="63"/>
      <c r="AA4" s="63"/>
      <c r="AB4" s="63"/>
      <c r="AC4" s="60" t="s">
        <v>2514</v>
      </c>
      <c r="AD4" s="20" t="s">
        <v>2731</v>
      </c>
      <c r="AE4" s="55" t="s">
        <v>2767</v>
      </c>
      <c r="AF4" s="20" t="str">
        <f>VLOOKUP(AnalizaCzyste[[#This Row],[Jak się nazywa uczelnia którą ukończyłeś? (proszę o wybranie jednej uczelni podlegającej ocenie)]],KategorieUczelni[],3,0)</f>
        <v>Nietechniczna</v>
      </c>
      <c r="AG4" s="20" t="str">
        <f>MID(AnalizaCzyste[[#This Row],[Info metryczkowe]],2,40)</f>
        <v>A_R_W; 5; m; D; t/n)</v>
      </c>
      <c r="AH4" s="20"/>
      <c r="AI4" s="1" t="s">
        <v>123</v>
      </c>
      <c r="AY4" s="56" t="s">
        <v>124</v>
      </c>
      <c r="AZ4" t="s">
        <v>223</v>
      </c>
      <c r="BA4" t="str">
        <f>VLOOKUP(AnalizaCzyste[[#This Row],[Jak się nazywa uczelnia którą ukończyłeś? (proszę o wybranie jednej uczelni podlegającej ocenie)]],KategorieUczelni[],2,0)</f>
        <v>Publiczna</v>
      </c>
      <c r="BB4">
        <v>1999</v>
      </c>
      <c r="BC4" t="s">
        <v>148</v>
      </c>
      <c r="BD4" t="s">
        <v>224</v>
      </c>
      <c r="BE4" t="s">
        <v>162</v>
      </c>
      <c r="BF4" t="s">
        <v>162</v>
      </c>
      <c r="BG4" t="s">
        <v>150</v>
      </c>
      <c r="BH4" t="s">
        <v>150</v>
      </c>
      <c r="BI4" t="s">
        <v>169</v>
      </c>
      <c r="BJ4" t="s">
        <v>225</v>
      </c>
      <c r="BK4" t="s">
        <v>153</v>
      </c>
      <c r="BL4" t="s">
        <v>226</v>
      </c>
      <c r="BM4" t="s">
        <v>227</v>
      </c>
      <c r="BN4" t="s">
        <v>228</v>
      </c>
      <c r="BO4" t="s">
        <v>229</v>
      </c>
      <c r="BP4" t="s">
        <v>230</v>
      </c>
      <c r="BR4" s="56" t="s">
        <v>159</v>
      </c>
      <c r="BS4">
        <v>3</v>
      </c>
      <c r="BT4" t="s">
        <v>191</v>
      </c>
      <c r="BU4">
        <v>2011</v>
      </c>
      <c r="BV4" t="s">
        <v>126</v>
      </c>
      <c r="BW4" t="s">
        <v>2273</v>
      </c>
      <c r="BX4" t="s">
        <v>169</v>
      </c>
      <c r="BY4" t="s">
        <v>169</v>
      </c>
      <c r="BZ4" t="s">
        <v>150</v>
      </c>
      <c r="CA4" t="s">
        <v>162</v>
      </c>
      <c r="CB4" t="s">
        <v>150</v>
      </c>
      <c r="CC4">
        <v>1</v>
      </c>
      <c r="CD4" t="s">
        <v>232</v>
      </c>
      <c r="CE4" t="s">
        <v>157</v>
      </c>
      <c r="CG4" t="s">
        <v>233</v>
      </c>
      <c r="CH4" t="s">
        <v>166</v>
      </c>
      <c r="CI4" t="s">
        <v>234</v>
      </c>
      <c r="CJ4">
        <v>2011</v>
      </c>
      <c r="CK4" t="s">
        <v>148</v>
      </c>
      <c r="CL4" t="s">
        <v>235</v>
      </c>
      <c r="CM4" t="s">
        <v>151</v>
      </c>
      <c r="CN4" t="s">
        <v>128</v>
      </c>
      <c r="CO4" t="s">
        <v>236</v>
      </c>
      <c r="CP4" t="s">
        <v>128</v>
      </c>
      <c r="CQ4" t="s">
        <v>162</v>
      </c>
      <c r="CR4" t="s">
        <v>237</v>
      </c>
      <c r="CT4" t="s">
        <v>172</v>
      </c>
      <c r="CV4" t="s">
        <v>233</v>
      </c>
      <c r="CW4" t="s">
        <v>238</v>
      </c>
      <c r="CX4" t="s">
        <v>223</v>
      </c>
      <c r="CY4">
        <v>2016</v>
      </c>
      <c r="CZ4" t="s">
        <v>148</v>
      </c>
      <c r="DA4" t="s">
        <v>239</v>
      </c>
      <c r="DB4" t="s">
        <v>169</v>
      </c>
      <c r="DC4" t="s">
        <v>169</v>
      </c>
      <c r="DD4" t="s">
        <v>169</v>
      </c>
      <c r="DE4" t="s">
        <v>150</v>
      </c>
      <c r="DF4" t="s">
        <v>150</v>
      </c>
      <c r="DG4">
        <v>1</v>
      </c>
      <c r="DH4" t="s">
        <v>240</v>
      </c>
      <c r="DI4" t="s">
        <v>157</v>
      </c>
      <c r="DK4" t="s">
        <v>233</v>
      </c>
      <c r="DL4" s="1" t="s">
        <v>123</v>
      </c>
      <c r="DV4" s="56" t="s">
        <v>214</v>
      </c>
      <c r="DW4" t="s">
        <v>234</v>
      </c>
      <c r="DX4" t="s">
        <v>241</v>
      </c>
      <c r="DY4" t="s">
        <v>162</v>
      </c>
      <c r="DZ4" t="s">
        <v>169</v>
      </c>
      <c r="EA4" t="s">
        <v>169</v>
      </c>
      <c r="EB4" t="s">
        <v>151</v>
      </c>
      <c r="EC4" t="s">
        <v>151</v>
      </c>
      <c r="ED4" t="s">
        <v>151</v>
      </c>
      <c r="EE4" t="s">
        <v>242</v>
      </c>
      <c r="EF4" s="1" t="s">
        <v>123</v>
      </c>
      <c r="FI4" s="1" t="s">
        <v>123</v>
      </c>
      <c r="GI4" s="1" t="s">
        <v>123</v>
      </c>
      <c r="GJ4" t="s">
        <v>132</v>
      </c>
      <c r="HQ4" t="s">
        <v>243</v>
      </c>
      <c r="HR4" t="s">
        <v>244</v>
      </c>
      <c r="HS4" t="s">
        <v>245</v>
      </c>
      <c r="HT4" t="s">
        <v>186</v>
      </c>
      <c r="HU4">
        <v>1961</v>
      </c>
      <c r="HV4" t="str">
        <f>VLOOKUP(AnalizaCzyste[[#This Row],[Rok urodzenia]],KategorieWiekowe[],2,1)</f>
        <v>56–65 lat</v>
      </c>
      <c r="HW4" t="s">
        <v>246</v>
      </c>
      <c r="HY4" t="s">
        <v>247</v>
      </c>
    </row>
    <row r="5" spans="1:235" ht="56.35" customHeight="1" x14ac:dyDescent="0.45">
      <c r="A5" s="62">
        <v>3</v>
      </c>
      <c r="B5" s="62">
        <f>_xlfn.IFNA(VLOOKUP(AnalizaCzyste[[#This Row],[Zakończono wypełnianie]],Zakończone[],2,0),"BRAK")</f>
        <v>10</v>
      </c>
      <c r="C5" s="62">
        <f t="shared" si="0"/>
        <v>63</v>
      </c>
      <c r="D5" s="62" t="s">
        <v>299</v>
      </c>
      <c r="E5" s="62" t="s">
        <v>300</v>
      </c>
      <c r="F5" s="62">
        <v>1404</v>
      </c>
      <c r="G5" s="59" t="s">
        <v>2292</v>
      </c>
      <c r="H5" s="59" t="s">
        <v>2292</v>
      </c>
      <c r="I5" s="59" t="s">
        <v>2473</v>
      </c>
      <c r="J5" s="59" t="str">
        <f>"("&amp;"ID:"&amp;AnalizaCzyste[[#This Row],[Lp. wywiadu]]&amp;"; "&amp;AnalizaCzyste[[#This Row],[Czy kierunek techniczny?]]&amp;"; "&amp;MID(AnalizaCzyste[[#This Row],[Info metryczkowe]],2,40)</f>
        <v>(ID:3; Tech; A_R_W_U_WŁ; 5; m; F; t/n)</v>
      </c>
      <c r="K5" s="55"/>
      <c r="L5" s="55"/>
      <c r="M5" s="55"/>
      <c r="N5" s="55" t="s">
        <v>2527</v>
      </c>
      <c r="O5" s="55" t="s">
        <v>2503</v>
      </c>
      <c r="P5" s="55" t="s">
        <v>2526</v>
      </c>
      <c r="Q5" s="55" t="s">
        <v>2525</v>
      </c>
      <c r="R5" s="55"/>
      <c r="S5" s="60" t="s">
        <v>2524</v>
      </c>
      <c r="T5" s="60" t="s">
        <v>2523</v>
      </c>
      <c r="U5" s="63" t="s">
        <v>2296</v>
      </c>
      <c r="V5" s="63" t="s">
        <v>2297</v>
      </c>
      <c r="W5" s="63" t="s">
        <v>2770</v>
      </c>
      <c r="X5" s="63" t="s">
        <v>2772</v>
      </c>
      <c r="Y5" s="63" t="s">
        <v>2771</v>
      </c>
      <c r="Z5" s="63" t="s">
        <v>2774</v>
      </c>
      <c r="AA5" s="63"/>
      <c r="AB5" s="63"/>
      <c r="AC5" s="60" t="s">
        <v>2522</v>
      </c>
      <c r="AD5" s="55" t="s">
        <v>2732</v>
      </c>
      <c r="AE5" s="55" t="s">
        <v>2764</v>
      </c>
      <c r="AF5" s="55" t="str">
        <f>VLOOKUP(AnalizaCzyste[[#This Row],[Jak się nazywa uczelnia którą ukończyłeś? (proszę o wybranie jednej uczelni podlegającej ocenie)]],KategorieUczelni[],3,0)</f>
        <v>Techniczna</v>
      </c>
      <c r="AG5" s="55" t="str">
        <f>MID(AnalizaCzyste[[#This Row],[Info metryczkowe]],2,40)</f>
        <v>A_R_W_U_WŁ; 5; m; F; t/n)</v>
      </c>
      <c r="AH5" s="55"/>
      <c r="AI5" s="1" t="s">
        <v>123</v>
      </c>
      <c r="AY5" s="56" t="s">
        <v>124</v>
      </c>
      <c r="AZ5" t="s">
        <v>191</v>
      </c>
      <c r="BA5" t="str">
        <f>VLOOKUP(AnalizaCzyste[[#This Row],[Jak się nazywa uczelnia którą ukończyłeś? (proszę o wybranie jednej uczelni podlegającej ocenie)]],KategorieUczelni[],2,0)</f>
        <v>Publiczna</v>
      </c>
      <c r="BB5">
        <v>1986</v>
      </c>
      <c r="BC5" t="s">
        <v>126</v>
      </c>
      <c r="BD5" t="s">
        <v>301</v>
      </c>
      <c r="BE5" t="s">
        <v>150</v>
      </c>
      <c r="BF5" t="s">
        <v>150</v>
      </c>
      <c r="BG5" t="s">
        <v>162</v>
      </c>
      <c r="BH5" t="s">
        <v>151</v>
      </c>
      <c r="BI5" t="s">
        <v>151</v>
      </c>
      <c r="BJ5">
        <v>2</v>
      </c>
      <c r="BK5" t="s">
        <v>302</v>
      </c>
      <c r="BL5" t="s">
        <v>153</v>
      </c>
      <c r="BM5" t="s">
        <v>303</v>
      </c>
      <c r="BN5" t="s">
        <v>304</v>
      </c>
      <c r="BO5" t="s">
        <v>305</v>
      </c>
      <c r="BP5" t="s">
        <v>157</v>
      </c>
      <c r="BR5" s="56" t="s">
        <v>159</v>
      </c>
      <c r="BS5">
        <v>1</v>
      </c>
      <c r="BT5" t="s">
        <v>223</v>
      </c>
      <c r="BU5">
        <v>2011</v>
      </c>
      <c r="BV5" t="s">
        <v>148</v>
      </c>
      <c r="BW5" t="s">
        <v>127</v>
      </c>
      <c r="BX5" t="s">
        <v>150</v>
      </c>
      <c r="BY5" t="s">
        <v>150</v>
      </c>
      <c r="BZ5" t="s">
        <v>169</v>
      </c>
      <c r="CA5" t="s">
        <v>169</v>
      </c>
      <c r="CB5" t="s">
        <v>169</v>
      </c>
      <c r="CC5">
        <v>1</v>
      </c>
      <c r="CD5" t="s">
        <v>306</v>
      </c>
      <c r="CE5" t="s">
        <v>157</v>
      </c>
      <c r="CG5" t="s">
        <v>307</v>
      </c>
      <c r="CH5" t="s">
        <v>173</v>
      </c>
      <c r="DL5" s="1" t="s">
        <v>123</v>
      </c>
      <c r="DV5" s="56" t="s">
        <v>214</v>
      </c>
      <c r="DW5" t="s">
        <v>191</v>
      </c>
      <c r="DX5" t="s">
        <v>308</v>
      </c>
      <c r="DY5" t="s">
        <v>150</v>
      </c>
      <c r="DZ5" t="s">
        <v>150</v>
      </c>
      <c r="EA5" t="s">
        <v>162</v>
      </c>
      <c r="EB5" t="s">
        <v>150</v>
      </c>
      <c r="EC5" t="s">
        <v>150</v>
      </c>
      <c r="ED5" t="s">
        <v>150</v>
      </c>
      <c r="EE5" t="s">
        <v>309</v>
      </c>
      <c r="EF5" s="57" t="s">
        <v>2487</v>
      </c>
      <c r="FI5" s="1" t="s">
        <v>123</v>
      </c>
      <c r="FJ5" t="s">
        <v>180</v>
      </c>
      <c r="FK5" t="s">
        <v>132</v>
      </c>
      <c r="GI5" s="1" t="s">
        <v>123</v>
      </c>
      <c r="GJ5" t="s">
        <v>132</v>
      </c>
      <c r="GL5" t="s">
        <v>132</v>
      </c>
      <c r="HQ5" t="s">
        <v>310</v>
      </c>
      <c r="HR5" t="s">
        <v>311</v>
      </c>
      <c r="HS5" t="s">
        <v>312</v>
      </c>
      <c r="HT5" t="s">
        <v>186</v>
      </c>
      <c r="HU5">
        <v>1963</v>
      </c>
      <c r="HV5" t="str">
        <f>VLOOKUP(AnalizaCzyste[[#This Row],[Rok urodzenia]],KategorieWiekowe[],2,1)</f>
        <v>56–65 lat</v>
      </c>
      <c r="HW5" t="s">
        <v>141</v>
      </c>
      <c r="HX5" t="s">
        <v>313</v>
      </c>
      <c r="HY5" t="s">
        <v>314</v>
      </c>
      <c r="HZ5" t="s">
        <v>315</v>
      </c>
    </row>
    <row r="6" spans="1:235" ht="56.35" customHeight="1" x14ac:dyDescent="0.45">
      <c r="A6" s="62">
        <v>4</v>
      </c>
      <c r="B6" s="62">
        <f>_xlfn.IFNA(VLOOKUP(AnalizaCzyste[[#This Row],[Zakończono wypełnianie]],Zakończone[],2,0),"BRAK")</f>
        <v>12</v>
      </c>
      <c r="C6" s="62">
        <f t="shared" si="0"/>
        <v>36</v>
      </c>
      <c r="D6" s="62" t="s">
        <v>327</v>
      </c>
      <c r="E6" s="62" t="s">
        <v>328</v>
      </c>
      <c r="F6" s="62">
        <v>1387173</v>
      </c>
      <c r="G6" s="59" t="s">
        <v>2292</v>
      </c>
      <c r="H6" s="59" t="s">
        <v>2292</v>
      </c>
      <c r="I6" s="59" t="s">
        <v>2474</v>
      </c>
      <c r="J6" s="59" t="str">
        <f>"("&amp;"ID:"&amp;AnalizaCzyste[[#This Row],[Lp. wywiadu]]&amp;"; "&amp;AnalizaCzyste[[#This Row],[Czy kierunek techniczny?]]&amp;"; "&amp;MID(AnalizaCzyste[[#This Row],[Info metryczkowe]],2,40)</f>
        <v>(ID:4; Tech; A; 2; m; D; t/t)</v>
      </c>
      <c r="K6" s="55" t="s">
        <v>2535</v>
      </c>
      <c r="L6" s="55"/>
      <c r="M6" s="55"/>
      <c r="N6" s="55" t="s">
        <v>2534</v>
      </c>
      <c r="O6" s="55" t="s">
        <v>2503</v>
      </c>
      <c r="P6" s="55" t="s">
        <v>2533</v>
      </c>
      <c r="Q6" s="55" t="s">
        <v>2531</v>
      </c>
      <c r="R6" s="55" t="s">
        <v>2532</v>
      </c>
      <c r="S6" s="60" t="s">
        <v>2530</v>
      </c>
      <c r="T6" s="60" t="s">
        <v>2529</v>
      </c>
      <c r="U6" s="63" t="s">
        <v>2296</v>
      </c>
      <c r="V6" s="63"/>
      <c r="W6" s="63"/>
      <c r="X6" s="63"/>
      <c r="Y6" s="63"/>
      <c r="Z6" s="63"/>
      <c r="AA6" s="63"/>
      <c r="AB6" s="63"/>
      <c r="AC6" s="60" t="s">
        <v>2528</v>
      </c>
      <c r="AD6" s="55" t="s">
        <v>2733</v>
      </c>
      <c r="AE6" s="55" t="s">
        <v>2764</v>
      </c>
      <c r="AF6" s="55" t="str">
        <f>VLOOKUP(AnalizaCzyste[[#This Row],[Jak się nazywa uczelnia którą ukończyłeś? (proszę o wybranie jednej uczelni podlegającej ocenie)]],KategorieUczelni[],3,0)</f>
        <v>Techniczna</v>
      </c>
      <c r="AG6" s="55" t="str">
        <f>MID(AnalizaCzyste[[#This Row],[Info metryczkowe]],2,40)</f>
        <v>A; 2; m; D; t/t)</v>
      </c>
      <c r="AH6" s="55"/>
      <c r="AI6" s="1" t="s">
        <v>123</v>
      </c>
      <c r="AY6" s="56" t="s">
        <v>124</v>
      </c>
      <c r="AZ6" t="s">
        <v>191</v>
      </c>
      <c r="BA6" t="str">
        <f>VLOOKUP(AnalizaCzyste[[#This Row],[Jak się nazywa uczelnia którą ukończyłeś? (proszę o wybranie jednej uczelni podlegającej ocenie)]],KategorieUczelni[],2,0)</f>
        <v>Publiczna</v>
      </c>
      <c r="BB6">
        <v>2011</v>
      </c>
      <c r="BC6" t="s">
        <v>126</v>
      </c>
      <c r="BD6" t="s">
        <v>330</v>
      </c>
      <c r="BE6" t="s">
        <v>169</v>
      </c>
      <c r="BF6" t="s">
        <v>169</v>
      </c>
      <c r="BG6" t="s">
        <v>150</v>
      </c>
      <c r="BH6" t="s">
        <v>162</v>
      </c>
      <c r="BI6" t="s">
        <v>169</v>
      </c>
      <c r="BJ6" t="s">
        <v>331</v>
      </c>
      <c r="BK6" t="s">
        <v>302</v>
      </c>
      <c r="BL6" t="s">
        <v>226</v>
      </c>
      <c r="BM6" t="s">
        <v>332</v>
      </c>
      <c r="BN6" t="s">
        <v>333</v>
      </c>
      <c r="BO6" t="s">
        <v>334</v>
      </c>
      <c r="BP6" t="s">
        <v>157</v>
      </c>
      <c r="BQ6" t="s">
        <v>335</v>
      </c>
      <c r="BR6" s="1" t="s">
        <v>123</v>
      </c>
      <c r="DL6" s="1" t="s">
        <v>123</v>
      </c>
      <c r="DV6" s="1" t="s">
        <v>123</v>
      </c>
      <c r="EF6" s="1" t="s">
        <v>123</v>
      </c>
      <c r="FI6" s="1" t="s">
        <v>123</v>
      </c>
      <c r="GI6" s="1" t="s">
        <v>123</v>
      </c>
      <c r="GJ6" t="s">
        <v>132</v>
      </c>
      <c r="HQ6" t="s">
        <v>336</v>
      </c>
      <c r="HR6" t="s">
        <v>337</v>
      </c>
      <c r="HS6" t="s">
        <v>338</v>
      </c>
      <c r="HT6" t="s">
        <v>186</v>
      </c>
      <c r="HU6">
        <v>1987</v>
      </c>
      <c r="HV6" t="str">
        <f>VLOOKUP(AnalizaCzyste[[#This Row],[Rok urodzenia]],KategorieWiekowe[],2,1)</f>
        <v>26–35 lat</v>
      </c>
      <c r="HW6" t="s">
        <v>246</v>
      </c>
      <c r="HY6" t="s">
        <v>339</v>
      </c>
      <c r="HZ6" t="s">
        <v>340</v>
      </c>
    </row>
    <row r="7" spans="1:235" ht="56.35" customHeight="1" x14ac:dyDescent="0.45">
      <c r="A7" s="62">
        <v>5</v>
      </c>
      <c r="B7" s="62">
        <f>_xlfn.IFNA(VLOOKUP(AnalizaCzyste[[#This Row],[Zakończono wypełnianie]],Zakończone[],2,0),"BRAK")</f>
        <v>18</v>
      </c>
      <c r="C7" s="62">
        <f t="shared" si="0"/>
        <v>77</v>
      </c>
      <c r="D7" s="62" t="s">
        <v>379</v>
      </c>
      <c r="E7" s="62" t="s">
        <v>380</v>
      </c>
      <c r="F7" s="62">
        <v>5438</v>
      </c>
      <c r="G7" s="59" t="s">
        <v>2292</v>
      </c>
      <c r="H7" s="59"/>
      <c r="I7" s="59" t="s">
        <v>2468</v>
      </c>
      <c r="J7" s="59" t="str">
        <f>"("&amp;"ID:"&amp;AnalizaCzyste[[#This Row],[Lp. wywiadu]]&amp;"; "&amp;AnalizaCzyste[[#This Row],[Czy kierunek techniczny?]]&amp;"; "&amp;MID(AnalizaCzyste[[#This Row],[Info metryczkowe]],2,40)</f>
        <v>(ID:5; NTech; A_AD_W_U_WŁ; 5; m; E; t/n)</v>
      </c>
      <c r="K7" s="55" t="s">
        <v>2542</v>
      </c>
      <c r="L7" s="55"/>
      <c r="M7" s="55"/>
      <c r="N7" s="55" t="s">
        <v>2541</v>
      </c>
      <c r="O7" s="55" t="s">
        <v>2503</v>
      </c>
      <c r="P7" s="55" t="s">
        <v>2540</v>
      </c>
      <c r="Q7" s="55" t="s">
        <v>2539</v>
      </c>
      <c r="R7" s="55" t="s">
        <v>2538</v>
      </c>
      <c r="S7" s="60" t="s">
        <v>2537</v>
      </c>
      <c r="T7" s="60" t="s">
        <v>2536</v>
      </c>
      <c r="U7" s="63" t="s">
        <v>2296</v>
      </c>
      <c r="V7" s="63" t="s">
        <v>2297</v>
      </c>
      <c r="W7" s="63"/>
      <c r="X7" s="63" t="s">
        <v>2772</v>
      </c>
      <c r="Y7" s="63" t="s">
        <v>2771</v>
      </c>
      <c r="Z7" s="63"/>
      <c r="AA7" s="63" t="s">
        <v>2777</v>
      </c>
      <c r="AB7" s="63"/>
      <c r="AC7" s="60" t="s">
        <v>2542</v>
      </c>
      <c r="AD7" s="55" t="s">
        <v>2734</v>
      </c>
      <c r="AE7" s="55" t="s">
        <v>2767</v>
      </c>
      <c r="AF7" s="55" t="str">
        <f>VLOOKUP(AnalizaCzyste[[#This Row],[Jak się nazywa uczelnia którą ukończyłeś? (proszę o wybranie jednej uczelni podlegającej ocenie)]],KategorieUczelni[],3,0)</f>
        <v>Nietechniczna</v>
      </c>
      <c r="AG7" s="55" t="str">
        <f>MID(AnalizaCzyste[[#This Row],[Info metryczkowe]],2,40)</f>
        <v>A_AD_W_U_WŁ; 5; m; E; t/n)</v>
      </c>
      <c r="AH7" s="55"/>
      <c r="AI7" s="1" t="s">
        <v>123</v>
      </c>
      <c r="AY7" s="56" t="s">
        <v>124</v>
      </c>
      <c r="AZ7" t="s">
        <v>2268</v>
      </c>
      <c r="BA7" t="str">
        <f>VLOOKUP(AnalizaCzyste[[#This Row],[Jak się nazywa uczelnia którą ukończyłeś? (proszę o wybranie jednej uczelni podlegającej ocenie)]],KategorieUczelni[],2,0)</f>
        <v>Publiczna</v>
      </c>
      <c r="BB7">
        <v>1985</v>
      </c>
      <c r="BC7" t="s">
        <v>148</v>
      </c>
      <c r="BD7" t="s">
        <v>382</v>
      </c>
      <c r="BE7" t="s">
        <v>169</v>
      </c>
      <c r="BF7" t="s">
        <v>169</v>
      </c>
      <c r="BG7" t="s">
        <v>128</v>
      </c>
      <c r="BH7" t="s">
        <v>236</v>
      </c>
      <c r="BI7" t="s">
        <v>236</v>
      </c>
      <c r="BJ7" t="s">
        <v>383</v>
      </c>
      <c r="BK7" t="s">
        <v>152</v>
      </c>
      <c r="BL7" t="s">
        <v>152</v>
      </c>
      <c r="BM7" t="s">
        <v>384</v>
      </c>
      <c r="BN7" t="s">
        <v>385</v>
      </c>
      <c r="BO7" t="s">
        <v>386</v>
      </c>
      <c r="BP7" t="s">
        <v>172</v>
      </c>
      <c r="BR7" s="1" t="s">
        <v>123</v>
      </c>
      <c r="DL7" s="56" t="s">
        <v>387</v>
      </c>
      <c r="DM7" t="s">
        <v>388</v>
      </c>
      <c r="DN7" t="s">
        <v>389</v>
      </c>
      <c r="DO7" t="s">
        <v>169</v>
      </c>
      <c r="DP7" t="s">
        <v>169</v>
      </c>
      <c r="DQ7" t="s">
        <v>169</v>
      </c>
      <c r="DR7" t="s">
        <v>169</v>
      </c>
      <c r="DS7" t="s">
        <v>169</v>
      </c>
      <c r="DT7" t="s">
        <v>169</v>
      </c>
      <c r="DU7" t="s">
        <v>390</v>
      </c>
      <c r="DV7" s="56" t="s">
        <v>214</v>
      </c>
      <c r="DW7" t="s">
        <v>388</v>
      </c>
      <c r="DX7" t="s">
        <v>2274</v>
      </c>
      <c r="DY7" t="s">
        <v>169</v>
      </c>
      <c r="DZ7" t="s">
        <v>169</v>
      </c>
      <c r="EA7" t="s">
        <v>169</v>
      </c>
      <c r="EB7" t="s">
        <v>169</v>
      </c>
      <c r="EC7" t="s">
        <v>169</v>
      </c>
      <c r="ED7" t="s">
        <v>169</v>
      </c>
      <c r="EE7" t="s">
        <v>393</v>
      </c>
      <c r="EF7" s="56" t="s">
        <v>174</v>
      </c>
      <c r="EG7" t="s">
        <v>394</v>
      </c>
      <c r="EK7" t="s">
        <v>391</v>
      </c>
      <c r="EL7" t="s">
        <v>169</v>
      </c>
      <c r="EM7" t="s">
        <v>169</v>
      </c>
      <c r="EN7" t="s">
        <v>169</v>
      </c>
      <c r="EO7" t="s">
        <v>169</v>
      </c>
      <c r="EP7" t="s">
        <v>169</v>
      </c>
      <c r="EQ7" t="s">
        <v>169</v>
      </c>
      <c r="ER7" t="s">
        <v>169</v>
      </c>
      <c r="ES7">
        <v>20</v>
      </c>
      <c r="ET7">
        <v>20</v>
      </c>
      <c r="EU7">
        <v>0</v>
      </c>
      <c r="EV7">
        <v>15</v>
      </c>
      <c r="EW7">
        <v>30</v>
      </c>
      <c r="EX7">
        <v>0</v>
      </c>
      <c r="EY7">
        <v>15</v>
      </c>
      <c r="FA7">
        <v>30</v>
      </c>
      <c r="FB7">
        <v>20</v>
      </c>
      <c r="FC7">
        <v>0</v>
      </c>
      <c r="FD7">
        <v>10</v>
      </c>
      <c r="FE7">
        <v>25</v>
      </c>
      <c r="FF7">
        <v>0</v>
      </c>
      <c r="FG7">
        <v>15</v>
      </c>
      <c r="FI7" s="1" t="s">
        <v>123</v>
      </c>
      <c r="FJ7" t="s">
        <v>178</v>
      </c>
      <c r="FK7" t="s">
        <v>132</v>
      </c>
      <c r="GI7" s="1" t="s">
        <v>123</v>
      </c>
      <c r="GJ7" t="s">
        <v>132</v>
      </c>
      <c r="GL7" t="s">
        <v>132</v>
      </c>
      <c r="HQ7" t="s">
        <v>395</v>
      </c>
      <c r="HR7" t="s">
        <v>396</v>
      </c>
      <c r="HS7" t="s">
        <v>397</v>
      </c>
      <c r="HT7" t="s">
        <v>186</v>
      </c>
      <c r="HU7">
        <v>1960</v>
      </c>
      <c r="HV7" t="str">
        <f>VLOOKUP(AnalizaCzyste[[#This Row],[Rok urodzenia]],KategorieWiekowe[],2,1)</f>
        <v>56–65 lat</v>
      </c>
      <c r="HW7" t="s">
        <v>398</v>
      </c>
    </row>
    <row r="8" spans="1:235" ht="56.35" customHeight="1" x14ac:dyDescent="0.45">
      <c r="A8" s="62">
        <v>6</v>
      </c>
      <c r="B8" s="62">
        <f>_xlfn.IFNA(VLOOKUP(AnalizaCzyste[[#This Row],[Zakończono wypełnianie]],Zakończone[],2,0),"BRAK")</f>
        <v>21</v>
      </c>
      <c r="C8" s="62">
        <f t="shared" si="0"/>
        <v>47</v>
      </c>
      <c r="D8" s="62" t="s">
        <v>443</v>
      </c>
      <c r="E8" s="62" t="s">
        <v>444</v>
      </c>
      <c r="F8" s="62">
        <v>6812</v>
      </c>
      <c r="G8" s="59" t="s">
        <v>2292</v>
      </c>
      <c r="H8" s="59" t="s">
        <v>2292</v>
      </c>
      <c r="I8" s="59" t="s">
        <v>2471</v>
      </c>
      <c r="J8" s="59" t="str">
        <f>"("&amp;"ID:"&amp;AnalizaCzyste[[#This Row],[Lp. wywiadu]]&amp;"; "&amp;AnalizaCzyste[[#This Row],[Czy kierunek techniczny?]]&amp;"; "&amp;MID(AnalizaCzyste[[#This Row],[Info metryczkowe]],2,40)</f>
        <v>(ID:6; NTech; A_AD; 2; k; C; t/t)</v>
      </c>
      <c r="K8" s="55" t="s">
        <v>2549</v>
      </c>
      <c r="L8" s="55"/>
      <c r="M8" s="55"/>
      <c r="N8" s="55" t="s">
        <v>2548</v>
      </c>
      <c r="O8" s="55" t="s">
        <v>2503</v>
      </c>
      <c r="P8" s="55" t="s">
        <v>2547</v>
      </c>
      <c r="Q8" s="55" t="s">
        <v>2546</v>
      </c>
      <c r="R8" s="55" t="s">
        <v>2538</v>
      </c>
      <c r="S8" s="60" t="s">
        <v>2545</v>
      </c>
      <c r="T8" s="60" t="s">
        <v>2544</v>
      </c>
      <c r="U8" s="63" t="s">
        <v>2778</v>
      </c>
      <c r="V8" s="63"/>
      <c r="W8" s="63"/>
      <c r="X8" s="63"/>
      <c r="Y8" s="63"/>
      <c r="Z8" s="63"/>
      <c r="AA8" s="63"/>
      <c r="AB8" s="63"/>
      <c r="AC8" s="60" t="s">
        <v>2543</v>
      </c>
      <c r="AD8" s="55" t="s">
        <v>2735</v>
      </c>
      <c r="AE8" s="55" t="s">
        <v>2767</v>
      </c>
      <c r="AF8" s="55" t="str">
        <f>VLOOKUP(AnalizaCzyste[[#This Row],[Jak się nazywa uczelnia którą ukończyłeś? (proszę o wybranie jednej uczelni podlegającej ocenie)]],KategorieUczelni[],3,0)</f>
        <v>Nietechniczna</v>
      </c>
      <c r="AG8" s="55" t="str">
        <f>MID(AnalizaCzyste[[#This Row],[Info metryczkowe]],2,40)</f>
        <v>A_AD; 2; k; C; t/t)</v>
      </c>
      <c r="AH8" s="55"/>
      <c r="AI8" s="1" t="s">
        <v>123</v>
      </c>
      <c r="AY8" s="56" t="s">
        <v>124</v>
      </c>
      <c r="AZ8" t="s">
        <v>445</v>
      </c>
      <c r="BA8" t="str">
        <f>VLOOKUP(AnalizaCzyste[[#This Row],[Jak się nazywa uczelnia którą ukończyłeś? (proszę o wybranie jednej uczelni podlegającej ocenie)]],KategorieUczelni[],2,0)</f>
        <v>Publiczna</v>
      </c>
      <c r="BB8">
        <v>2019</v>
      </c>
      <c r="BC8" t="s">
        <v>148</v>
      </c>
      <c r="BD8" t="s">
        <v>446</v>
      </c>
      <c r="BE8" t="s">
        <v>150</v>
      </c>
      <c r="BF8" t="s">
        <v>150</v>
      </c>
      <c r="BG8" t="s">
        <v>169</v>
      </c>
      <c r="BH8" t="s">
        <v>169</v>
      </c>
      <c r="BI8" t="s">
        <v>132</v>
      </c>
      <c r="BJ8" t="s">
        <v>237</v>
      </c>
      <c r="BK8" t="s">
        <v>226</v>
      </c>
      <c r="BL8" t="s">
        <v>132</v>
      </c>
      <c r="BM8" t="s">
        <v>447</v>
      </c>
      <c r="BN8" t="s">
        <v>448</v>
      </c>
      <c r="BO8" t="s">
        <v>449</v>
      </c>
      <c r="BP8" t="s">
        <v>157</v>
      </c>
      <c r="BR8" s="1" t="s">
        <v>123</v>
      </c>
      <c r="DL8" s="56" t="s">
        <v>387</v>
      </c>
      <c r="DM8" t="s">
        <v>445</v>
      </c>
      <c r="DN8" t="s">
        <v>450</v>
      </c>
      <c r="DO8" t="s">
        <v>169</v>
      </c>
      <c r="DP8" t="s">
        <v>169</v>
      </c>
      <c r="DQ8" t="s">
        <v>169</v>
      </c>
      <c r="DR8" t="s">
        <v>150</v>
      </c>
      <c r="DS8" t="s">
        <v>150</v>
      </c>
      <c r="DT8" t="s">
        <v>150</v>
      </c>
      <c r="DU8" t="s">
        <v>451</v>
      </c>
      <c r="DV8" s="1" t="s">
        <v>123</v>
      </c>
      <c r="EF8" s="1" t="s">
        <v>123</v>
      </c>
      <c r="FI8" s="1" t="s">
        <v>123</v>
      </c>
      <c r="FJ8" t="s">
        <v>180</v>
      </c>
      <c r="FK8" t="s">
        <v>132</v>
      </c>
      <c r="GI8" s="1" t="s">
        <v>123</v>
      </c>
      <c r="GJ8" t="s">
        <v>132</v>
      </c>
      <c r="GL8" t="s">
        <v>132</v>
      </c>
      <c r="HQ8" t="s">
        <v>452</v>
      </c>
      <c r="HR8" t="s">
        <v>453</v>
      </c>
      <c r="HS8" t="s">
        <v>454</v>
      </c>
      <c r="HT8" t="s">
        <v>140</v>
      </c>
      <c r="HU8">
        <v>1994</v>
      </c>
      <c r="HV8" t="str">
        <f>VLOOKUP(AnalizaCzyste[[#This Row],[Rok urodzenia]],KategorieWiekowe[],2,1)</f>
        <v>26–35 lat</v>
      </c>
      <c r="HW8" t="s">
        <v>220</v>
      </c>
      <c r="HY8" t="s">
        <v>455</v>
      </c>
      <c r="HZ8" t="s">
        <v>456</v>
      </c>
    </row>
    <row r="9" spans="1:235" ht="56.35" customHeight="1" x14ac:dyDescent="0.45">
      <c r="A9" s="62">
        <v>7</v>
      </c>
      <c r="B9" s="62">
        <f>_xlfn.IFNA(VLOOKUP(AnalizaCzyste[[#This Row],[Zakończono wypełnianie]],Zakończone[],2,0),"BRAK")</f>
        <v>39</v>
      </c>
      <c r="C9" s="62">
        <f t="shared" si="0"/>
        <v>55</v>
      </c>
      <c r="D9" s="62" t="s">
        <v>715</v>
      </c>
      <c r="E9" s="62" t="s">
        <v>716</v>
      </c>
      <c r="F9" s="62">
        <v>1868</v>
      </c>
      <c r="G9" s="59" t="s">
        <v>2292</v>
      </c>
      <c r="H9" s="59" t="s">
        <v>2292</v>
      </c>
      <c r="I9" s="59" t="s">
        <v>2470</v>
      </c>
      <c r="J9" s="59" t="str">
        <f>"("&amp;"ID:"&amp;AnalizaCzyste[[#This Row],[Lp. wywiadu]]&amp;"; "&amp;AnalizaCzyste[[#This Row],[Czy kierunek techniczny?]]&amp;"; "&amp;MID(AnalizaCzyste[[#This Row],[Info metryczkowe]],2,40)</f>
        <v>(ID:7; Tech; A_W_P; 3; m; F; t/n)</v>
      </c>
      <c r="K9" s="55"/>
      <c r="L9" s="55"/>
      <c r="M9" s="55"/>
      <c r="N9" s="55" t="s">
        <v>2555</v>
      </c>
      <c r="O9" s="55" t="s">
        <v>2503</v>
      </c>
      <c r="P9" s="55" t="s">
        <v>2554</v>
      </c>
      <c r="Q9" s="55" t="s">
        <v>2553</v>
      </c>
      <c r="R9" s="55" t="s">
        <v>2556</v>
      </c>
      <c r="S9" s="60" t="s">
        <v>2552</v>
      </c>
      <c r="T9" s="60" t="s">
        <v>2551</v>
      </c>
      <c r="U9" s="63" t="s">
        <v>2296</v>
      </c>
      <c r="V9" s="63" t="s">
        <v>2297</v>
      </c>
      <c r="W9" s="63" t="s">
        <v>2770</v>
      </c>
      <c r="X9" s="63"/>
      <c r="Y9" s="63" t="s">
        <v>2771</v>
      </c>
      <c r="Z9" s="63"/>
      <c r="AA9" s="63"/>
      <c r="AB9" s="63"/>
      <c r="AC9" s="60" t="s">
        <v>2550</v>
      </c>
      <c r="AD9" s="55" t="s">
        <v>2736</v>
      </c>
      <c r="AE9" s="55" t="s">
        <v>2764</v>
      </c>
      <c r="AF9" s="55" t="str">
        <f>VLOOKUP(AnalizaCzyste[[#This Row],[Jak się nazywa uczelnia którą ukończyłeś? (proszę o wybranie jednej uczelni podlegającej ocenie)]],KategorieUczelni[],3,0)</f>
        <v>Techniczna</v>
      </c>
      <c r="AG9" s="55" t="str">
        <f>MID(AnalizaCzyste[[#This Row],[Info metryczkowe]],2,40)</f>
        <v>A_W_P; 3; m; F; t/n)</v>
      </c>
      <c r="AH9" s="55"/>
      <c r="AI9" s="1" t="s">
        <v>123</v>
      </c>
      <c r="AY9" s="56" t="s">
        <v>124</v>
      </c>
      <c r="AZ9" t="s">
        <v>191</v>
      </c>
      <c r="BA9" t="str">
        <f>VLOOKUP(AnalizaCzyste[[#This Row],[Jak się nazywa uczelnia którą ukończyłeś? (proszę o wybranie jednej uczelni podlegającej ocenie)]],KategorieUczelni[],2,0)</f>
        <v>Publiczna</v>
      </c>
      <c r="BB9">
        <v>2008</v>
      </c>
      <c r="BC9" t="s">
        <v>126</v>
      </c>
      <c r="BD9" t="s">
        <v>717</v>
      </c>
      <c r="BE9" t="s">
        <v>162</v>
      </c>
      <c r="BF9" t="s">
        <v>151</v>
      </c>
      <c r="BG9" t="s">
        <v>162</v>
      </c>
      <c r="BH9" t="s">
        <v>236</v>
      </c>
      <c r="BI9" t="s">
        <v>236</v>
      </c>
      <c r="BJ9" t="s">
        <v>718</v>
      </c>
      <c r="BK9" t="s">
        <v>131</v>
      </c>
      <c r="BL9" t="s">
        <v>302</v>
      </c>
      <c r="BM9" t="s">
        <v>719</v>
      </c>
      <c r="BN9" t="s">
        <v>720</v>
      </c>
      <c r="BO9" t="s">
        <v>721</v>
      </c>
      <c r="BP9" t="s">
        <v>172</v>
      </c>
      <c r="BR9" s="1" t="s">
        <v>123</v>
      </c>
      <c r="DL9" s="1" t="s">
        <v>123</v>
      </c>
      <c r="DV9" s="56" t="s">
        <v>214</v>
      </c>
      <c r="DW9" t="s">
        <v>2275</v>
      </c>
      <c r="DX9" t="s">
        <v>2276</v>
      </c>
      <c r="DY9" t="s">
        <v>150</v>
      </c>
      <c r="DZ9" t="s">
        <v>162</v>
      </c>
      <c r="EA9" t="s">
        <v>151</v>
      </c>
      <c r="EB9" t="s">
        <v>162</v>
      </c>
      <c r="EC9" t="s">
        <v>128</v>
      </c>
      <c r="ED9" t="s">
        <v>128</v>
      </c>
      <c r="EE9" t="s">
        <v>724</v>
      </c>
      <c r="EF9" s="1" t="s">
        <v>123</v>
      </c>
      <c r="FI9" s="56" t="s">
        <v>177</v>
      </c>
      <c r="FJ9" t="s">
        <v>180</v>
      </c>
      <c r="FK9">
        <v>1</v>
      </c>
      <c r="FL9" t="s">
        <v>722</v>
      </c>
      <c r="FM9" t="s">
        <v>162</v>
      </c>
      <c r="FN9" t="s">
        <v>150</v>
      </c>
      <c r="FO9" t="s">
        <v>236</v>
      </c>
      <c r="FP9" t="s">
        <v>178</v>
      </c>
      <c r="FQ9" t="s">
        <v>725</v>
      </c>
      <c r="FR9" t="s">
        <v>726</v>
      </c>
      <c r="FS9" t="s">
        <v>173</v>
      </c>
      <c r="GI9" s="1" t="s">
        <v>123</v>
      </c>
      <c r="GJ9" t="s">
        <v>132</v>
      </c>
      <c r="GL9" t="s">
        <v>132</v>
      </c>
      <c r="HQ9" t="s">
        <v>727</v>
      </c>
      <c r="HR9" t="s">
        <v>728</v>
      </c>
      <c r="HS9" t="s">
        <v>729</v>
      </c>
      <c r="HT9" t="s">
        <v>186</v>
      </c>
      <c r="HU9">
        <v>1983</v>
      </c>
      <c r="HV9" t="str">
        <f>VLOOKUP(AnalizaCzyste[[#This Row],[Rok urodzenia]],KategorieWiekowe[],2,1)</f>
        <v>36–45 lat</v>
      </c>
      <c r="HW9" t="s">
        <v>141</v>
      </c>
      <c r="HY9" t="s">
        <v>730</v>
      </c>
      <c r="IA9" t="s">
        <v>731</v>
      </c>
    </row>
    <row r="10" spans="1:235" ht="56.35" customHeight="1" x14ac:dyDescent="0.45">
      <c r="A10" s="62">
        <v>8</v>
      </c>
      <c r="B10" s="62">
        <f>_xlfn.IFNA(VLOOKUP(AnalizaCzyste[[#This Row],[Zakończono wypełnianie]],Zakończone[],2,0),"BRAK")</f>
        <v>40</v>
      </c>
      <c r="C10" s="62">
        <f t="shared" si="0"/>
        <v>47</v>
      </c>
      <c r="D10" s="62" t="s">
        <v>740</v>
      </c>
      <c r="E10" s="62" t="s">
        <v>741</v>
      </c>
      <c r="F10" s="62">
        <v>341</v>
      </c>
      <c r="G10" s="59" t="s">
        <v>2292</v>
      </c>
      <c r="H10" s="59" t="s">
        <v>2292</v>
      </c>
      <c r="I10" s="59" t="s">
        <v>2476</v>
      </c>
      <c r="J10" s="59" t="str">
        <f>"("&amp;"ID:"&amp;AnalizaCzyste[[#This Row],[Lp. wywiadu]]&amp;"; "&amp;AnalizaCzyste[[#This Row],[Czy kierunek techniczny?]]&amp;"; "&amp;MID(AnalizaCzyste[[#This Row],[Info metryczkowe]],2,40)</f>
        <v>(ID:8; NTech; A_AD; 3; m; E; t/n)</v>
      </c>
      <c r="K10" s="55" t="s">
        <v>2565</v>
      </c>
      <c r="L10" s="55"/>
      <c r="M10" s="55" t="s">
        <v>2564</v>
      </c>
      <c r="N10" s="55" t="s">
        <v>2563</v>
      </c>
      <c r="O10" s="55" t="s">
        <v>2503</v>
      </c>
      <c r="P10" s="55" t="s">
        <v>2562</v>
      </c>
      <c r="Q10" s="55" t="s">
        <v>2561</v>
      </c>
      <c r="R10" s="55" t="s">
        <v>2560</v>
      </c>
      <c r="S10" s="60" t="s">
        <v>2559</v>
      </c>
      <c r="T10" s="60" t="s">
        <v>2558</v>
      </c>
      <c r="U10" s="63" t="s">
        <v>2296</v>
      </c>
      <c r="V10" s="63" t="s">
        <v>2297</v>
      </c>
      <c r="W10" s="63"/>
      <c r="X10" s="63"/>
      <c r="Y10" s="63" t="s">
        <v>2771</v>
      </c>
      <c r="Z10" s="63"/>
      <c r="AA10" s="63"/>
      <c r="AB10" s="63"/>
      <c r="AC10" s="60" t="s">
        <v>2557</v>
      </c>
      <c r="AD10" s="55" t="s">
        <v>2737</v>
      </c>
      <c r="AE10" s="55" t="s">
        <v>2767</v>
      </c>
      <c r="AF10" s="55" t="str">
        <f>VLOOKUP(AnalizaCzyste[[#This Row],[Jak się nazywa uczelnia którą ukończyłeś? (proszę o wybranie jednej uczelni podlegającej ocenie)]],KategorieUczelni[],3,0)</f>
        <v>Nietechniczna</v>
      </c>
      <c r="AG10" s="55" t="str">
        <f>MID(AnalizaCzyste[[#This Row],[Info metryczkowe]],2,40)</f>
        <v>A_AD; 3; m; E; t/n)</v>
      </c>
      <c r="AH10" s="55"/>
      <c r="AI10" s="1" t="s">
        <v>123</v>
      </c>
      <c r="AY10" s="56" t="s">
        <v>124</v>
      </c>
      <c r="AZ10" t="s">
        <v>223</v>
      </c>
      <c r="BA10" t="str">
        <f>VLOOKUP(AnalizaCzyste[[#This Row],[Jak się nazywa uczelnia którą ukończyłeś? (proszę o wybranie jednej uczelni podlegającej ocenie)]],KategorieUczelni[],2,0)</f>
        <v>Publiczna</v>
      </c>
      <c r="BB10">
        <v>2007</v>
      </c>
      <c r="BC10" t="s">
        <v>148</v>
      </c>
      <c r="BD10" t="s">
        <v>743</v>
      </c>
      <c r="BE10" t="s">
        <v>236</v>
      </c>
      <c r="BF10" t="s">
        <v>129</v>
      </c>
      <c r="BG10" t="s">
        <v>128</v>
      </c>
      <c r="BH10" t="s">
        <v>162</v>
      </c>
      <c r="BI10" t="s">
        <v>150</v>
      </c>
      <c r="BJ10" t="s">
        <v>237</v>
      </c>
      <c r="BK10" t="s">
        <v>302</v>
      </c>
      <c r="BL10" t="s">
        <v>153</v>
      </c>
      <c r="BM10" t="s">
        <v>744</v>
      </c>
      <c r="BN10" t="s">
        <v>745</v>
      </c>
      <c r="BO10" t="s">
        <v>746</v>
      </c>
      <c r="BP10" t="s">
        <v>172</v>
      </c>
      <c r="BR10" s="1" t="s">
        <v>123</v>
      </c>
      <c r="DL10" s="56" t="s">
        <v>387</v>
      </c>
      <c r="DM10" t="s">
        <v>191</v>
      </c>
      <c r="DN10" t="s">
        <v>748</v>
      </c>
      <c r="DO10" t="s">
        <v>150</v>
      </c>
      <c r="DP10" t="s">
        <v>150</v>
      </c>
      <c r="DQ10" t="s">
        <v>169</v>
      </c>
      <c r="DR10" t="s">
        <v>169</v>
      </c>
      <c r="DS10" t="s">
        <v>150</v>
      </c>
      <c r="DT10" t="s">
        <v>150</v>
      </c>
      <c r="DU10" t="s">
        <v>749</v>
      </c>
      <c r="DV10" s="1" t="s">
        <v>123</v>
      </c>
      <c r="EF10" s="1" t="s">
        <v>123</v>
      </c>
      <c r="FI10" s="1" t="s">
        <v>123</v>
      </c>
      <c r="FJ10" t="s">
        <v>178</v>
      </c>
      <c r="FK10" t="s">
        <v>132</v>
      </c>
      <c r="GI10" s="1" t="s">
        <v>123</v>
      </c>
      <c r="GJ10" t="s">
        <v>132</v>
      </c>
      <c r="GL10" t="s">
        <v>132</v>
      </c>
      <c r="HQ10" t="s">
        <v>750</v>
      </c>
      <c r="HR10" t="s">
        <v>751</v>
      </c>
      <c r="HS10" t="s">
        <v>752</v>
      </c>
      <c r="HT10" t="s">
        <v>186</v>
      </c>
      <c r="HU10">
        <v>1983</v>
      </c>
      <c r="HV10" t="str">
        <f>VLOOKUP(AnalizaCzyste[[#This Row],[Rok urodzenia]],KategorieWiekowe[],2,1)</f>
        <v>36–45 lat</v>
      </c>
      <c r="HW10" t="s">
        <v>398</v>
      </c>
      <c r="HY10" t="s">
        <v>753</v>
      </c>
      <c r="HZ10" t="s">
        <v>532</v>
      </c>
    </row>
    <row r="11" spans="1:235" ht="56.35" customHeight="1" x14ac:dyDescent="0.45">
      <c r="A11" s="62">
        <v>9</v>
      </c>
      <c r="B11" s="62">
        <f>_xlfn.IFNA(VLOOKUP(AnalizaCzyste[[#This Row],[Zakończono wypełnianie]],Zakończone[],2,0),"BRAK")</f>
        <v>41</v>
      </c>
      <c r="C11" s="62">
        <f t="shared" si="0"/>
        <v>52</v>
      </c>
      <c r="D11" s="62" t="s">
        <v>756</v>
      </c>
      <c r="E11" s="62" t="s">
        <v>757</v>
      </c>
      <c r="F11" s="62">
        <v>487</v>
      </c>
      <c r="G11" s="59" t="s">
        <v>2292</v>
      </c>
      <c r="H11" s="59" t="s">
        <v>2292</v>
      </c>
      <c r="I11" s="59" t="s">
        <v>2469</v>
      </c>
      <c r="J11" s="59" t="str">
        <f>"("&amp;"ID:"&amp;AnalizaCzyste[[#This Row],[Lp. wywiadu]]&amp;"; "&amp;AnalizaCzyste[[#This Row],[Czy kierunek techniczny?]]&amp;"; "&amp;MID(AnalizaCzyste[[#This Row],[Info metryczkowe]],2,40)</f>
        <v>(ID:9; NTech; S_A; 2; m; F; t/t)</v>
      </c>
      <c r="K11" s="55" t="s">
        <v>2572</v>
      </c>
      <c r="L11" s="55"/>
      <c r="M11" s="55"/>
      <c r="N11" s="55" t="s">
        <v>2571</v>
      </c>
      <c r="O11" s="55" t="s">
        <v>2503</v>
      </c>
      <c r="P11" s="55" t="s">
        <v>2570</v>
      </c>
      <c r="Q11" s="55" t="s">
        <v>2569</v>
      </c>
      <c r="R11" s="55" t="s">
        <v>2573</v>
      </c>
      <c r="S11" s="60" t="s">
        <v>2568</v>
      </c>
      <c r="T11" s="65" t="s">
        <v>2567</v>
      </c>
      <c r="U11" s="63"/>
      <c r="V11" s="64" t="s">
        <v>2297</v>
      </c>
      <c r="W11" s="63"/>
      <c r="X11" s="63"/>
      <c r="Y11" s="63"/>
      <c r="Z11" s="63"/>
      <c r="AA11" s="63"/>
      <c r="AB11" s="63"/>
      <c r="AC11" s="60" t="s">
        <v>2566</v>
      </c>
      <c r="AD11" s="55" t="s">
        <v>2738</v>
      </c>
      <c r="AE11" s="55" t="s">
        <v>2767</v>
      </c>
      <c r="AF11" s="55" t="str">
        <f>VLOOKUP(AnalizaCzyste[[#This Row],[Jak się nazywa uczelnia którą ukończyłeś? (proszę o wybranie jednej uczelni podlegającej ocenie)]],KategorieUczelni[],3,0)</f>
        <v>Nietechniczna</v>
      </c>
      <c r="AG11" s="55" t="str">
        <f>MID(AnalizaCzyste[[#This Row],[Info metryczkowe]],2,40)</f>
        <v>S_A; 2; m; F; t/t)</v>
      </c>
      <c r="AH11" s="55"/>
      <c r="AI11" s="56" t="s">
        <v>416</v>
      </c>
      <c r="AJ11" t="s">
        <v>147</v>
      </c>
      <c r="AK11" t="s">
        <v>148</v>
      </c>
      <c r="AL11" t="s">
        <v>758</v>
      </c>
      <c r="AM11" t="s">
        <v>236</v>
      </c>
      <c r="AN11" t="s">
        <v>129</v>
      </c>
      <c r="AO11" t="s">
        <v>236</v>
      </c>
      <c r="AP11" t="s">
        <v>718</v>
      </c>
      <c r="AQ11" t="s">
        <v>759</v>
      </c>
      <c r="AR11" t="s">
        <v>194</v>
      </c>
      <c r="AS11" t="s">
        <v>760</v>
      </c>
      <c r="AT11" t="s">
        <v>761</v>
      </c>
      <c r="AU11" t="s">
        <v>762</v>
      </c>
      <c r="AV11" t="s">
        <v>157</v>
      </c>
      <c r="AX11">
        <v>2</v>
      </c>
      <c r="AY11" s="56" t="s">
        <v>124</v>
      </c>
      <c r="AZ11" t="s">
        <v>223</v>
      </c>
      <c r="BA11" t="str">
        <f>VLOOKUP(AnalizaCzyste[[#This Row],[Jak się nazywa uczelnia którą ukończyłeś? (proszę o wybranie jednej uczelni podlegającej ocenie)]],KategorieUczelni[],2,0)</f>
        <v>Publiczna</v>
      </c>
      <c r="BB11">
        <v>2012</v>
      </c>
      <c r="BC11" t="s">
        <v>148</v>
      </c>
      <c r="BD11" t="s">
        <v>764</v>
      </c>
      <c r="BE11" t="s">
        <v>236</v>
      </c>
      <c r="BF11" t="s">
        <v>236</v>
      </c>
      <c r="BG11" t="s">
        <v>236</v>
      </c>
      <c r="BH11" t="s">
        <v>129</v>
      </c>
      <c r="BI11" t="s">
        <v>236</v>
      </c>
      <c r="BJ11" t="s">
        <v>237</v>
      </c>
      <c r="BK11" t="s">
        <v>302</v>
      </c>
      <c r="BL11" t="s">
        <v>153</v>
      </c>
      <c r="BM11" t="s">
        <v>765</v>
      </c>
      <c r="BN11" t="s">
        <v>766</v>
      </c>
      <c r="BO11" t="s">
        <v>767</v>
      </c>
      <c r="BP11" t="s">
        <v>230</v>
      </c>
      <c r="BR11" s="1" t="s">
        <v>123</v>
      </c>
      <c r="DL11" s="1" t="s">
        <v>123</v>
      </c>
      <c r="DV11" s="1" t="s">
        <v>123</v>
      </c>
      <c r="EF11" s="1" t="s">
        <v>123</v>
      </c>
      <c r="FI11" s="1" t="s">
        <v>123</v>
      </c>
      <c r="FJ11" t="s">
        <v>180</v>
      </c>
      <c r="FK11" t="s">
        <v>132</v>
      </c>
      <c r="GI11" s="1" t="s">
        <v>123</v>
      </c>
      <c r="GJ11" t="s">
        <v>132</v>
      </c>
      <c r="GL11" t="s">
        <v>132</v>
      </c>
      <c r="HQ11" t="s">
        <v>768</v>
      </c>
      <c r="HR11" t="s">
        <v>769</v>
      </c>
      <c r="HS11" t="s">
        <v>770</v>
      </c>
      <c r="HT11" t="s">
        <v>186</v>
      </c>
      <c r="HU11">
        <v>1990</v>
      </c>
      <c r="HV11" t="str">
        <f>VLOOKUP(AnalizaCzyste[[#This Row],[Rok urodzenia]],KategorieWiekowe[],2,1)</f>
        <v>26–35 lat</v>
      </c>
      <c r="HW11" t="s">
        <v>141</v>
      </c>
      <c r="HY11" t="s">
        <v>771</v>
      </c>
      <c r="HZ11" t="s">
        <v>772</v>
      </c>
    </row>
    <row r="12" spans="1:235" ht="56.35" customHeight="1" x14ac:dyDescent="0.45">
      <c r="A12" s="62">
        <v>10</v>
      </c>
      <c r="B12" s="62">
        <f>_xlfn.IFNA(VLOOKUP(AnalizaCzyste[[#This Row],[Zakończono wypełnianie]],Zakończone[],2,0),"BRAK")</f>
        <v>47</v>
      </c>
      <c r="C12" s="62">
        <f t="shared" si="0"/>
        <v>30</v>
      </c>
      <c r="D12" s="62" t="s">
        <v>829</v>
      </c>
      <c r="E12" s="62" t="s">
        <v>830</v>
      </c>
      <c r="F12" s="62">
        <v>3349</v>
      </c>
      <c r="G12" s="59" t="s">
        <v>2292</v>
      </c>
      <c r="H12" s="59" t="s">
        <v>2292</v>
      </c>
      <c r="I12" s="59" t="s">
        <v>2467</v>
      </c>
      <c r="J12" s="59" t="str">
        <f>"("&amp;"ID:"&amp;AnalizaCzyste[[#This Row],[Lp. wywiadu]]&amp;"; "&amp;AnalizaCzyste[[#This Row],[Czy kierunek techniczny?]]&amp;"; "&amp;MID(AnalizaCzyste[[#This Row],[Info metryczkowe]],2,40)</f>
        <v>(ID:10; NTech; A_P; 3; k; E; t/n)</v>
      </c>
      <c r="K12" s="55" t="s">
        <v>2580</v>
      </c>
      <c r="L12" s="55"/>
      <c r="M12" s="55"/>
      <c r="N12" s="55" t="s">
        <v>2579</v>
      </c>
      <c r="O12" s="55" t="s">
        <v>2503</v>
      </c>
      <c r="P12" s="55" t="s">
        <v>2578</v>
      </c>
      <c r="Q12" s="55" t="s">
        <v>2577</v>
      </c>
      <c r="R12" s="55" t="s">
        <v>2538</v>
      </c>
      <c r="S12" s="60" t="s">
        <v>2576</v>
      </c>
      <c r="T12" s="60" t="s">
        <v>2575</v>
      </c>
      <c r="U12" s="63" t="s">
        <v>2296</v>
      </c>
      <c r="V12" s="63"/>
      <c r="W12" s="63" t="s">
        <v>2770</v>
      </c>
      <c r="X12" s="63"/>
      <c r="Y12" s="63"/>
      <c r="Z12" s="63"/>
      <c r="AA12" s="63"/>
      <c r="AB12" s="63"/>
      <c r="AC12" s="60" t="s">
        <v>2574</v>
      </c>
      <c r="AD12" s="55" t="s">
        <v>2739</v>
      </c>
      <c r="AE12" s="55" t="s">
        <v>2767</v>
      </c>
      <c r="AF12" s="55" t="str">
        <f>VLOOKUP(AnalizaCzyste[[#This Row],[Jak się nazywa uczelnia którą ukończyłeś? (proszę o wybranie jednej uczelni podlegającej ocenie)]],KategorieUczelni[],3,0)</f>
        <v>Nietechniczna</v>
      </c>
      <c r="AG12" s="55" t="str">
        <f>MID(AnalizaCzyste[[#This Row],[Info metryczkowe]],2,40)</f>
        <v>A_P; 3; k; E; t/n)</v>
      </c>
      <c r="AH12" s="55"/>
      <c r="AI12" s="1" t="s">
        <v>123</v>
      </c>
      <c r="AY12" s="57" t="s">
        <v>2487</v>
      </c>
      <c r="AZ12" s="42" t="s">
        <v>223</v>
      </c>
      <c r="BA12" t="str">
        <f>VLOOKUP(AnalizaCzyste[[#This Row],[Jak się nazywa uczelnia którą ukończyłeś? (proszę o wybranie jednej uczelni podlegającej ocenie)]],KategorieUczelni[],2,0)</f>
        <v>Publiczna</v>
      </c>
      <c r="BR12" s="1" t="s">
        <v>123</v>
      </c>
      <c r="DL12" s="1" t="s">
        <v>123</v>
      </c>
      <c r="DV12" s="1" t="s">
        <v>123</v>
      </c>
      <c r="EF12" s="1" t="s">
        <v>123</v>
      </c>
      <c r="FI12" s="56" t="s">
        <v>177</v>
      </c>
      <c r="FJ12" t="s">
        <v>178</v>
      </c>
      <c r="FK12">
        <v>1</v>
      </c>
      <c r="FL12" t="s">
        <v>191</v>
      </c>
      <c r="FM12" t="s">
        <v>162</v>
      </c>
      <c r="FN12" t="s">
        <v>162</v>
      </c>
      <c r="FO12" t="s">
        <v>128</v>
      </c>
      <c r="FP12" t="s">
        <v>178</v>
      </c>
      <c r="FQ12" t="s">
        <v>831</v>
      </c>
      <c r="FR12" t="s">
        <v>832</v>
      </c>
      <c r="FS12" t="s">
        <v>173</v>
      </c>
      <c r="GI12" s="1" t="s">
        <v>123</v>
      </c>
      <c r="GJ12" t="s">
        <v>132</v>
      </c>
      <c r="GL12" t="s">
        <v>132</v>
      </c>
      <c r="HQ12" t="s">
        <v>833</v>
      </c>
      <c r="HR12" t="s">
        <v>834</v>
      </c>
      <c r="HS12" t="s">
        <v>835</v>
      </c>
      <c r="HT12" t="s">
        <v>140</v>
      </c>
      <c r="HU12">
        <v>1977</v>
      </c>
      <c r="HV12" t="str">
        <f>VLOOKUP(AnalizaCzyste[[#This Row],[Rok urodzenia]],KategorieWiekowe[],2,1)</f>
        <v>36–45 lat</v>
      </c>
      <c r="HW12" t="s">
        <v>398</v>
      </c>
      <c r="HY12" t="s">
        <v>836</v>
      </c>
    </row>
    <row r="13" spans="1:235" ht="56.35" customHeight="1" x14ac:dyDescent="0.45">
      <c r="A13" s="62">
        <v>11</v>
      </c>
      <c r="B13" s="62">
        <f>_xlfn.IFNA(VLOOKUP(AnalizaCzyste[[#This Row],[Zakończono wypełnianie]],Zakończone[],2,0),"BRAK")</f>
        <v>48</v>
      </c>
      <c r="C13" s="62">
        <f t="shared" si="0"/>
        <v>76</v>
      </c>
      <c r="D13" s="62" t="s">
        <v>838</v>
      </c>
      <c r="E13" s="62" t="s">
        <v>839</v>
      </c>
      <c r="F13" s="62">
        <v>3312</v>
      </c>
      <c r="G13" s="59" t="s">
        <v>2292</v>
      </c>
      <c r="H13" s="59" t="s">
        <v>2292</v>
      </c>
      <c r="I13" s="59" t="s">
        <v>2481</v>
      </c>
      <c r="J13" s="59" t="str">
        <f>"("&amp;"ID:"&amp;AnalizaCzyste[[#This Row],[Lp. wywiadu]]&amp;"; "&amp;AnalizaCzyste[[#This Row],[Czy kierunek techniczny?]]&amp;"; "&amp;MID(AnalizaCzyste[[#This Row],[Info metryczkowe]],2,40)</f>
        <v>(ID:11; Tech; A_R_W; 6; m; F; n/n)</v>
      </c>
      <c r="K13" s="55" t="s">
        <v>2588</v>
      </c>
      <c r="L13" s="55"/>
      <c r="M13" s="55" t="s">
        <v>2587</v>
      </c>
      <c r="N13" s="55" t="s">
        <v>2586</v>
      </c>
      <c r="O13" s="55" t="s">
        <v>2503</v>
      </c>
      <c r="P13" s="55" t="s">
        <v>2585</v>
      </c>
      <c r="Q13" s="55" t="s">
        <v>2584</v>
      </c>
      <c r="R13" s="55" t="s">
        <v>2538</v>
      </c>
      <c r="S13" s="60" t="s">
        <v>2583</v>
      </c>
      <c r="T13" s="60" t="s">
        <v>2582</v>
      </c>
      <c r="U13" s="63" t="s">
        <v>2296</v>
      </c>
      <c r="V13" s="63"/>
      <c r="W13" s="63"/>
      <c r="X13" s="63"/>
      <c r="Y13" s="63"/>
      <c r="Z13" s="63"/>
      <c r="AA13" s="63"/>
      <c r="AB13" s="63"/>
      <c r="AC13" s="60" t="s">
        <v>2581</v>
      </c>
      <c r="AD13" s="55" t="s">
        <v>2787</v>
      </c>
      <c r="AE13" s="55" t="s">
        <v>2764</v>
      </c>
      <c r="AF13" s="55" t="str">
        <f>VLOOKUP(AnalizaCzyste[[#This Row],[Jak się nazywa uczelnia którą ukończyłeś? (proszę o wybranie jednej uczelni podlegającej ocenie)]],KategorieUczelni[],3,0)</f>
        <v>Techniczna</v>
      </c>
      <c r="AG13" s="55" t="str">
        <f>MID(AnalizaCzyste[[#This Row],[Info metryczkowe]],2,40)</f>
        <v>A_R_W; 6; m; F; n/n)</v>
      </c>
      <c r="AH13" s="55"/>
      <c r="AI13" s="1" t="s">
        <v>123</v>
      </c>
      <c r="AY13" s="56" t="s">
        <v>124</v>
      </c>
      <c r="AZ13" s="20" t="s">
        <v>191</v>
      </c>
      <c r="BA13" s="20" t="str">
        <f>VLOOKUP(AnalizaCzyste[[#This Row],[Jak się nazywa uczelnia którą ukończyłeś? (proszę o wybranie jednej uczelni podlegającej ocenie)]],KategorieUczelni[],2,0)</f>
        <v>Publiczna</v>
      </c>
      <c r="BB13">
        <v>1978</v>
      </c>
      <c r="BC13" t="s">
        <v>126</v>
      </c>
      <c r="BD13" t="s">
        <v>841</v>
      </c>
      <c r="BE13" t="s">
        <v>169</v>
      </c>
      <c r="BF13" t="s">
        <v>169</v>
      </c>
      <c r="BG13" t="s">
        <v>151</v>
      </c>
      <c r="BH13" t="s">
        <v>150</v>
      </c>
      <c r="BI13" t="s">
        <v>150</v>
      </c>
      <c r="BJ13">
        <v>2</v>
      </c>
      <c r="BK13" t="s">
        <v>302</v>
      </c>
      <c r="BL13" t="s">
        <v>226</v>
      </c>
      <c r="BM13" t="s">
        <v>842</v>
      </c>
      <c r="BN13" t="s">
        <v>843</v>
      </c>
      <c r="BO13" t="s">
        <v>386</v>
      </c>
      <c r="BP13" t="s">
        <v>157</v>
      </c>
      <c r="BR13" s="56" t="s">
        <v>159</v>
      </c>
      <c r="BS13">
        <v>2</v>
      </c>
      <c r="BT13" t="s">
        <v>191</v>
      </c>
      <c r="BU13">
        <v>2005</v>
      </c>
      <c r="BV13" t="s">
        <v>126</v>
      </c>
      <c r="BW13" t="s">
        <v>844</v>
      </c>
      <c r="BX13" t="s">
        <v>150</v>
      </c>
      <c r="BY13" t="s">
        <v>150</v>
      </c>
      <c r="BZ13" t="s">
        <v>169</v>
      </c>
      <c r="CA13" t="s">
        <v>162</v>
      </c>
      <c r="CB13" t="s">
        <v>162</v>
      </c>
      <c r="CC13">
        <v>3</v>
      </c>
      <c r="CD13" t="s">
        <v>845</v>
      </c>
      <c r="CE13" t="s">
        <v>157</v>
      </c>
      <c r="CG13" t="s">
        <v>148</v>
      </c>
      <c r="CH13" t="s">
        <v>166</v>
      </c>
      <c r="CI13" t="s">
        <v>191</v>
      </c>
      <c r="CJ13">
        <v>2007</v>
      </c>
      <c r="CK13" t="s">
        <v>126</v>
      </c>
      <c r="CL13" t="s">
        <v>844</v>
      </c>
      <c r="CM13" t="s">
        <v>150</v>
      </c>
      <c r="CN13" t="s">
        <v>150</v>
      </c>
      <c r="CO13" t="s">
        <v>150</v>
      </c>
      <c r="CP13" t="s">
        <v>162</v>
      </c>
      <c r="CQ13" t="s">
        <v>162</v>
      </c>
      <c r="CR13">
        <v>3</v>
      </c>
      <c r="CS13" t="s">
        <v>148</v>
      </c>
      <c r="CT13" t="s">
        <v>157</v>
      </c>
      <c r="CV13" t="s">
        <v>148</v>
      </c>
      <c r="CW13" t="s">
        <v>173</v>
      </c>
      <c r="DL13" s="1" t="s">
        <v>123</v>
      </c>
      <c r="DV13" s="56" t="s">
        <v>214</v>
      </c>
      <c r="DW13" t="s">
        <v>2275</v>
      </c>
      <c r="DX13" t="s">
        <v>2276</v>
      </c>
      <c r="DY13" t="s">
        <v>150</v>
      </c>
      <c r="DZ13" t="s">
        <v>150</v>
      </c>
      <c r="EA13" t="s">
        <v>150</v>
      </c>
      <c r="EB13" t="s">
        <v>150</v>
      </c>
      <c r="EC13" t="s">
        <v>150</v>
      </c>
      <c r="ED13" t="s">
        <v>162</v>
      </c>
      <c r="EE13" t="s">
        <v>848</v>
      </c>
      <c r="EF13" s="1" t="s">
        <v>123</v>
      </c>
      <c r="FI13" s="1" t="s">
        <v>123</v>
      </c>
      <c r="FJ13" t="s">
        <v>180</v>
      </c>
      <c r="FK13" t="s">
        <v>132</v>
      </c>
      <c r="GI13" s="1" t="s">
        <v>123</v>
      </c>
      <c r="GJ13" t="s">
        <v>132</v>
      </c>
      <c r="GL13" t="s">
        <v>132</v>
      </c>
      <c r="HQ13" t="s">
        <v>849</v>
      </c>
      <c r="HR13" t="s">
        <v>850</v>
      </c>
      <c r="HS13" t="s">
        <v>851</v>
      </c>
      <c r="HT13" t="s">
        <v>186</v>
      </c>
      <c r="HU13">
        <v>1954</v>
      </c>
      <c r="HV13" t="str">
        <f>VLOOKUP(AnalizaCzyste[[#This Row],[Rok urodzenia]],KategorieWiekowe[],2,1)</f>
        <v>powyżej 65 lat</v>
      </c>
      <c r="HW13" t="s">
        <v>141</v>
      </c>
      <c r="HY13" t="s">
        <v>852</v>
      </c>
      <c r="HZ13" t="s">
        <v>853</v>
      </c>
    </row>
    <row r="14" spans="1:235" ht="56.35" customHeight="1" x14ac:dyDescent="0.45">
      <c r="A14" s="62">
        <v>12</v>
      </c>
      <c r="B14" s="62">
        <f>_xlfn.IFNA(VLOOKUP(AnalizaCzyste[[#This Row],[Zakończono wypełnianie]],Zakończone[],2,0),"BRAK")</f>
        <v>49</v>
      </c>
      <c r="C14" s="62">
        <f t="shared" si="0"/>
        <v>50</v>
      </c>
      <c r="D14" s="62" t="s">
        <v>855</v>
      </c>
      <c r="E14" s="62" t="s">
        <v>856</v>
      </c>
      <c r="F14" s="62">
        <v>1349</v>
      </c>
      <c r="G14" s="59" t="s">
        <v>2292</v>
      </c>
      <c r="H14" s="59" t="s">
        <v>2292</v>
      </c>
      <c r="I14" s="59" t="s">
        <v>2455</v>
      </c>
      <c r="J14" s="59" t="str">
        <f>"("&amp;"ID:"&amp;AnalizaCzyste[[#This Row],[Lp. wywiadu]]&amp;"; "&amp;AnalizaCzyste[[#This Row],[Czy kierunek techniczny?]]&amp;"; "&amp;MID(AnalizaCzyste[[#This Row],[Info metryczkowe]],2,40)</f>
        <v>(ID:12; NTech; S_A; 2; m; C; t/n)</v>
      </c>
      <c r="K14" s="55" t="s">
        <v>2595</v>
      </c>
      <c r="L14" s="55"/>
      <c r="M14" s="55"/>
      <c r="N14" s="55" t="s">
        <v>2594</v>
      </c>
      <c r="O14" s="55" t="s">
        <v>2503</v>
      </c>
      <c r="P14" s="55" t="s">
        <v>2593</v>
      </c>
      <c r="Q14" s="55" t="s">
        <v>2592</v>
      </c>
      <c r="R14" s="55" t="s">
        <v>2538</v>
      </c>
      <c r="S14" s="60" t="s">
        <v>2591</v>
      </c>
      <c r="T14" s="60" t="s">
        <v>2590</v>
      </c>
      <c r="U14" s="63" t="s">
        <v>2296</v>
      </c>
      <c r="V14" s="64" t="s">
        <v>2297</v>
      </c>
      <c r="W14" s="63" t="s">
        <v>2770</v>
      </c>
      <c r="X14" s="63"/>
      <c r="Y14" s="63"/>
      <c r="Z14" s="63"/>
      <c r="AA14" s="63"/>
      <c r="AB14" s="63"/>
      <c r="AC14" s="60" t="s">
        <v>2589</v>
      </c>
      <c r="AD14" s="55" t="s">
        <v>2740</v>
      </c>
      <c r="AE14" s="55" t="s">
        <v>2767</v>
      </c>
      <c r="AF14" s="55" t="str">
        <f>VLOOKUP(AnalizaCzyste[[#This Row],[Jak się nazywa uczelnia którą ukończyłeś? (proszę o wybranie jednej uczelni podlegającej ocenie)]],KategorieUczelni[],3,0)</f>
        <v>Nietechniczna</v>
      </c>
      <c r="AG14" s="55" t="str">
        <f>MID(AnalizaCzyste[[#This Row],[Info metryczkowe]],2,40)</f>
        <v>S_A; 2; m; C; t/n)</v>
      </c>
      <c r="AH14" s="55"/>
      <c r="AI14" s="56" t="s">
        <v>416</v>
      </c>
      <c r="AJ14" t="s">
        <v>179</v>
      </c>
      <c r="AK14" t="s">
        <v>148</v>
      </c>
      <c r="AL14" t="s">
        <v>857</v>
      </c>
      <c r="AM14" t="s">
        <v>162</v>
      </c>
      <c r="AN14" t="s">
        <v>162</v>
      </c>
      <c r="AO14" t="s">
        <v>151</v>
      </c>
      <c r="AP14" t="s">
        <v>718</v>
      </c>
      <c r="AQ14" t="s">
        <v>152</v>
      </c>
      <c r="AR14" t="s">
        <v>759</v>
      </c>
      <c r="AS14" t="s">
        <v>858</v>
      </c>
      <c r="AT14" t="s">
        <v>859</v>
      </c>
      <c r="AU14" t="s">
        <v>860</v>
      </c>
      <c r="AW14" t="s">
        <v>861</v>
      </c>
      <c r="AX14">
        <v>2</v>
      </c>
      <c r="AY14" s="56" t="s">
        <v>124</v>
      </c>
      <c r="AZ14" t="s">
        <v>862</v>
      </c>
      <c r="BA14" t="str">
        <f>VLOOKUP(AnalizaCzyste[[#This Row],[Jak się nazywa uczelnia którą ukończyłeś? (proszę o wybranie jednej uczelni podlegającej ocenie)]],KategorieUczelni[],2,0)</f>
        <v>Publiczna</v>
      </c>
      <c r="BB14">
        <v>2019</v>
      </c>
      <c r="BC14" t="s">
        <v>148</v>
      </c>
      <c r="BD14" t="s">
        <v>863</v>
      </c>
      <c r="BE14" t="s">
        <v>150</v>
      </c>
      <c r="BF14" t="s">
        <v>150</v>
      </c>
      <c r="BG14" t="s">
        <v>169</v>
      </c>
      <c r="BH14" t="s">
        <v>151</v>
      </c>
      <c r="BI14" t="s">
        <v>150</v>
      </c>
      <c r="BJ14" t="s">
        <v>864</v>
      </c>
      <c r="BK14" t="s">
        <v>302</v>
      </c>
      <c r="BL14" t="s">
        <v>759</v>
      </c>
      <c r="BM14" t="s">
        <v>865</v>
      </c>
      <c r="BN14" t="s">
        <v>866</v>
      </c>
      <c r="BO14" t="s">
        <v>867</v>
      </c>
      <c r="BP14" t="s">
        <v>157</v>
      </c>
      <c r="BR14" s="1" t="s">
        <v>123</v>
      </c>
      <c r="DL14" s="1" t="s">
        <v>123</v>
      </c>
      <c r="DV14" s="1" t="s">
        <v>123</v>
      </c>
      <c r="EF14" s="1" t="s">
        <v>123</v>
      </c>
      <c r="FI14" s="1" t="s">
        <v>123</v>
      </c>
      <c r="GI14" s="1" t="s">
        <v>123</v>
      </c>
      <c r="GJ14" t="s">
        <v>132</v>
      </c>
      <c r="HQ14" t="s">
        <v>868</v>
      </c>
      <c r="HR14" t="s">
        <v>869</v>
      </c>
      <c r="HS14" t="s">
        <v>870</v>
      </c>
      <c r="HT14" t="s">
        <v>186</v>
      </c>
      <c r="HU14">
        <v>1991</v>
      </c>
      <c r="HV14" t="str">
        <f>VLOOKUP(AnalizaCzyste[[#This Row],[Rok urodzenia]],KategorieWiekowe[],2,1)</f>
        <v>26–35 lat</v>
      </c>
      <c r="HW14" t="s">
        <v>220</v>
      </c>
      <c r="HX14" t="s">
        <v>871</v>
      </c>
      <c r="HY14" t="s">
        <v>872</v>
      </c>
      <c r="HZ14" t="s">
        <v>386</v>
      </c>
    </row>
    <row r="15" spans="1:235" ht="56.35" customHeight="1" x14ac:dyDescent="0.45">
      <c r="A15" s="62">
        <v>13</v>
      </c>
      <c r="B15" s="62">
        <f>_xlfn.IFNA(VLOOKUP(AnalizaCzyste[[#This Row],[Zakończono wypełnianie]],Zakończone[],2,0),"BRAK")</f>
        <v>54</v>
      </c>
      <c r="C15" s="62">
        <f t="shared" si="0"/>
        <v>36</v>
      </c>
      <c r="D15" s="62" t="s">
        <v>903</v>
      </c>
      <c r="E15" s="62" t="s">
        <v>904</v>
      </c>
      <c r="F15" s="62">
        <v>255</v>
      </c>
      <c r="G15" s="59" t="s">
        <v>2292</v>
      </c>
      <c r="H15" s="59" t="s">
        <v>2292</v>
      </c>
      <c r="I15" s="59" t="s">
        <v>2475</v>
      </c>
      <c r="J15" s="59" t="str">
        <f>"("&amp;"ID:"&amp;AnalizaCzyste[[#This Row],[Lp. wywiadu]]&amp;"; "&amp;AnalizaCzyste[[#This Row],[Czy kierunek techniczny?]]&amp;"; "&amp;MID(AnalizaCzyste[[#This Row],[Info metryczkowe]],2,40)</f>
        <v>(ID:13; Tech; A; 3; m; F; n/n)</v>
      </c>
      <c r="K15" s="55" t="s">
        <v>2603</v>
      </c>
      <c r="L15" s="55"/>
      <c r="M15" s="55"/>
      <c r="N15" s="55" t="s">
        <v>2602</v>
      </c>
      <c r="O15" s="55" t="s">
        <v>2503</v>
      </c>
      <c r="P15" s="55" t="s">
        <v>2600</v>
      </c>
      <c r="Q15" s="55" t="s">
        <v>2599</v>
      </c>
      <c r="R15" s="55" t="s">
        <v>2601</v>
      </c>
      <c r="S15" s="60" t="s">
        <v>2598</v>
      </c>
      <c r="T15" s="60" t="s">
        <v>2597</v>
      </c>
      <c r="U15" s="63" t="s">
        <v>2296</v>
      </c>
      <c r="V15" s="63"/>
      <c r="W15" s="63"/>
      <c r="X15" s="63"/>
      <c r="Y15" s="63"/>
      <c r="Z15" s="63"/>
      <c r="AA15" s="63"/>
      <c r="AB15" s="63"/>
      <c r="AC15" s="60" t="s">
        <v>2596</v>
      </c>
      <c r="AD15" s="55" t="s">
        <v>2741</v>
      </c>
      <c r="AE15" s="55" t="s">
        <v>2764</v>
      </c>
      <c r="AF15" s="55" t="str">
        <f>VLOOKUP(AnalizaCzyste[[#This Row],[Jak się nazywa uczelnia którą ukończyłeś? (proszę o wybranie jednej uczelni podlegającej ocenie)]],KategorieUczelni[],3,0)</f>
        <v>Techniczna</v>
      </c>
      <c r="AG15" s="55" t="str">
        <f>MID(AnalizaCzyste[[#This Row],[Info metryczkowe]],2,40)</f>
        <v>A; 3; m; F; n/n)</v>
      </c>
      <c r="AH15" s="55"/>
      <c r="AI15" s="1" t="s">
        <v>123</v>
      </c>
      <c r="AY15" s="56" t="s">
        <v>124</v>
      </c>
      <c r="AZ15" t="s">
        <v>191</v>
      </c>
      <c r="BA15" t="str">
        <f>VLOOKUP(AnalizaCzyste[[#This Row],[Jak się nazywa uczelnia którą ukończyłeś? (proszę o wybranie jednej uczelni podlegającej ocenie)]],KategorieUczelni[],2,0)</f>
        <v>Publiczna</v>
      </c>
      <c r="BB15">
        <v>2009</v>
      </c>
      <c r="BC15" t="s">
        <v>126</v>
      </c>
      <c r="BD15" t="s">
        <v>906</v>
      </c>
      <c r="BE15" t="s">
        <v>151</v>
      </c>
      <c r="BF15" t="s">
        <v>151</v>
      </c>
      <c r="BG15" t="s">
        <v>150</v>
      </c>
      <c r="BH15" t="s">
        <v>128</v>
      </c>
      <c r="BI15" t="s">
        <v>162</v>
      </c>
      <c r="BJ15" t="s">
        <v>907</v>
      </c>
      <c r="BK15" t="s">
        <v>131</v>
      </c>
      <c r="BL15" t="s">
        <v>759</v>
      </c>
      <c r="BM15" t="s">
        <v>908</v>
      </c>
      <c r="BN15" t="s">
        <v>908</v>
      </c>
      <c r="BO15" t="s">
        <v>909</v>
      </c>
      <c r="BP15" t="s">
        <v>172</v>
      </c>
      <c r="BR15" s="1" t="s">
        <v>123</v>
      </c>
      <c r="DL15" s="1" t="s">
        <v>123</v>
      </c>
      <c r="DV15" s="1" t="s">
        <v>123</v>
      </c>
      <c r="EF15" s="1" t="s">
        <v>123</v>
      </c>
      <c r="FI15" s="1" t="s">
        <v>123</v>
      </c>
      <c r="FJ15" t="s">
        <v>180</v>
      </c>
      <c r="FK15" t="s">
        <v>132</v>
      </c>
      <c r="GI15" s="1" t="s">
        <v>123</v>
      </c>
      <c r="GJ15" t="s">
        <v>132</v>
      </c>
      <c r="GL15" t="s">
        <v>132</v>
      </c>
      <c r="HQ15" t="s">
        <v>910</v>
      </c>
      <c r="HR15" t="s">
        <v>911</v>
      </c>
      <c r="HS15" t="s">
        <v>912</v>
      </c>
      <c r="HT15" t="s">
        <v>186</v>
      </c>
      <c r="HU15">
        <v>1983</v>
      </c>
      <c r="HV15" t="str">
        <f>VLOOKUP(AnalizaCzyste[[#This Row],[Rok urodzenia]],KategorieWiekowe[],2,1)</f>
        <v>36–45 lat</v>
      </c>
      <c r="HW15" t="s">
        <v>141</v>
      </c>
    </row>
    <row r="16" spans="1:235" ht="56.35" customHeight="1" x14ac:dyDescent="0.45">
      <c r="A16" s="62">
        <v>14</v>
      </c>
      <c r="B16" s="62">
        <f>_xlfn.IFNA(VLOOKUP(AnalizaCzyste[[#This Row],[Zakończono wypełnianie]],Zakończone[],2,0),"BRAK")</f>
        <v>55</v>
      </c>
      <c r="C16" s="62">
        <f t="shared" si="0"/>
        <v>78</v>
      </c>
      <c r="D16" s="62" t="s">
        <v>916</v>
      </c>
      <c r="E16" s="62" t="s">
        <v>917</v>
      </c>
      <c r="F16" s="62">
        <v>76609</v>
      </c>
      <c r="G16" s="59" t="s">
        <v>2292</v>
      </c>
      <c r="H16" s="59" t="s">
        <v>2292</v>
      </c>
      <c r="I16" s="59" t="s">
        <v>2453</v>
      </c>
      <c r="J16" s="59" t="str">
        <f>"("&amp;"ID:"&amp;AnalizaCzyste[[#This Row],[Lp. wywiadu]]&amp;"; "&amp;AnalizaCzyste[[#This Row],[Czy kierunek techniczny?]]&amp;"; "&amp;MID(AnalizaCzyste[[#This Row],[Info metryczkowe]],2,40)</f>
        <v>(ID:14; NTech; A_R_AD_W_P; 5; k; F; t/n)</v>
      </c>
      <c r="K16" s="55" t="s">
        <v>2610</v>
      </c>
      <c r="L16" s="55"/>
      <c r="M16" s="55"/>
      <c r="N16" s="55" t="s">
        <v>2609</v>
      </c>
      <c r="O16" s="55" t="s">
        <v>2503</v>
      </c>
      <c r="P16" s="55" t="s">
        <v>2608</v>
      </c>
      <c r="Q16" s="55" t="s">
        <v>2607</v>
      </c>
      <c r="R16" s="55" t="s">
        <v>2538</v>
      </c>
      <c r="S16" s="60" t="s">
        <v>2605</v>
      </c>
      <c r="T16" s="60" t="s">
        <v>2606</v>
      </c>
      <c r="U16" s="63" t="s">
        <v>2296</v>
      </c>
      <c r="V16" s="64" t="s">
        <v>2297</v>
      </c>
      <c r="W16" s="63" t="s">
        <v>2770</v>
      </c>
      <c r="X16" s="63"/>
      <c r="Y16" s="63"/>
      <c r="Z16" s="63"/>
      <c r="AA16" s="63"/>
      <c r="AB16" s="63"/>
      <c r="AC16" s="60" t="s">
        <v>2604</v>
      </c>
      <c r="AD16" s="55" t="s">
        <v>2742</v>
      </c>
      <c r="AE16" s="55" t="s">
        <v>2767</v>
      </c>
      <c r="AF16" s="55" t="str">
        <f>VLOOKUP(AnalizaCzyste[[#This Row],[Jak się nazywa uczelnia którą ukończyłeś? (proszę o wybranie jednej uczelni podlegającej ocenie)]],KategorieUczelni[],3,0)</f>
        <v>Nietechniczna</v>
      </c>
      <c r="AG16" s="55" t="str">
        <f>MID(AnalizaCzyste[[#This Row],[Info metryczkowe]],2,40)</f>
        <v>A_R_AD_W_P; 5; k; F; t/n)</v>
      </c>
      <c r="AH16" s="55"/>
      <c r="AI16" s="1" t="s">
        <v>123</v>
      </c>
      <c r="AY16" s="56" t="s">
        <v>124</v>
      </c>
      <c r="AZ16" t="s">
        <v>223</v>
      </c>
      <c r="BA16" t="str">
        <f>VLOOKUP(AnalizaCzyste[[#This Row],[Jak się nazywa uczelnia którą ukończyłeś? (proszę o wybranie jednej uczelni podlegającej ocenie)]],KategorieUczelni[],2,0)</f>
        <v>Publiczna</v>
      </c>
      <c r="BB16">
        <v>1980</v>
      </c>
      <c r="BC16" t="s">
        <v>148</v>
      </c>
      <c r="BD16" t="s">
        <v>919</v>
      </c>
      <c r="BE16" t="s">
        <v>169</v>
      </c>
      <c r="BF16" t="s">
        <v>169</v>
      </c>
      <c r="BG16" t="s">
        <v>150</v>
      </c>
      <c r="BH16" t="s">
        <v>128</v>
      </c>
      <c r="BI16" t="s">
        <v>128</v>
      </c>
      <c r="BJ16" t="s">
        <v>920</v>
      </c>
      <c r="BK16" t="s">
        <v>302</v>
      </c>
      <c r="BL16" t="s">
        <v>302</v>
      </c>
      <c r="BM16" t="s">
        <v>921</v>
      </c>
      <c r="BN16" t="s">
        <v>922</v>
      </c>
      <c r="BO16" t="s">
        <v>923</v>
      </c>
      <c r="BP16" t="s">
        <v>157</v>
      </c>
      <c r="BR16" s="56" t="s">
        <v>159</v>
      </c>
      <c r="BS16">
        <v>2</v>
      </c>
      <c r="BT16" t="s">
        <v>223</v>
      </c>
      <c r="BU16">
        <v>2009</v>
      </c>
      <c r="BV16" t="s">
        <v>148</v>
      </c>
      <c r="BW16" t="s">
        <v>743</v>
      </c>
      <c r="BX16" t="s">
        <v>169</v>
      </c>
      <c r="BY16" t="s">
        <v>169</v>
      </c>
      <c r="BZ16" t="s">
        <v>169</v>
      </c>
      <c r="CA16" t="s">
        <v>128</v>
      </c>
      <c r="CB16" t="s">
        <v>128</v>
      </c>
      <c r="CC16" t="s">
        <v>925</v>
      </c>
      <c r="CD16" t="s">
        <v>926</v>
      </c>
      <c r="CE16" t="s">
        <v>157</v>
      </c>
      <c r="CG16" t="s">
        <v>927</v>
      </c>
      <c r="CH16" t="s">
        <v>173</v>
      </c>
      <c r="DL16" s="56" t="s">
        <v>387</v>
      </c>
      <c r="DM16" t="s">
        <v>223</v>
      </c>
      <c r="DN16" t="s">
        <v>928</v>
      </c>
      <c r="DO16" t="s">
        <v>169</v>
      </c>
      <c r="DP16" t="s">
        <v>162</v>
      </c>
      <c r="DQ16" t="s">
        <v>128</v>
      </c>
      <c r="DR16" t="s">
        <v>169</v>
      </c>
      <c r="DS16" t="s">
        <v>169</v>
      </c>
      <c r="DT16" t="s">
        <v>169</v>
      </c>
      <c r="DU16" t="s">
        <v>929</v>
      </c>
      <c r="DV16" s="56" t="s">
        <v>214</v>
      </c>
      <c r="DW16" t="s">
        <v>223</v>
      </c>
      <c r="DX16" t="s">
        <v>928</v>
      </c>
      <c r="DY16" t="s">
        <v>169</v>
      </c>
      <c r="DZ16" t="s">
        <v>162</v>
      </c>
      <c r="EA16" t="s">
        <v>128</v>
      </c>
      <c r="EB16" t="s">
        <v>169</v>
      </c>
      <c r="EC16" t="s">
        <v>169</v>
      </c>
      <c r="ED16" t="s">
        <v>150</v>
      </c>
      <c r="EE16" t="s">
        <v>930</v>
      </c>
      <c r="EF16" s="1" t="s">
        <v>123</v>
      </c>
      <c r="FI16" s="56" t="s">
        <v>177</v>
      </c>
      <c r="FJ16" t="s">
        <v>180</v>
      </c>
      <c r="FK16">
        <v>1</v>
      </c>
      <c r="FL16" t="s">
        <v>223</v>
      </c>
      <c r="FM16" t="s">
        <v>169</v>
      </c>
      <c r="FN16" t="s">
        <v>169</v>
      </c>
      <c r="FO16" t="s">
        <v>236</v>
      </c>
      <c r="FP16" t="s">
        <v>180</v>
      </c>
      <c r="FQ16" t="s">
        <v>931</v>
      </c>
      <c r="FR16" t="s">
        <v>932</v>
      </c>
      <c r="FS16" t="s">
        <v>173</v>
      </c>
      <c r="GI16" s="1" t="s">
        <v>123</v>
      </c>
      <c r="GJ16" t="s">
        <v>132</v>
      </c>
      <c r="GL16" t="s">
        <v>132</v>
      </c>
      <c r="HQ16" t="s">
        <v>933</v>
      </c>
      <c r="HR16" t="s">
        <v>934</v>
      </c>
      <c r="HS16" t="s">
        <v>935</v>
      </c>
      <c r="HT16" t="s">
        <v>140</v>
      </c>
      <c r="HU16">
        <v>1957</v>
      </c>
      <c r="HV16" t="str">
        <f>VLOOKUP(AnalizaCzyste[[#This Row],[Rok urodzenia]],KategorieWiekowe[],2,1)</f>
        <v>56–65 lat</v>
      </c>
      <c r="HW16" t="s">
        <v>141</v>
      </c>
      <c r="HY16" t="s">
        <v>936</v>
      </c>
    </row>
    <row r="17" spans="1:235" ht="56.35" customHeight="1" x14ac:dyDescent="0.45">
      <c r="A17" s="62">
        <v>15</v>
      </c>
      <c r="B17" s="62">
        <f>_xlfn.IFNA(VLOOKUP(AnalizaCzyste[[#This Row],[Zakończono wypełnianie]],Zakończone[],2,0),"BRAK")</f>
        <v>71</v>
      </c>
      <c r="C17" s="62">
        <f t="shared" si="0"/>
        <v>33</v>
      </c>
      <c r="D17" s="62" t="s">
        <v>1132</v>
      </c>
      <c r="E17" s="62" t="s">
        <v>1133</v>
      </c>
      <c r="F17" s="62">
        <v>3215</v>
      </c>
      <c r="G17" s="59" t="s">
        <v>2292</v>
      </c>
      <c r="H17" s="59" t="s">
        <v>1593</v>
      </c>
      <c r="I17" s="59" t="s">
        <v>2456</v>
      </c>
      <c r="J17" s="59" t="str">
        <f>"("&amp;"ID:"&amp;AnalizaCzyste[[#This Row],[Lp. wywiadu]]&amp;"; "&amp;AnalizaCzyste[[#This Row],[Czy kierunek techniczny?]]&amp;"; "&amp;MID(AnalizaCzyste[[#This Row],[Info metryczkowe]],2,40)</f>
        <v>(ID:15; Tech; A; 2; m; F; t/n)</v>
      </c>
      <c r="K17" s="55" t="s">
        <v>2616</v>
      </c>
      <c r="L17" s="55"/>
      <c r="M17" s="55"/>
      <c r="N17" s="55" t="s">
        <v>2615</v>
      </c>
      <c r="O17" s="55" t="s">
        <v>2503</v>
      </c>
      <c r="P17" s="55" t="s">
        <v>178</v>
      </c>
      <c r="Q17" s="55" t="s">
        <v>178</v>
      </c>
      <c r="R17" s="55" t="s">
        <v>2614</v>
      </c>
      <c r="S17" s="60" t="s">
        <v>2613</v>
      </c>
      <c r="T17" s="60" t="s">
        <v>2612</v>
      </c>
      <c r="U17" s="63"/>
      <c r="V17" s="64" t="s">
        <v>2297</v>
      </c>
      <c r="W17" s="63" t="s">
        <v>2770</v>
      </c>
      <c r="X17" s="63"/>
      <c r="Y17" s="63"/>
      <c r="Z17" s="63"/>
      <c r="AA17" s="63"/>
      <c r="AB17" s="63"/>
      <c r="AC17" s="60" t="s">
        <v>2611</v>
      </c>
      <c r="AD17" s="55" t="s">
        <v>2744</v>
      </c>
      <c r="AE17" s="55" t="s">
        <v>2764</v>
      </c>
      <c r="AF17" s="55" t="str">
        <f>VLOOKUP(AnalizaCzyste[[#This Row],[Jak się nazywa uczelnia którą ukończyłeś? (proszę o wybranie jednej uczelni podlegającej ocenie)]],KategorieUczelni[],3,0)</f>
        <v>Techniczna</v>
      </c>
      <c r="AG17" s="55" t="str">
        <f>MID(AnalizaCzyste[[#This Row],[Info metryczkowe]],2,40)</f>
        <v>A; 2; m; F; t/n)</v>
      </c>
      <c r="AH17" s="55"/>
      <c r="AI17" s="1" t="s">
        <v>123</v>
      </c>
      <c r="AY17" s="56" t="s">
        <v>124</v>
      </c>
      <c r="AZ17" t="s">
        <v>191</v>
      </c>
      <c r="BA17" t="str">
        <f>VLOOKUP(AnalizaCzyste[[#This Row],[Jak się nazywa uczelnia którą ukończyłeś? (proszę o wybranie jednej uczelni podlegającej ocenie)]],KategorieUczelni[],2,0)</f>
        <v>Publiczna</v>
      </c>
      <c r="BB17">
        <v>2015</v>
      </c>
      <c r="BC17" t="s">
        <v>126</v>
      </c>
      <c r="BD17" t="s">
        <v>1134</v>
      </c>
      <c r="BE17" t="s">
        <v>128</v>
      </c>
      <c r="BF17" t="s">
        <v>151</v>
      </c>
      <c r="BG17" t="s">
        <v>169</v>
      </c>
      <c r="BH17" t="s">
        <v>162</v>
      </c>
      <c r="BI17" t="s">
        <v>150</v>
      </c>
      <c r="BJ17">
        <v>1</v>
      </c>
      <c r="BK17" t="s">
        <v>302</v>
      </c>
      <c r="BL17" t="s">
        <v>226</v>
      </c>
      <c r="BM17" t="s">
        <v>1135</v>
      </c>
      <c r="BN17" t="s">
        <v>1136</v>
      </c>
      <c r="BO17" t="s">
        <v>1137</v>
      </c>
      <c r="BP17" t="s">
        <v>172</v>
      </c>
      <c r="BR17" s="1" t="s">
        <v>123</v>
      </c>
      <c r="DL17" s="1" t="s">
        <v>123</v>
      </c>
      <c r="DV17" s="1" t="s">
        <v>123</v>
      </c>
      <c r="EF17" s="1" t="s">
        <v>123</v>
      </c>
      <c r="FI17" s="1" t="s">
        <v>123</v>
      </c>
      <c r="GI17" s="1" t="s">
        <v>123</v>
      </c>
      <c r="HQ17" t="s">
        <v>1138</v>
      </c>
      <c r="HR17" t="s">
        <v>1139</v>
      </c>
      <c r="HS17" t="s">
        <v>1140</v>
      </c>
      <c r="HT17" t="s">
        <v>186</v>
      </c>
      <c r="HU17">
        <v>1991</v>
      </c>
      <c r="HV17" t="str">
        <f>VLOOKUP(AnalizaCzyste[[#This Row],[Rok urodzenia]],KategorieWiekowe[],2,1)</f>
        <v>26–35 lat</v>
      </c>
      <c r="HW17" t="s">
        <v>141</v>
      </c>
      <c r="HY17" t="s">
        <v>1141</v>
      </c>
    </row>
    <row r="18" spans="1:235" ht="56.35" customHeight="1" x14ac:dyDescent="0.45">
      <c r="A18" s="62">
        <v>16</v>
      </c>
      <c r="B18" s="62">
        <f>_xlfn.IFNA(VLOOKUP(AnalizaCzyste[[#This Row],[Zakończono wypełnianie]],Zakończone[],2,0),"BRAK")</f>
        <v>73</v>
      </c>
      <c r="C18" s="62">
        <f t="shared" si="0"/>
        <v>35</v>
      </c>
      <c r="D18" s="62" t="s">
        <v>1153</v>
      </c>
      <c r="E18" s="62" t="s">
        <v>1154</v>
      </c>
      <c r="F18" s="62">
        <v>1159</v>
      </c>
      <c r="G18" s="59" t="s">
        <v>2292</v>
      </c>
      <c r="H18" s="59" t="s">
        <v>2292</v>
      </c>
      <c r="I18" s="59" t="s">
        <v>2457</v>
      </c>
      <c r="J18" s="59" t="str">
        <f>"("&amp;"ID:"&amp;AnalizaCzyste[[#This Row],[Lp. wywiadu]]&amp;"; "&amp;AnalizaCzyste[[#This Row],[Czy kierunek techniczny?]]&amp;"; "&amp;MID(AnalizaCzyste[[#This Row],[Info metryczkowe]],2,40)</f>
        <v>(ID:16; Tech; A; 2; k; A; n/n)</v>
      </c>
      <c r="K18" s="55" t="s">
        <v>2626</v>
      </c>
      <c r="L18" s="55"/>
      <c r="M18" s="55"/>
      <c r="N18" s="55" t="s">
        <v>2625</v>
      </c>
      <c r="O18" s="55"/>
      <c r="P18" s="55" t="s">
        <v>2621</v>
      </c>
      <c r="Q18" s="55" t="s">
        <v>126</v>
      </c>
      <c r="R18" s="55" t="s">
        <v>2622</v>
      </c>
      <c r="S18" s="60" t="s">
        <v>2620</v>
      </c>
      <c r="T18" s="60" t="s">
        <v>2619</v>
      </c>
      <c r="U18" s="63" t="s">
        <v>2296</v>
      </c>
      <c r="V18" s="63"/>
      <c r="W18" s="63"/>
      <c r="X18" s="63"/>
      <c r="Y18" s="63" t="s">
        <v>2771</v>
      </c>
      <c r="Z18" s="63"/>
      <c r="AA18" s="63"/>
      <c r="AB18" s="63"/>
      <c r="AC18" s="60" t="s">
        <v>2618</v>
      </c>
      <c r="AD18" s="55" t="s">
        <v>2745</v>
      </c>
      <c r="AE18" s="55" t="s">
        <v>2764</v>
      </c>
      <c r="AF18" s="55" t="str">
        <f>VLOOKUP(AnalizaCzyste[[#This Row],[Jak się nazywa uczelnia którą ukończyłeś? (proszę o wybranie jednej uczelni podlegającej ocenie)]],KategorieUczelni[],3,0)</f>
        <v>Techniczna</v>
      </c>
      <c r="AG18" s="55" t="str">
        <f>MID(AnalizaCzyste[[#This Row],[Info metryczkowe]],2,40)</f>
        <v>A; 2; k; A; n/n)</v>
      </c>
      <c r="AH18" s="55"/>
      <c r="AI18" s="1" t="s">
        <v>123</v>
      </c>
      <c r="AY18" s="56" t="s">
        <v>124</v>
      </c>
      <c r="AZ18" t="s">
        <v>191</v>
      </c>
      <c r="BA18" t="str">
        <f>VLOOKUP(AnalizaCzyste[[#This Row],[Jak się nazywa uczelnia którą ukończyłeś? (proszę o wybranie jednej uczelni podlegającej ocenie)]],KategorieUczelni[],2,0)</f>
        <v>Publiczna</v>
      </c>
      <c r="BB18">
        <v>2018</v>
      </c>
      <c r="BC18" t="s">
        <v>126</v>
      </c>
      <c r="BD18" t="s">
        <v>969</v>
      </c>
      <c r="BE18" t="s">
        <v>150</v>
      </c>
      <c r="BF18" t="s">
        <v>150</v>
      </c>
      <c r="BG18" t="s">
        <v>162</v>
      </c>
      <c r="BH18" t="s">
        <v>128</v>
      </c>
      <c r="BI18" t="s">
        <v>151</v>
      </c>
      <c r="BJ18" t="s">
        <v>530</v>
      </c>
      <c r="BK18" t="s">
        <v>131</v>
      </c>
      <c r="BL18" t="s">
        <v>302</v>
      </c>
      <c r="BM18" t="s">
        <v>1155</v>
      </c>
      <c r="BN18" t="s">
        <v>1156</v>
      </c>
      <c r="BO18" t="s">
        <v>1157</v>
      </c>
      <c r="BP18" t="s">
        <v>230</v>
      </c>
      <c r="BQ18" t="s">
        <v>1158</v>
      </c>
      <c r="BR18" s="1" t="s">
        <v>123</v>
      </c>
      <c r="DL18" s="1" t="s">
        <v>123</v>
      </c>
      <c r="DV18" s="1" t="s">
        <v>123</v>
      </c>
      <c r="EF18" s="1" t="s">
        <v>123</v>
      </c>
      <c r="FI18" s="1" t="s">
        <v>123</v>
      </c>
      <c r="GI18" s="1" t="s">
        <v>123</v>
      </c>
      <c r="HQ18" t="s">
        <v>1159</v>
      </c>
      <c r="HR18" t="s">
        <v>1160</v>
      </c>
      <c r="HS18" t="s">
        <v>1161</v>
      </c>
      <c r="HT18" t="s">
        <v>140</v>
      </c>
      <c r="HU18">
        <v>1991</v>
      </c>
      <c r="HV18" t="str">
        <f>VLOOKUP(AnalizaCzyste[[#This Row],[Rok urodzenia]],KategorieWiekowe[],2,1)</f>
        <v>26–35 lat</v>
      </c>
      <c r="HW18" t="s">
        <v>483</v>
      </c>
      <c r="HY18" t="s">
        <v>1162</v>
      </c>
      <c r="HZ18" t="s">
        <v>142</v>
      </c>
    </row>
    <row r="19" spans="1:235" ht="56.35" customHeight="1" x14ac:dyDescent="0.45">
      <c r="A19" s="62">
        <v>17</v>
      </c>
      <c r="B19" s="62">
        <f>_xlfn.IFNA(VLOOKUP(AnalizaCzyste[[#This Row],[Zakończono wypełnianie]],Zakończone[],2,0),"BRAK")</f>
        <v>74</v>
      </c>
      <c r="C19" s="62">
        <f t="shared" si="0"/>
        <v>80</v>
      </c>
      <c r="D19" s="62" t="s">
        <v>1164</v>
      </c>
      <c r="E19" s="62" t="s">
        <v>1165</v>
      </c>
      <c r="F19" s="62">
        <v>982</v>
      </c>
      <c r="G19" s="59" t="s">
        <v>2292</v>
      </c>
      <c r="H19" s="59" t="s">
        <v>2292</v>
      </c>
      <c r="I19" s="59" t="s">
        <v>2459</v>
      </c>
      <c r="J19" s="59" t="str">
        <f>"("&amp;"ID:"&amp;AnalizaCzyste[[#This Row],[Lp. wywiadu]]&amp;"; "&amp;AnalizaCzyste[[#This Row],[Czy kierunek techniczny?]]&amp;"; "&amp;MID(AnalizaCzyste[[#This Row],[Info metryczkowe]],2,40)</f>
        <v>(ID:17; Tech; A_R_W_U; 5; m; F; t/n)</v>
      </c>
      <c r="K19" s="55" t="s">
        <v>2634</v>
      </c>
      <c r="L19" s="55"/>
      <c r="M19" s="55"/>
      <c r="N19" s="55" t="s">
        <v>2633</v>
      </c>
      <c r="O19" s="55" t="s">
        <v>2503</v>
      </c>
      <c r="P19" s="55" t="s">
        <v>2632</v>
      </c>
      <c r="Q19" s="55" t="s">
        <v>2631</v>
      </c>
      <c r="R19" s="55" t="s">
        <v>2538</v>
      </c>
      <c r="S19" s="60" t="s">
        <v>2630</v>
      </c>
      <c r="T19" s="60" t="s">
        <v>2629</v>
      </c>
      <c r="U19" s="63" t="s">
        <v>2296</v>
      </c>
      <c r="V19" s="63" t="s">
        <v>2297</v>
      </c>
      <c r="W19" s="63" t="s">
        <v>2770</v>
      </c>
      <c r="X19" s="63"/>
      <c r="Y19" s="63" t="s">
        <v>2771</v>
      </c>
      <c r="Z19" s="63"/>
      <c r="AA19" s="63"/>
      <c r="AB19" s="63"/>
      <c r="AC19" s="60" t="s">
        <v>2628</v>
      </c>
      <c r="AD19" s="55" t="s">
        <v>2746</v>
      </c>
      <c r="AE19" s="55" t="s">
        <v>2764</v>
      </c>
      <c r="AF19" s="55" t="str">
        <f>VLOOKUP(AnalizaCzyste[[#This Row],[Jak się nazywa uczelnia którą ukończyłeś? (proszę o wybranie jednej uczelni podlegającej ocenie)]],KategorieUczelni[],3,0)</f>
        <v>Techniczna</v>
      </c>
      <c r="AG19" s="55" t="str">
        <f>MID(AnalizaCzyste[[#This Row],[Info metryczkowe]],2,40)</f>
        <v>A_R_W_U; 5; m; F; t/n)</v>
      </c>
      <c r="AH19" s="55"/>
      <c r="AI19" s="1" t="s">
        <v>123</v>
      </c>
      <c r="AY19" s="56" t="s">
        <v>124</v>
      </c>
      <c r="AZ19" t="s">
        <v>191</v>
      </c>
      <c r="BA19" t="str">
        <f>VLOOKUP(AnalizaCzyste[[#This Row],[Jak się nazywa uczelnia którą ukończyłeś? (proszę o wybranie jednej uczelni podlegającej ocenie)]],KategorieUczelni[],2,0)</f>
        <v>Publiczna</v>
      </c>
      <c r="BB19">
        <v>1978</v>
      </c>
      <c r="BC19" t="s">
        <v>148</v>
      </c>
      <c r="BD19" t="s">
        <v>1167</v>
      </c>
      <c r="BE19" t="s">
        <v>169</v>
      </c>
      <c r="BF19" t="s">
        <v>169</v>
      </c>
      <c r="BG19" t="s">
        <v>169</v>
      </c>
      <c r="BH19" t="s">
        <v>150</v>
      </c>
      <c r="BI19" t="s">
        <v>150</v>
      </c>
      <c r="BJ19" t="s">
        <v>1168</v>
      </c>
      <c r="BK19" t="s">
        <v>132</v>
      </c>
      <c r="BL19" t="s">
        <v>132</v>
      </c>
      <c r="BM19" t="s">
        <v>1169</v>
      </c>
      <c r="BN19" t="s">
        <v>1170</v>
      </c>
      <c r="BO19" t="s">
        <v>132</v>
      </c>
      <c r="BQ19" t="s">
        <v>1171</v>
      </c>
      <c r="BR19" s="56" t="s">
        <v>159</v>
      </c>
      <c r="BS19">
        <v>1</v>
      </c>
      <c r="BT19" t="s">
        <v>1290</v>
      </c>
      <c r="BU19">
        <v>2020</v>
      </c>
      <c r="BV19" t="s">
        <v>148</v>
      </c>
      <c r="BW19" t="s">
        <v>1050</v>
      </c>
      <c r="BX19" t="s">
        <v>132</v>
      </c>
      <c r="BY19" t="s">
        <v>132</v>
      </c>
      <c r="BZ19" t="s">
        <v>132</v>
      </c>
      <c r="CA19" t="s">
        <v>132</v>
      </c>
      <c r="CB19" t="s">
        <v>132</v>
      </c>
      <c r="CC19" t="s">
        <v>1173</v>
      </c>
      <c r="CD19" t="s">
        <v>1174</v>
      </c>
      <c r="CE19" t="s">
        <v>230</v>
      </c>
      <c r="CG19" t="s">
        <v>1175</v>
      </c>
      <c r="CH19" t="s">
        <v>173</v>
      </c>
      <c r="DL19" s="1" t="s">
        <v>123</v>
      </c>
      <c r="DV19" s="56" t="s">
        <v>214</v>
      </c>
      <c r="DW19" t="s">
        <v>191</v>
      </c>
      <c r="DX19" t="s">
        <v>308</v>
      </c>
      <c r="DY19" t="s">
        <v>169</v>
      </c>
      <c r="DZ19" t="s">
        <v>162</v>
      </c>
      <c r="EA19" t="s">
        <v>150</v>
      </c>
      <c r="EB19" t="s">
        <v>169</v>
      </c>
      <c r="EC19" t="s">
        <v>150</v>
      </c>
      <c r="ED19" t="s">
        <v>150</v>
      </c>
      <c r="EE19" t="s">
        <v>1177</v>
      </c>
      <c r="EF19" s="56" t="s">
        <v>174</v>
      </c>
      <c r="EI19" t="s">
        <v>1178</v>
      </c>
      <c r="EK19" t="s">
        <v>747</v>
      </c>
      <c r="EL19" t="s">
        <v>150</v>
      </c>
      <c r="EM19" t="s">
        <v>150</v>
      </c>
      <c r="EN19" t="s">
        <v>150</v>
      </c>
      <c r="EO19" t="s">
        <v>150</v>
      </c>
      <c r="EP19" t="s">
        <v>162</v>
      </c>
      <c r="EQ19" t="s">
        <v>162</v>
      </c>
      <c r="ER19" t="s">
        <v>162</v>
      </c>
      <c r="ES19">
        <v>25</v>
      </c>
      <c r="ET19">
        <v>10</v>
      </c>
      <c r="EU19">
        <v>0</v>
      </c>
      <c r="EV19">
        <v>10</v>
      </c>
      <c r="EW19">
        <v>25</v>
      </c>
      <c r="EX19">
        <v>15</v>
      </c>
      <c r="EY19">
        <v>15</v>
      </c>
      <c r="FA19">
        <v>10</v>
      </c>
      <c r="FB19">
        <v>10</v>
      </c>
      <c r="FC19">
        <v>0</v>
      </c>
      <c r="FD19">
        <v>10</v>
      </c>
      <c r="FE19">
        <v>50</v>
      </c>
      <c r="FF19">
        <v>10</v>
      </c>
      <c r="FG19">
        <v>10</v>
      </c>
      <c r="FI19" s="1" t="s">
        <v>123</v>
      </c>
      <c r="GI19" s="1" t="s">
        <v>123</v>
      </c>
      <c r="HQ19" t="s">
        <v>1179</v>
      </c>
      <c r="HR19" t="s">
        <v>1180</v>
      </c>
      <c r="HS19" t="s">
        <v>1181</v>
      </c>
      <c r="HT19" t="s">
        <v>186</v>
      </c>
      <c r="HU19" s="20" t="s">
        <v>1473</v>
      </c>
      <c r="HV19" s="20" t="e">
        <f>VLOOKUP(AnalizaCzyste[[#This Row],[Rok urodzenia]],KategorieWiekowe[],2,1)</f>
        <v>#N/A</v>
      </c>
      <c r="HW19" t="s">
        <v>141</v>
      </c>
      <c r="HY19" t="s">
        <v>1183</v>
      </c>
    </row>
    <row r="20" spans="1:235" ht="56.35" customHeight="1" thickBot="1" x14ac:dyDescent="0.5">
      <c r="A20" s="62">
        <v>18</v>
      </c>
      <c r="B20" s="62">
        <f>_xlfn.IFNA(VLOOKUP(AnalizaCzyste[[#This Row],[Zakończono wypełnianie]],Zakończone[],2,0),"BRAK")</f>
        <v>75</v>
      </c>
      <c r="C20" s="62">
        <f t="shared" si="0"/>
        <v>32</v>
      </c>
      <c r="D20" s="62" t="s">
        <v>1184</v>
      </c>
      <c r="E20" s="62" t="s">
        <v>1185</v>
      </c>
      <c r="F20" s="62">
        <v>739</v>
      </c>
      <c r="G20" s="59" t="s">
        <v>2292</v>
      </c>
      <c r="H20" s="59" t="s">
        <v>2292</v>
      </c>
      <c r="I20" s="59" t="s">
        <v>2458</v>
      </c>
      <c r="J20" s="59" t="str">
        <f>"("&amp;"ID:"&amp;AnalizaCzyste[[#This Row],[Lp. wywiadu]]&amp;"; "&amp;AnalizaCzyste[[#This Row],[Czy kierunek techniczny?]]&amp;"; "&amp;MID(AnalizaCzyste[[#This Row],[Info metryczkowe]],2,40)</f>
        <v>(ID:18; Tech; A; 2; m; F; n/n)</v>
      </c>
      <c r="K20" s="55" t="s">
        <v>2627</v>
      </c>
      <c r="L20" s="55"/>
      <c r="M20" s="55" t="s">
        <v>2624</v>
      </c>
      <c r="N20" s="55" t="s">
        <v>2625</v>
      </c>
      <c r="O20" s="55" t="s">
        <v>2503</v>
      </c>
      <c r="P20" s="55" t="s">
        <v>2621</v>
      </c>
      <c r="Q20" s="55" t="s">
        <v>126</v>
      </c>
      <c r="R20" s="55" t="s">
        <v>2623</v>
      </c>
      <c r="S20" s="60" t="s">
        <v>2620</v>
      </c>
      <c r="T20" s="60" t="s">
        <v>2619</v>
      </c>
      <c r="U20" s="63" t="s">
        <v>2296</v>
      </c>
      <c r="V20" s="63"/>
      <c r="W20" s="63"/>
      <c r="X20" s="63"/>
      <c r="Y20" s="63" t="s">
        <v>2771</v>
      </c>
      <c r="Z20" s="63"/>
      <c r="AA20" s="63"/>
      <c r="AB20" s="63"/>
      <c r="AC20" s="60" t="s">
        <v>2617</v>
      </c>
      <c r="AD20" s="55" t="s">
        <v>2743</v>
      </c>
      <c r="AE20" s="55" t="s">
        <v>2764</v>
      </c>
      <c r="AF20" s="55" t="str">
        <f>VLOOKUP(AnalizaCzyste[[#This Row],[Jak się nazywa uczelnia którą ukończyłeś? (proszę o wybranie jednej uczelni podlegającej ocenie)]],KategorieUczelni[],3,0)</f>
        <v>Techniczna</v>
      </c>
      <c r="AG20" s="55" t="str">
        <f>MID(AnalizaCzyste[[#This Row],[Info metryczkowe]],2,40)</f>
        <v>A; 2; m; F; n/n)</v>
      </c>
      <c r="AH20" s="55"/>
      <c r="AI20" s="1" t="s">
        <v>123</v>
      </c>
      <c r="AY20" s="56" t="s">
        <v>124</v>
      </c>
      <c r="AZ20" t="s">
        <v>191</v>
      </c>
      <c r="BA20" t="str">
        <f>VLOOKUP(AnalizaCzyste[[#This Row],[Jak się nazywa uczelnia którą ukończyłeś? (proszę o wybranie jednej uczelni podlegającej ocenie)]],KategorieUczelni[],2,0)</f>
        <v>Publiczna</v>
      </c>
      <c r="BB20">
        <v>2018</v>
      </c>
      <c r="BC20" t="s">
        <v>126</v>
      </c>
      <c r="BD20" t="s">
        <v>1186</v>
      </c>
      <c r="BE20" t="s">
        <v>151</v>
      </c>
      <c r="BF20" t="s">
        <v>162</v>
      </c>
      <c r="BG20" t="s">
        <v>169</v>
      </c>
      <c r="BH20" t="s">
        <v>150</v>
      </c>
      <c r="BI20" t="s">
        <v>132</v>
      </c>
      <c r="BJ20" t="s">
        <v>959</v>
      </c>
      <c r="BK20" t="s">
        <v>302</v>
      </c>
      <c r="BL20" t="s">
        <v>226</v>
      </c>
      <c r="BM20" t="s">
        <v>1187</v>
      </c>
      <c r="BN20" t="s">
        <v>1188</v>
      </c>
      <c r="BO20" t="s">
        <v>1189</v>
      </c>
      <c r="BP20" t="s">
        <v>172</v>
      </c>
      <c r="BR20" s="1" t="s">
        <v>123</v>
      </c>
      <c r="DL20" s="1" t="s">
        <v>123</v>
      </c>
      <c r="DV20" s="1" t="s">
        <v>123</v>
      </c>
      <c r="EF20" s="1" t="s">
        <v>123</v>
      </c>
      <c r="FI20" s="1" t="s">
        <v>123</v>
      </c>
      <c r="GI20" s="1" t="s">
        <v>123</v>
      </c>
      <c r="HQ20" t="s">
        <v>276</v>
      </c>
      <c r="HR20" t="s">
        <v>1190</v>
      </c>
      <c r="HS20" t="s">
        <v>1191</v>
      </c>
      <c r="HT20" t="s">
        <v>186</v>
      </c>
      <c r="HU20">
        <v>1991</v>
      </c>
      <c r="HV20" t="str">
        <f>VLOOKUP(AnalizaCzyste[[#This Row],[Rok urodzenia]],KategorieWiekowe[],2,1)</f>
        <v>26–35 lat</v>
      </c>
      <c r="HW20" t="s">
        <v>141</v>
      </c>
    </row>
    <row r="21" spans="1:235" ht="56.35" customHeight="1" thickBot="1" x14ac:dyDescent="0.5">
      <c r="A21" s="62">
        <v>19</v>
      </c>
      <c r="B21" s="62">
        <f>_xlfn.IFNA(VLOOKUP(AnalizaCzyste[[#This Row],[Zakończono wypełnianie]],Zakończone[],2,0),"BRAK")</f>
        <v>76</v>
      </c>
      <c r="C21" s="62">
        <f t="shared" si="0"/>
        <v>43</v>
      </c>
      <c r="D21" s="62" t="s">
        <v>1193</v>
      </c>
      <c r="E21" s="62" t="s">
        <v>1194</v>
      </c>
      <c r="F21" s="62">
        <v>1676</v>
      </c>
      <c r="G21" s="59" t="s">
        <v>2292</v>
      </c>
      <c r="H21" s="59" t="s">
        <v>2292</v>
      </c>
      <c r="I21" s="59" t="s">
        <v>2460</v>
      </c>
      <c r="J21" s="59" t="str">
        <f>"("&amp;"ID:"&amp;AnalizaCzyste[[#This Row],[Lp. wywiadu]]&amp;"; "&amp;AnalizaCzyste[[#This Row],[Czy kierunek techniczny?]]&amp;"; "&amp;MID(AnalizaCzyste[[#This Row],[Info metryczkowe]],2,40)</f>
        <v>(ID:19; NTech; A_P; 4; m; F; n/n)</v>
      </c>
      <c r="K21" s="55"/>
      <c r="L21" s="55"/>
      <c r="M21" s="55"/>
      <c r="N21" s="55" t="s">
        <v>2640</v>
      </c>
      <c r="O21" s="55" t="s">
        <v>2503</v>
      </c>
      <c r="P21" s="55" t="s">
        <v>2639</v>
      </c>
      <c r="Q21" s="61" t="s">
        <v>2638</v>
      </c>
      <c r="R21" s="55" t="s">
        <v>2538</v>
      </c>
      <c r="S21" s="60" t="s">
        <v>2637</v>
      </c>
      <c r="T21" s="60" t="s">
        <v>2636</v>
      </c>
      <c r="U21" s="63" t="s">
        <v>2296</v>
      </c>
      <c r="V21" s="63"/>
      <c r="W21" s="63"/>
      <c r="X21" s="63"/>
      <c r="Y21" s="63"/>
      <c r="Z21" s="63"/>
      <c r="AA21" s="63"/>
      <c r="AB21" s="63" t="s">
        <v>2780</v>
      </c>
      <c r="AC21" s="60" t="s">
        <v>2635</v>
      </c>
      <c r="AD21" s="55" t="s">
        <v>2747</v>
      </c>
      <c r="AE21" s="55" t="s">
        <v>2767</v>
      </c>
      <c r="AF21" s="55" t="str">
        <f>VLOOKUP(AnalizaCzyste[[#This Row],[Jak się nazywa uczelnia którą ukończyłeś? (proszę o wybranie jednej uczelni podlegającej ocenie)]],KategorieUczelni[],3,0)</f>
        <v>Nietechniczna</v>
      </c>
      <c r="AG21" s="55" t="str">
        <f>MID(AnalizaCzyste[[#This Row],[Info metryczkowe]],2,40)</f>
        <v>A_P; 4; m; F; n/n)</v>
      </c>
      <c r="AH21" s="55"/>
      <c r="AI21" s="1" t="s">
        <v>123</v>
      </c>
      <c r="AY21" s="56" t="s">
        <v>124</v>
      </c>
      <c r="AZ21" t="s">
        <v>223</v>
      </c>
      <c r="BA21" t="str">
        <f>VLOOKUP(AnalizaCzyste[[#This Row],[Jak się nazywa uczelnia którą ukończyłeś? (proszę o wybranie jednej uczelni podlegającej ocenie)]],KategorieUczelni[],2,0)</f>
        <v>Publiczna</v>
      </c>
      <c r="BB21">
        <v>1998</v>
      </c>
      <c r="BC21" t="s">
        <v>148</v>
      </c>
      <c r="BD21" t="s">
        <v>1195</v>
      </c>
      <c r="BE21" t="s">
        <v>162</v>
      </c>
      <c r="BF21" t="s">
        <v>151</v>
      </c>
      <c r="BG21" t="s">
        <v>151</v>
      </c>
      <c r="BH21" t="s">
        <v>236</v>
      </c>
      <c r="BI21" t="s">
        <v>151</v>
      </c>
      <c r="BJ21">
        <v>0</v>
      </c>
      <c r="BK21" t="s">
        <v>131</v>
      </c>
      <c r="BL21" t="s">
        <v>302</v>
      </c>
      <c r="BM21" t="s">
        <v>1196</v>
      </c>
      <c r="BN21" t="s">
        <v>1196</v>
      </c>
      <c r="BO21" t="s">
        <v>1197</v>
      </c>
      <c r="BP21" t="s">
        <v>157</v>
      </c>
      <c r="BR21" s="1" t="s">
        <v>123</v>
      </c>
      <c r="DL21" s="1" t="s">
        <v>123</v>
      </c>
      <c r="DV21" s="1" t="s">
        <v>123</v>
      </c>
      <c r="EF21" s="1" t="s">
        <v>123</v>
      </c>
      <c r="FI21" s="56" t="s">
        <v>177</v>
      </c>
      <c r="FJ21" t="s">
        <v>180</v>
      </c>
      <c r="FK21" t="s">
        <v>132</v>
      </c>
      <c r="FL21" t="s">
        <v>132</v>
      </c>
      <c r="FM21" t="s">
        <v>151</v>
      </c>
      <c r="FN21" t="s">
        <v>151</v>
      </c>
      <c r="FO21" t="s">
        <v>151</v>
      </c>
      <c r="FP21" t="s">
        <v>178</v>
      </c>
      <c r="FQ21" t="s">
        <v>132</v>
      </c>
      <c r="FR21" t="s">
        <v>132</v>
      </c>
      <c r="FS21" t="s">
        <v>173</v>
      </c>
      <c r="GI21" s="1" t="s">
        <v>123</v>
      </c>
      <c r="HQ21" t="s">
        <v>1198</v>
      </c>
      <c r="HR21" t="s">
        <v>1199</v>
      </c>
      <c r="HS21" t="s">
        <v>1198</v>
      </c>
      <c r="HT21" t="s">
        <v>186</v>
      </c>
      <c r="HU21">
        <v>1974</v>
      </c>
      <c r="HV21" t="str">
        <f>VLOOKUP(AnalizaCzyste[[#This Row],[Rok urodzenia]],KategorieWiekowe[],2,1)</f>
        <v>46–55 lat</v>
      </c>
      <c r="HW21" t="s">
        <v>141</v>
      </c>
      <c r="HX21" t="s">
        <v>313</v>
      </c>
    </row>
    <row r="22" spans="1:235" ht="56.35" customHeight="1" x14ac:dyDescent="0.45">
      <c r="A22" s="62">
        <v>20</v>
      </c>
      <c r="B22" s="62">
        <f>_xlfn.IFNA(VLOOKUP(AnalizaCzyste[[#This Row],[Zakończono wypełnianie]],Zakończone[],2,0),"BRAK")</f>
        <v>77</v>
      </c>
      <c r="C22" s="62">
        <f t="shared" si="0"/>
        <v>45</v>
      </c>
      <c r="D22" s="62" t="s">
        <v>1201</v>
      </c>
      <c r="E22" s="62" t="s">
        <v>1202</v>
      </c>
      <c r="F22" s="62">
        <v>658</v>
      </c>
      <c r="G22" s="59" t="s">
        <v>2292</v>
      </c>
      <c r="H22" s="59" t="s">
        <v>2292</v>
      </c>
      <c r="I22" s="59" t="s">
        <v>2461</v>
      </c>
      <c r="J22" s="59" t="str">
        <f>"("&amp;"ID:"&amp;AnalizaCzyste[[#This Row],[Lp. wywiadu]]&amp;"; "&amp;AnalizaCzyste[[#This Row],[Czy kierunek techniczny?]]&amp;"; "&amp;MID(AnalizaCzyste[[#This Row],[Info metryczkowe]],2,40)</f>
        <v>(ID:20; Tech; A_W_P; 2; m; F; t/n)</v>
      </c>
      <c r="K22" s="55" t="s">
        <v>2648</v>
      </c>
      <c r="L22" s="55"/>
      <c r="M22" s="55"/>
      <c r="N22" s="55" t="s">
        <v>2647</v>
      </c>
      <c r="O22" s="55" t="s">
        <v>2503</v>
      </c>
      <c r="P22" s="55" t="s">
        <v>2646</v>
      </c>
      <c r="Q22" s="55" t="s">
        <v>2645</v>
      </c>
      <c r="R22" s="55" t="s">
        <v>2644</v>
      </c>
      <c r="S22" s="60" t="s">
        <v>2643</v>
      </c>
      <c r="T22" s="60" t="s">
        <v>2642</v>
      </c>
      <c r="U22" s="63" t="s">
        <v>2296</v>
      </c>
      <c r="V22" s="63" t="s">
        <v>2297</v>
      </c>
      <c r="W22" s="63" t="s">
        <v>2770</v>
      </c>
      <c r="X22" s="63"/>
      <c r="Y22" s="63"/>
      <c r="Z22" s="63" t="s">
        <v>2774</v>
      </c>
      <c r="AA22" s="63"/>
      <c r="AB22" s="63"/>
      <c r="AC22" s="60" t="s">
        <v>2641</v>
      </c>
      <c r="AD22" s="55" t="s">
        <v>2748</v>
      </c>
      <c r="AE22" s="55" t="s">
        <v>2764</v>
      </c>
      <c r="AF22" s="55" t="str">
        <f>VLOOKUP(AnalizaCzyste[[#This Row],[Jak się nazywa uczelnia którą ukończyłeś? (proszę o wybranie jednej uczelni podlegającej ocenie)]],KategorieUczelni[],3,0)</f>
        <v>Techniczna</v>
      </c>
      <c r="AG22" s="55" t="str">
        <f>MID(AnalizaCzyste[[#This Row],[Info metryczkowe]],2,40)</f>
        <v>A_W_P; 2; m; F; t/n)</v>
      </c>
      <c r="AH22" s="55"/>
      <c r="AI22" s="1" t="s">
        <v>123</v>
      </c>
      <c r="AY22" s="57" t="s">
        <v>2487</v>
      </c>
      <c r="AZ22" s="42" t="s">
        <v>191</v>
      </c>
      <c r="BA22" t="str">
        <f>VLOOKUP(AnalizaCzyste[[#This Row],[Jak się nazywa uczelnia którą ukończyłeś? (proszę o wybranie jednej uczelni podlegającej ocenie)]],KategorieUczelni[],2,0)</f>
        <v>Publiczna</v>
      </c>
      <c r="BR22" s="1" t="s">
        <v>123</v>
      </c>
      <c r="DL22" s="1" t="s">
        <v>123</v>
      </c>
      <c r="DV22" s="56" t="s">
        <v>214</v>
      </c>
      <c r="DW22" t="s">
        <v>191</v>
      </c>
      <c r="DX22" t="s">
        <v>308</v>
      </c>
      <c r="DY22" t="s">
        <v>162</v>
      </c>
      <c r="DZ22" t="s">
        <v>162</v>
      </c>
      <c r="EA22" t="s">
        <v>150</v>
      </c>
      <c r="EB22" t="s">
        <v>150</v>
      </c>
      <c r="EC22" t="s">
        <v>150</v>
      </c>
      <c r="ED22" t="s">
        <v>169</v>
      </c>
      <c r="EE22" t="s">
        <v>1203</v>
      </c>
      <c r="EF22" s="1" t="s">
        <v>123</v>
      </c>
      <c r="FI22" s="56" t="s">
        <v>177</v>
      </c>
      <c r="FJ22" t="s">
        <v>178</v>
      </c>
      <c r="FK22">
        <v>2</v>
      </c>
      <c r="FL22" t="s">
        <v>191</v>
      </c>
      <c r="FM22" t="s">
        <v>169</v>
      </c>
      <c r="FN22" t="s">
        <v>169</v>
      </c>
      <c r="FO22" t="s">
        <v>169</v>
      </c>
      <c r="FP22" t="s">
        <v>178</v>
      </c>
      <c r="FQ22" t="s">
        <v>1204</v>
      </c>
      <c r="FR22" t="s">
        <v>1205</v>
      </c>
      <c r="FS22" t="s">
        <v>1206</v>
      </c>
      <c r="FT22" t="s">
        <v>223</v>
      </c>
      <c r="FU22" t="s">
        <v>128</v>
      </c>
      <c r="FV22" t="s">
        <v>236</v>
      </c>
      <c r="FW22" t="s">
        <v>129</v>
      </c>
      <c r="FX22" t="s">
        <v>178</v>
      </c>
      <c r="FY22" t="s">
        <v>960</v>
      </c>
      <c r="FZ22" t="s">
        <v>1207</v>
      </c>
      <c r="GA22" t="s">
        <v>173</v>
      </c>
      <c r="GI22" s="1" t="s">
        <v>123</v>
      </c>
      <c r="HQ22" t="s">
        <v>1208</v>
      </c>
      <c r="HR22" t="s">
        <v>1209</v>
      </c>
      <c r="HS22" t="s">
        <v>1210</v>
      </c>
      <c r="HT22" t="s">
        <v>186</v>
      </c>
      <c r="HU22">
        <v>1987</v>
      </c>
      <c r="HV22" t="str">
        <f>VLOOKUP(AnalizaCzyste[[#This Row],[Rok urodzenia]],KategorieWiekowe[],2,1)</f>
        <v>26–35 lat</v>
      </c>
      <c r="HW22" t="s">
        <v>141</v>
      </c>
      <c r="HY22" t="s">
        <v>191</v>
      </c>
    </row>
    <row r="23" spans="1:235" ht="56.35" customHeight="1" x14ac:dyDescent="0.45">
      <c r="A23" s="62">
        <v>21</v>
      </c>
      <c r="B23" s="62">
        <f>_xlfn.IFNA(VLOOKUP(AnalizaCzyste[[#This Row],[Zakończono wypełnianie]],Zakończone[],2,0),"BRAK")</f>
        <v>78</v>
      </c>
      <c r="C23" s="62">
        <f t="shared" si="0"/>
        <v>32</v>
      </c>
      <c r="D23" s="62" t="s">
        <v>1212</v>
      </c>
      <c r="E23" s="62" t="s">
        <v>1213</v>
      </c>
      <c r="F23" s="62">
        <v>808</v>
      </c>
      <c r="G23" s="59" t="s">
        <v>2292</v>
      </c>
      <c r="H23" s="59"/>
      <c r="I23" s="59" t="s">
        <v>2478</v>
      </c>
      <c r="J23" s="59" t="str">
        <f>"("&amp;"ID:"&amp;AnalizaCzyste[[#This Row],[Lp. wywiadu]]&amp;"; "&amp;AnalizaCzyste[[#This Row],[Czy kierunek techniczny?]]&amp;"; "&amp;MID(AnalizaCzyste[[#This Row],[Info metryczkowe]],2,40)</f>
        <v>(ID:21; NTech; A; 4; m; F; t/n)</v>
      </c>
      <c r="K23" s="55" t="s">
        <v>2655</v>
      </c>
      <c r="L23" s="55"/>
      <c r="M23" s="55"/>
      <c r="N23" s="55" t="s">
        <v>2654</v>
      </c>
      <c r="O23" s="55" t="s">
        <v>2503</v>
      </c>
      <c r="P23" s="55" t="s">
        <v>2653</v>
      </c>
      <c r="Q23" s="55" t="s">
        <v>2652</v>
      </c>
      <c r="R23" s="55" t="s">
        <v>2538</v>
      </c>
      <c r="S23" s="60" t="s">
        <v>2651</v>
      </c>
      <c r="T23" s="60" t="s">
        <v>2650</v>
      </c>
      <c r="U23" s="63" t="s">
        <v>2296</v>
      </c>
      <c r="V23" s="63" t="s">
        <v>2297</v>
      </c>
      <c r="W23" s="63"/>
      <c r="X23" s="63"/>
      <c r="Y23" s="63" t="s">
        <v>2771</v>
      </c>
      <c r="Z23" s="63" t="s">
        <v>2774</v>
      </c>
      <c r="AA23" s="63"/>
      <c r="AB23" s="63"/>
      <c r="AC23" s="60" t="s">
        <v>2649</v>
      </c>
      <c r="AD23" s="55" t="s">
        <v>2749</v>
      </c>
      <c r="AE23" s="55" t="s">
        <v>2767</v>
      </c>
      <c r="AF23" s="55" t="str">
        <f>VLOOKUP(AnalizaCzyste[[#This Row],[Jak się nazywa uczelnia którą ukończyłeś? (proszę o wybranie jednej uczelni podlegającej ocenie)]],KategorieUczelni[],3,0)</f>
        <v>Nietechniczna</v>
      </c>
      <c r="AG23" s="55" t="str">
        <f>MID(AnalizaCzyste[[#This Row],[Info metryczkowe]],2,40)</f>
        <v>A; 4; m; F; t/n)</v>
      </c>
      <c r="AH23" s="55"/>
      <c r="AI23" s="1" t="s">
        <v>123</v>
      </c>
      <c r="AY23" s="56" t="s">
        <v>124</v>
      </c>
      <c r="AZ23" t="s">
        <v>428</v>
      </c>
      <c r="BA23" t="str">
        <f>VLOOKUP(AnalizaCzyste[[#This Row],[Jak się nazywa uczelnia którą ukończyłeś? (proszę o wybranie jednej uczelni podlegającej ocenie)]],KategorieUczelni[],2,0)</f>
        <v>Publiczna</v>
      </c>
      <c r="BB23">
        <v>1998</v>
      </c>
      <c r="BC23" t="s">
        <v>148</v>
      </c>
      <c r="BD23" t="s">
        <v>1215</v>
      </c>
      <c r="BE23" t="s">
        <v>150</v>
      </c>
      <c r="BF23" t="s">
        <v>150</v>
      </c>
      <c r="BG23" t="s">
        <v>151</v>
      </c>
      <c r="BH23" t="s">
        <v>129</v>
      </c>
      <c r="BI23" t="s">
        <v>128</v>
      </c>
      <c r="BJ23" t="s">
        <v>1216</v>
      </c>
      <c r="BK23" t="s">
        <v>131</v>
      </c>
      <c r="BL23" t="s">
        <v>131</v>
      </c>
      <c r="BM23" t="s">
        <v>1217</v>
      </c>
      <c r="BN23" t="s">
        <v>1218</v>
      </c>
      <c r="BO23" t="s">
        <v>1219</v>
      </c>
      <c r="BQ23" t="s">
        <v>1220</v>
      </c>
      <c r="BR23" s="1" t="s">
        <v>123</v>
      </c>
      <c r="DL23" s="1" t="s">
        <v>123</v>
      </c>
      <c r="DV23" s="1" t="s">
        <v>123</v>
      </c>
      <c r="EF23" s="1" t="s">
        <v>123</v>
      </c>
      <c r="FI23" s="1" t="s">
        <v>123</v>
      </c>
      <c r="GI23" s="1" t="s">
        <v>123</v>
      </c>
      <c r="HQ23" t="s">
        <v>1221</v>
      </c>
      <c r="HR23" t="s">
        <v>1222</v>
      </c>
      <c r="HS23" t="s">
        <v>1223</v>
      </c>
      <c r="HT23" t="s">
        <v>186</v>
      </c>
      <c r="HU23">
        <v>1973</v>
      </c>
      <c r="HV23" t="str">
        <f>VLOOKUP(AnalizaCzyste[[#This Row],[Rok urodzenia]],KategorieWiekowe[],2,1)</f>
        <v>46–55 lat</v>
      </c>
      <c r="HW23" t="s">
        <v>141</v>
      </c>
    </row>
    <row r="24" spans="1:235" ht="56.35" customHeight="1" x14ac:dyDescent="0.45">
      <c r="A24" s="62">
        <v>22</v>
      </c>
      <c r="B24" s="62">
        <f>_xlfn.IFNA(VLOOKUP(AnalizaCzyste[[#This Row],[Zakończono wypełnianie]],Zakończone[],2,0),"BRAK")</f>
        <v>79</v>
      </c>
      <c r="C24" s="62">
        <f t="shared" si="0"/>
        <v>82</v>
      </c>
      <c r="D24" s="62" t="s">
        <v>1225</v>
      </c>
      <c r="E24" s="62" t="s">
        <v>1226</v>
      </c>
      <c r="F24" s="62">
        <v>4209</v>
      </c>
      <c r="G24" s="59" t="s">
        <v>2292</v>
      </c>
      <c r="H24" s="59" t="s">
        <v>2293</v>
      </c>
      <c r="I24" s="59" t="s">
        <v>2477</v>
      </c>
      <c r="J24" s="59" t="str">
        <f>"("&amp;"ID:"&amp;AnalizaCzyste[[#This Row],[Lp. wywiadu]]&amp;"; "&amp;AnalizaCzyste[[#This Row],[Czy kierunek techniczny?]]&amp;"; "&amp;MID(AnalizaCzyste[[#This Row],[Info metryczkowe]],2,40)</f>
        <v>(ID:22; NTech; A_R_U; 5; k; F; t/n)</v>
      </c>
      <c r="K24" s="55" t="s">
        <v>2662</v>
      </c>
      <c r="L24" s="55"/>
      <c r="M24" s="55" t="s">
        <v>2661</v>
      </c>
      <c r="N24" s="55" t="s">
        <v>178</v>
      </c>
      <c r="O24" s="55" t="s">
        <v>2503</v>
      </c>
      <c r="P24" s="55" t="s">
        <v>2660</v>
      </c>
      <c r="Q24" s="55" t="s">
        <v>2659</v>
      </c>
      <c r="R24" s="55" t="s">
        <v>2538</v>
      </c>
      <c r="S24" s="60" t="s">
        <v>2658</v>
      </c>
      <c r="T24" s="60" t="s">
        <v>2657</v>
      </c>
      <c r="U24" s="63" t="s">
        <v>2296</v>
      </c>
      <c r="V24" s="63"/>
      <c r="W24" s="63"/>
      <c r="X24" s="63"/>
      <c r="Y24" s="63"/>
      <c r="Z24" s="63"/>
      <c r="AA24" s="63"/>
      <c r="AB24" s="63"/>
      <c r="AC24" s="60" t="s">
        <v>2656</v>
      </c>
      <c r="AD24" s="55" t="s">
        <v>2750</v>
      </c>
      <c r="AE24" s="55" t="s">
        <v>2767</v>
      </c>
      <c r="AF24" s="55" t="str">
        <f>VLOOKUP(AnalizaCzyste[[#This Row],[Jak się nazywa uczelnia którą ukończyłeś? (proszę o wybranie jednej uczelni podlegającej ocenie)]],KategorieUczelni[],3,0)</f>
        <v>Nietechniczna</v>
      </c>
      <c r="AG24" s="55" t="str">
        <f>MID(AnalizaCzyste[[#This Row],[Info metryczkowe]],2,40)</f>
        <v>A_R_U; 5; k; F; t/n)</v>
      </c>
      <c r="AH24" s="55"/>
      <c r="AI24" s="1" t="s">
        <v>123</v>
      </c>
      <c r="AY24" s="56" t="s">
        <v>124</v>
      </c>
      <c r="AZ24" t="s">
        <v>2269</v>
      </c>
      <c r="BA24" t="str">
        <f>VLOOKUP(AnalizaCzyste[[#This Row],[Jak się nazywa uczelnia którą ukończyłeś? (proszę o wybranie jednej uczelni podlegającej ocenie)]],KategorieUczelni[],2,0)</f>
        <v>Publiczna</v>
      </c>
      <c r="BB24">
        <v>1985</v>
      </c>
      <c r="BC24" t="s">
        <v>148</v>
      </c>
      <c r="BD24" t="s">
        <v>391</v>
      </c>
      <c r="BE24" t="s">
        <v>150</v>
      </c>
      <c r="BF24" t="s">
        <v>150</v>
      </c>
      <c r="BG24" t="s">
        <v>169</v>
      </c>
      <c r="BH24" t="s">
        <v>236</v>
      </c>
      <c r="BI24" t="s">
        <v>236</v>
      </c>
      <c r="BJ24">
        <v>0</v>
      </c>
      <c r="BK24" t="s">
        <v>152</v>
      </c>
      <c r="BL24" t="s">
        <v>152</v>
      </c>
      <c r="BM24" t="s">
        <v>1228</v>
      </c>
      <c r="BN24" t="s">
        <v>1229</v>
      </c>
      <c r="BO24" t="s">
        <v>1229</v>
      </c>
      <c r="BP24" t="s">
        <v>157</v>
      </c>
      <c r="BR24" s="56" t="s">
        <v>159</v>
      </c>
      <c r="BS24">
        <v>2</v>
      </c>
      <c r="BT24" t="s">
        <v>1230</v>
      </c>
      <c r="BU24">
        <v>2005</v>
      </c>
      <c r="BV24" t="s">
        <v>148</v>
      </c>
      <c r="BW24" t="s">
        <v>1231</v>
      </c>
      <c r="BX24" t="s">
        <v>169</v>
      </c>
      <c r="BY24" t="s">
        <v>169</v>
      </c>
      <c r="BZ24" t="s">
        <v>169</v>
      </c>
      <c r="CA24" t="s">
        <v>236</v>
      </c>
      <c r="CB24" t="s">
        <v>236</v>
      </c>
      <c r="CC24">
        <v>0</v>
      </c>
      <c r="CD24" t="s">
        <v>1232</v>
      </c>
      <c r="CE24" t="s">
        <v>157</v>
      </c>
      <c r="CH24" t="s">
        <v>166</v>
      </c>
      <c r="CI24" t="s">
        <v>1233</v>
      </c>
      <c r="CJ24">
        <v>2008</v>
      </c>
      <c r="CK24" t="s">
        <v>148</v>
      </c>
      <c r="CL24" t="s">
        <v>1234</v>
      </c>
      <c r="CM24" t="s">
        <v>169</v>
      </c>
      <c r="CN24" t="s">
        <v>169</v>
      </c>
      <c r="CO24" t="s">
        <v>169</v>
      </c>
      <c r="CP24" t="s">
        <v>128</v>
      </c>
      <c r="CQ24" t="s">
        <v>162</v>
      </c>
      <c r="CR24" t="s">
        <v>1235</v>
      </c>
      <c r="CS24" t="s">
        <v>1236</v>
      </c>
      <c r="CT24" t="s">
        <v>157</v>
      </c>
      <c r="CW24" t="s">
        <v>173</v>
      </c>
      <c r="DL24" s="1" t="s">
        <v>123</v>
      </c>
      <c r="DV24" s="1" t="s">
        <v>123</v>
      </c>
      <c r="EF24" s="56" t="s">
        <v>174</v>
      </c>
      <c r="EG24" t="s">
        <v>394</v>
      </c>
      <c r="EK24" t="s">
        <v>1230</v>
      </c>
      <c r="EL24" t="s">
        <v>150</v>
      </c>
      <c r="EM24" t="s">
        <v>150</v>
      </c>
      <c r="EN24" t="s">
        <v>150</v>
      </c>
      <c r="EO24" t="s">
        <v>150</v>
      </c>
      <c r="EP24" t="s">
        <v>150</v>
      </c>
      <c r="EQ24" t="s">
        <v>169</v>
      </c>
      <c r="ER24" t="s">
        <v>150</v>
      </c>
      <c r="ES24">
        <v>20</v>
      </c>
      <c r="ET24">
        <v>5</v>
      </c>
      <c r="EU24">
        <v>0</v>
      </c>
      <c r="EV24">
        <v>30</v>
      </c>
      <c r="EW24">
        <v>25</v>
      </c>
      <c r="EX24">
        <v>10</v>
      </c>
      <c r="EY24">
        <v>10</v>
      </c>
      <c r="FA24">
        <v>10</v>
      </c>
      <c r="FB24">
        <v>5</v>
      </c>
      <c r="FC24">
        <v>0</v>
      </c>
      <c r="FD24">
        <v>25</v>
      </c>
      <c r="FE24">
        <v>25</v>
      </c>
      <c r="FF24">
        <v>5</v>
      </c>
      <c r="FG24">
        <v>30</v>
      </c>
      <c r="FI24" s="1" t="s">
        <v>123</v>
      </c>
      <c r="GI24" s="1" t="s">
        <v>123</v>
      </c>
      <c r="HQ24" t="s">
        <v>1237</v>
      </c>
      <c r="HR24" t="s">
        <v>1229</v>
      </c>
      <c r="HS24" t="s">
        <v>1229</v>
      </c>
      <c r="HT24" t="s">
        <v>140</v>
      </c>
      <c r="HU24">
        <v>1958</v>
      </c>
      <c r="HV24" t="str">
        <f>VLOOKUP(AnalizaCzyste[[#This Row],[Rok urodzenia]],KategorieWiekowe[],2,1)</f>
        <v>56–65 lat</v>
      </c>
      <c r="HW24" t="s">
        <v>141</v>
      </c>
    </row>
    <row r="25" spans="1:235" ht="56.35" customHeight="1" x14ac:dyDescent="0.45">
      <c r="A25" s="62">
        <v>23</v>
      </c>
      <c r="B25" s="62">
        <f>_xlfn.IFNA(VLOOKUP(AnalizaCzyste[[#This Row],[Zakończono wypełnianie]],Zakończone[],2,0),"BRAK")</f>
        <v>80</v>
      </c>
      <c r="C25" s="62">
        <f t="shared" si="0"/>
        <v>36</v>
      </c>
      <c r="D25" s="62" t="s">
        <v>1239</v>
      </c>
      <c r="E25" s="62" t="s">
        <v>1240</v>
      </c>
      <c r="F25" s="62">
        <v>356</v>
      </c>
      <c r="G25" s="59" t="s">
        <v>2292</v>
      </c>
      <c r="H25" s="59" t="s">
        <v>2292</v>
      </c>
      <c r="I25" s="59" t="s">
        <v>2663</v>
      </c>
      <c r="J25" s="59" t="str">
        <f>"("&amp;"ID:"&amp;AnalizaCzyste[[#This Row],[Lp. wywiadu]]&amp;"; "&amp;AnalizaCzyste[[#This Row],[Czy kierunek techniczny?]]&amp;"; "&amp;MID(AnalizaCzyste[[#This Row],[Info metryczkowe]],2,40)</f>
        <v>(ID:23; NTech; A_WŁ; 4; m; E; t/n)</v>
      </c>
      <c r="K25" s="55" t="s">
        <v>2670</v>
      </c>
      <c r="L25" s="55" t="s">
        <v>2671</v>
      </c>
      <c r="M25" s="55"/>
      <c r="N25" s="55" t="s">
        <v>2669</v>
      </c>
      <c r="O25" s="55" t="s">
        <v>2503</v>
      </c>
      <c r="P25" s="55" t="s">
        <v>2668</v>
      </c>
      <c r="Q25" s="55" t="s">
        <v>2667</v>
      </c>
      <c r="R25" s="55" t="s">
        <v>2538</v>
      </c>
      <c r="S25" s="60" t="s">
        <v>2666</v>
      </c>
      <c r="T25" s="60" t="s">
        <v>2665</v>
      </c>
      <c r="U25" s="63" t="s">
        <v>2296</v>
      </c>
      <c r="V25" s="63" t="s">
        <v>2297</v>
      </c>
      <c r="W25" s="63" t="s">
        <v>2770</v>
      </c>
      <c r="X25" s="63"/>
      <c r="Y25" s="63"/>
      <c r="Z25" s="63"/>
      <c r="AA25" s="63"/>
      <c r="AB25" s="63"/>
      <c r="AC25" s="60" t="s">
        <v>2664</v>
      </c>
      <c r="AD25" s="55" t="s">
        <v>2751</v>
      </c>
      <c r="AE25" s="55" t="s">
        <v>2767</v>
      </c>
      <c r="AF25" s="55" t="str">
        <f>VLOOKUP(AnalizaCzyste[[#This Row],[Jak się nazywa uczelnia którą ukończyłeś? (proszę o wybranie jednej uczelni podlegającej ocenie)]],KategorieUczelni[],3,0)</f>
        <v>Nietechniczna</v>
      </c>
      <c r="AG25" s="55" t="str">
        <f>MID(AnalizaCzyste[[#This Row],[Info metryczkowe]],2,40)</f>
        <v>A_WŁ; 4; m; E; t/n)</v>
      </c>
      <c r="AH25" s="55"/>
      <c r="AI25" s="1" t="s">
        <v>123</v>
      </c>
      <c r="AY25" s="56" t="s">
        <v>124</v>
      </c>
      <c r="AZ25" t="s">
        <v>223</v>
      </c>
      <c r="BA25" t="str">
        <f>VLOOKUP(AnalizaCzyste[[#This Row],[Jak się nazywa uczelnia którą ukończyłeś? (proszę o wybranie jednej uczelni podlegającej ocenie)]],KategorieUczelni[],2,0)</f>
        <v>Publiczna</v>
      </c>
      <c r="BB25">
        <v>1997</v>
      </c>
      <c r="BC25" t="s">
        <v>148</v>
      </c>
      <c r="BD25" t="s">
        <v>161</v>
      </c>
      <c r="BE25" t="s">
        <v>128</v>
      </c>
      <c r="BF25" t="s">
        <v>128</v>
      </c>
      <c r="BG25" t="s">
        <v>162</v>
      </c>
      <c r="BH25" t="s">
        <v>162</v>
      </c>
      <c r="BI25" t="s">
        <v>162</v>
      </c>
      <c r="BJ25">
        <v>1</v>
      </c>
      <c r="BK25" t="s">
        <v>131</v>
      </c>
      <c r="BL25" t="s">
        <v>131</v>
      </c>
      <c r="BM25" t="s">
        <v>1241</v>
      </c>
      <c r="BN25" t="s">
        <v>1242</v>
      </c>
      <c r="BO25" t="s">
        <v>1243</v>
      </c>
      <c r="BP25" t="s">
        <v>157</v>
      </c>
      <c r="BQ25" t="s">
        <v>1244</v>
      </c>
      <c r="BR25" s="1" t="s">
        <v>123</v>
      </c>
      <c r="DL25" s="1" t="s">
        <v>123</v>
      </c>
      <c r="DV25" s="1" t="s">
        <v>123</v>
      </c>
      <c r="EF25" s="1" t="s">
        <v>123</v>
      </c>
      <c r="FI25" s="1" t="s">
        <v>123</v>
      </c>
      <c r="FJ25" t="s">
        <v>178</v>
      </c>
      <c r="FK25" t="s">
        <v>132</v>
      </c>
      <c r="GI25" s="57" t="s">
        <v>2487</v>
      </c>
      <c r="HQ25" t="s">
        <v>1245</v>
      </c>
      <c r="HR25" t="s">
        <v>1246</v>
      </c>
      <c r="HS25" t="s">
        <v>1247</v>
      </c>
      <c r="HT25" t="s">
        <v>186</v>
      </c>
      <c r="HU25">
        <v>1974</v>
      </c>
      <c r="HV25" t="str">
        <f>VLOOKUP(AnalizaCzyste[[#This Row],[Rok urodzenia]],KategorieWiekowe[],2,1)</f>
        <v>46–55 lat</v>
      </c>
      <c r="HW25" t="s">
        <v>398</v>
      </c>
      <c r="HY25" t="s">
        <v>1248</v>
      </c>
    </row>
    <row r="26" spans="1:235" ht="56.35" customHeight="1" x14ac:dyDescent="0.45">
      <c r="A26" s="62">
        <v>24</v>
      </c>
      <c r="B26" s="62">
        <f>_xlfn.IFNA(VLOOKUP(AnalizaCzyste[[#This Row],[Zakończono wypełnianie]],Zakończone[],2,0),"BRAK")</f>
        <v>81</v>
      </c>
      <c r="C26" s="62">
        <f t="shared" si="0"/>
        <v>42</v>
      </c>
      <c r="D26" s="62" t="s">
        <v>1252</v>
      </c>
      <c r="E26" s="62" t="s">
        <v>1253</v>
      </c>
      <c r="F26" s="62">
        <v>367</v>
      </c>
      <c r="G26" s="59" t="s">
        <v>2292</v>
      </c>
      <c r="H26" s="59" t="s">
        <v>2292</v>
      </c>
      <c r="I26" s="59" t="s">
        <v>2462</v>
      </c>
      <c r="J26" s="59" t="str">
        <f>"("&amp;"ID:"&amp;AnalizaCzyste[[#This Row],[Lp. wywiadu]]&amp;"; "&amp;AnalizaCzyste[[#This Row],[Czy kierunek techniczny?]]&amp;"; "&amp;MID(AnalizaCzyste[[#This Row],[Info metryczkowe]],2,40)</f>
        <v>(ID:24; NTech; A_W; 3; m; F; t/n)</v>
      </c>
      <c r="K26" s="55" t="s">
        <v>2678</v>
      </c>
      <c r="L26" s="55"/>
      <c r="M26" s="55"/>
      <c r="N26" s="55" t="s">
        <v>2677</v>
      </c>
      <c r="O26" s="55" t="s">
        <v>2503</v>
      </c>
      <c r="P26" s="55" t="s">
        <v>2676</v>
      </c>
      <c r="Q26" s="55" t="s">
        <v>2675</v>
      </c>
      <c r="R26" s="55" t="s">
        <v>2538</v>
      </c>
      <c r="S26" s="60" t="s">
        <v>2674</v>
      </c>
      <c r="T26" s="58" t="s">
        <v>2673</v>
      </c>
      <c r="U26" s="63" t="s">
        <v>2781</v>
      </c>
      <c r="V26" s="63" t="s">
        <v>2781</v>
      </c>
      <c r="W26" s="63" t="s">
        <v>2781</v>
      </c>
      <c r="X26" s="63" t="s">
        <v>2781</v>
      </c>
      <c r="Y26" s="63" t="s">
        <v>2781</v>
      </c>
      <c r="Z26" s="63" t="s">
        <v>2781</v>
      </c>
      <c r="AA26" s="63" t="s">
        <v>2781</v>
      </c>
      <c r="AB26" s="63" t="s">
        <v>2781</v>
      </c>
      <c r="AC26" s="60" t="s">
        <v>2672</v>
      </c>
      <c r="AD26" s="55" t="s">
        <v>2752</v>
      </c>
      <c r="AE26" s="55" t="s">
        <v>2767</v>
      </c>
      <c r="AF26" s="55" t="str">
        <f>VLOOKUP(AnalizaCzyste[[#This Row],[Jak się nazywa uczelnia którą ukończyłeś? (proszę o wybranie jednej uczelni podlegającej ocenie)]],KategorieUczelni[],3,0)</f>
        <v>Nietechniczna</v>
      </c>
      <c r="AG26" s="55" t="str">
        <f>MID(AnalizaCzyste[[#This Row],[Info metryczkowe]],2,40)</f>
        <v>A_W; 3; m; F; t/n)</v>
      </c>
      <c r="AH26" s="55"/>
      <c r="AI26" s="1" t="s">
        <v>123</v>
      </c>
      <c r="AY26" s="56" t="s">
        <v>124</v>
      </c>
      <c r="AZ26" t="s">
        <v>223</v>
      </c>
      <c r="BA26" t="str">
        <f>VLOOKUP(AnalizaCzyste[[#This Row],[Jak się nazywa uczelnia którą ukończyłeś? (proszę o wybranie jednej uczelni podlegającej ocenie)]],KategorieUczelni[],2,0)</f>
        <v>Publiczna</v>
      </c>
      <c r="BB26">
        <v>2006</v>
      </c>
      <c r="BC26" t="s">
        <v>148</v>
      </c>
      <c r="BD26" t="s">
        <v>1050</v>
      </c>
      <c r="BE26" t="s">
        <v>162</v>
      </c>
      <c r="BF26" t="s">
        <v>162</v>
      </c>
      <c r="BG26" t="s">
        <v>169</v>
      </c>
      <c r="BH26" t="s">
        <v>236</v>
      </c>
      <c r="BI26" t="s">
        <v>151</v>
      </c>
      <c r="BJ26">
        <v>3</v>
      </c>
      <c r="BK26" t="s">
        <v>131</v>
      </c>
      <c r="BL26" t="s">
        <v>302</v>
      </c>
      <c r="BM26" t="s">
        <v>1254</v>
      </c>
      <c r="BN26" t="s">
        <v>1255</v>
      </c>
      <c r="BO26" t="s">
        <v>1256</v>
      </c>
      <c r="BP26" t="s">
        <v>157</v>
      </c>
      <c r="BQ26" t="s">
        <v>1257</v>
      </c>
      <c r="BR26" s="1" t="s">
        <v>123</v>
      </c>
      <c r="DL26" s="1" t="s">
        <v>123</v>
      </c>
      <c r="DV26" s="56" t="s">
        <v>214</v>
      </c>
      <c r="DW26" t="s">
        <v>191</v>
      </c>
      <c r="DX26" t="s">
        <v>308</v>
      </c>
      <c r="DY26" t="s">
        <v>169</v>
      </c>
      <c r="DZ26" t="s">
        <v>150</v>
      </c>
      <c r="EA26" t="s">
        <v>150</v>
      </c>
      <c r="EB26" t="s">
        <v>169</v>
      </c>
      <c r="EC26" t="s">
        <v>162</v>
      </c>
      <c r="ED26" t="s">
        <v>162</v>
      </c>
      <c r="EE26" t="s">
        <v>1258</v>
      </c>
      <c r="EF26" s="1" t="s">
        <v>123</v>
      </c>
      <c r="FI26" s="1" t="s">
        <v>123</v>
      </c>
      <c r="GI26" s="1" t="s">
        <v>123</v>
      </c>
      <c r="HQ26" t="s">
        <v>1259</v>
      </c>
      <c r="HR26" t="s">
        <v>1260</v>
      </c>
      <c r="HS26" t="s">
        <v>1261</v>
      </c>
      <c r="HT26" t="s">
        <v>186</v>
      </c>
      <c r="HU26">
        <v>1982</v>
      </c>
      <c r="HV26" t="str">
        <f>VLOOKUP(AnalizaCzyste[[#This Row],[Rok urodzenia]],KategorieWiekowe[],2,1)</f>
        <v>36–45 lat</v>
      </c>
      <c r="HW26" t="s">
        <v>141</v>
      </c>
    </row>
    <row r="27" spans="1:235" ht="56.35" customHeight="1" x14ac:dyDescent="0.45">
      <c r="A27" s="62">
        <v>25</v>
      </c>
      <c r="B27" s="62">
        <f>_xlfn.IFNA(VLOOKUP(AnalizaCzyste[[#This Row],[Zakończono wypełnianie]],Zakończone[],2,0),"BRAK")</f>
        <v>82</v>
      </c>
      <c r="C27" s="62">
        <f t="shared" si="0"/>
        <v>68</v>
      </c>
      <c r="D27" s="62" t="s">
        <v>1266</v>
      </c>
      <c r="E27" s="62" t="s">
        <v>1267</v>
      </c>
      <c r="F27" s="62">
        <v>2127</v>
      </c>
      <c r="G27" s="59" t="s">
        <v>2292</v>
      </c>
      <c r="H27" s="59"/>
      <c r="I27" s="59" t="s">
        <v>2479</v>
      </c>
      <c r="J27" s="59" t="str">
        <f>"("&amp;"ID:"&amp;AnalizaCzyste[[#This Row],[Lp. wywiadu]]&amp;"; "&amp;AnalizaCzyste[[#This Row],[Czy kierunek techniczny?]]&amp;"; "&amp;MID(AnalizaCzyste[[#This Row],[Info metryczkowe]],2,40)</f>
        <v>(ID:25; Tech; A_R_W_P; 5; m; E; t/t)</v>
      </c>
      <c r="K27" s="55" t="s">
        <v>2682</v>
      </c>
      <c r="L27" s="55"/>
      <c r="M27" s="55"/>
      <c r="N27" s="55" t="s">
        <v>2504</v>
      </c>
      <c r="O27" s="55" t="s">
        <v>2503</v>
      </c>
      <c r="P27" s="55" t="s">
        <v>2502</v>
      </c>
      <c r="Q27" s="55" t="s">
        <v>2501</v>
      </c>
      <c r="R27" s="55" t="s">
        <v>2500</v>
      </c>
      <c r="S27" s="60" t="s">
        <v>2681</v>
      </c>
      <c r="T27" s="60" t="s">
        <v>2680</v>
      </c>
      <c r="U27" s="63"/>
      <c r="V27" s="63"/>
      <c r="W27" s="63" t="s">
        <v>2770</v>
      </c>
      <c r="X27" s="63"/>
      <c r="Y27" s="63"/>
      <c r="Z27" s="63"/>
      <c r="AA27" s="63"/>
      <c r="AB27" s="63"/>
      <c r="AC27" s="60" t="s">
        <v>2679</v>
      </c>
      <c r="AD27" s="55" t="s">
        <v>2753</v>
      </c>
      <c r="AE27" s="55" t="s">
        <v>2764</v>
      </c>
      <c r="AF27" s="55" t="str">
        <f>VLOOKUP(AnalizaCzyste[[#This Row],[Jak się nazywa uczelnia którą ukończyłeś? (proszę o wybranie jednej uczelni podlegającej ocenie)]],KategorieUczelni[],3,0)</f>
        <v>Techniczna</v>
      </c>
      <c r="AG27" s="55" t="str">
        <f>MID(AnalizaCzyste[[#This Row],[Info metryczkowe]],2,40)</f>
        <v>A_R_W_P; 5; m; E; t/t)</v>
      </c>
      <c r="AH27" s="55"/>
      <c r="AI27" s="1" t="s">
        <v>123</v>
      </c>
      <c r="AY27" s="56" t="s">
        <v>124</v>
      </c>
      <c r="AZ27" t="s">
        <v>191</v>
      </c>
      <c r="BA27" t="str">
        <f>VLOOKUP(AnalizaCzyste[[#This Row],[Jak się nazywa uczelnia którą ukończyłeś? (proszę o wybranie jednej uczelni podlegającej ocenie)]],KategorieUczelni[],2,0)</f>
        <v>Publiczna</v>
      </c>
      <c r="BB27">
        <v>1982</v>
      </c>
      <c r="BC27" t="s">
        <v>126</v>
      </c>
      <c r="BD27" t="s">
        <v>1268</v>
      </c>
      <c r="BE27" t="s">
        <v>169</v>
      </c>
      <c r="BF27" t="s">
        <v>169</v>
      </c>
      <c r="BG27" t="s">
        <v>169</v>
      </c>
      <c r="BH27" t="s">
        <v>169</v>
      </c>
      <c r="BI27" t="s">
        <v>169</v>
      </c>
      <c r="BJ27">
        <v>0</v>
      </c>
      <c r="BK27" t="s">
        <v>153</v>
      </c>
      <c r="BL27" t="s">
        <v>759</v>
      </c>
      <c r="BM27" t="s">
        <v>1269</v>
      </c>
      <c r="BN27" t="s">
        <v>1270</v>
      </c>
      <c r="BO27" t="s">
        <v>386</v>
      </c>
      <c r="BQ27" t="s">
        <v>1271</v>
      </c>
      <c r="BR27" s="56" t="s">
        <v>159</v>
      </c>
      <c r="BS27">
        <v>1</v>
      </c>
      <c r="BT27" t="s">
        <v>1290</v>
      </c>
      <c r="BU27">
        <v>2011</v>
      </c>
      <c r="BV27" t="s">
        <v>148</v>
      </c>
      <c r="BW27" t="s">
        <v>1050</v>
      </c>
      <c r="BX27" t="s">
        <v>169</v>
      </c>
      <c r="BY27" t="s">
        <v>169</v>
      </c>
      <c r="BZ27" t="s">
        <v>169</v>
      </c>
      <c r="CA27" t="s">
        <v>169</v>
      </c>
      <c r="CB27" t="s">
        <v>169</v>
      </c>
      <c r="CC27" t="s">
        <v>1273</v>
      </c>
      <c r="CD27" t="s">
        <v>1274</v>
      </c>
      <c r="CE27" t="s">
        <v>157</v>
      </c>
      <c r="CG27" t="s">
        <v>1275</v>
      </c>
      <c r="CH27" t="s">
        <v>173</v>
      </c>
      <c r="DL27" s="1" t="s">
        <v>123</v>
      </c>
      <c r="DV27" s="56" t="s">
        <v>214</v>
      </c>
      <c r="DW27" t="s">
        <v>191</v>
      </c>
      <c r="DX27" t="s">
        <v>1276</v>
      </c>
      <c r="DY27" t="s">
        <v>169</v>
      </c>
      <c r="DZ27" t="s">
        <v>169</v>
      </c>
      <c r="EA27" t="s">
        <v>169</v>
      </c>
      <c r="EB27" t="s">
        <v>150</v>
      </c>
      <c r="EC27" t="s">
        <v>169</v>
      </c>
      <c r="ED27" t="s">
        <v>169</v>
      </c>
      <c r="EE27" t="s">
        <v>1277</v>
      </c>
      <c r="EF27" s="1" t="s">
        <v>123</v>
      </c>
      <c r="FI27" s="56" t="s">
        <v>177</v>
      </c>
      <c r="FJ27" t="s">
        <v>178</v>
      </c>
      <c r="FK27">
        <v>1</v>
      </c>
      <c r="FL27" t="s">
        <v>747</v>
      </c>
      <c r="FM27" t="s">
        <v>169</v>
      </c>
      <c r="FN27" t="s">
        <v>169</v>
      </c>
      <c r="FO27" t="s">
        <v>151</v>
      </c>
      <c r="FP27" t="s">
        <v>178</v>
      </c>
      <c r="FQ27" t="s">
        <v>1278</v>
      </c>
      <c r="FR27" t="s">
        <v>1279</v>
      </c>
      <c r="FS27" t="s">
        <v>173</v>
      </c>
      <c r="GI27" s="1" t="s">
        <v>123</v>
      </c>
      <c r="HQ27" t="s">
        <v>1280</v>
      </c>
      <c r="HR27" t="s">
        <v>1281</v>
      </c>
      <c r="HS27" t="s">
        <v>1282</v>
      </c>
      <c r="HT27" t="s">
        <v>186</v>
      </c>
      <c r="HU27" s="42">
        <v>1956</v>
      </c>
      <c r="HV27" s="42" t="str">
        <f>VLOOKUP(AnalizaCzyste[[#This Row],[Rok urodzenia]],KategorieWiekowe[],2,1)</f>
        <v>56–65 lat</v>
      </c>
      <c r="HW27" t="s">
        <v>398</v>
      </c>
      <c r="HY27" t="s">
        <v>1284</v>
      </c>
      <c r="HZ27" t="s">
        <v>1285</v>
      </c>
    </row>
    <row r="28" spans="1:235" ht="56.35" customHeight="1" x14ac:dyDescent="0.45">
      <c r="A28" s="62">
        <v>26</v>
      </c>
      <c r="B28" s="62">
        <f>_xlfn.IFNA(VLOOKUP(AnalizaCzyste[[#This Row],[Zakończono wypełnianie]],Zakończone[],2,0),"BRAK")</f>
        <v>83</v>
      </c>
      <c r="C28" s="62">
        <f t="shared" si="0"/>
        <v>44</v>
      </c>
      <c r="D28" s="62" t="s">
        <v>1288</v>
      </c>
      <c r="E28" s="62" t="s">
        <v>1289</v>
      </c>
      <c r="F28" s="62">
        <v>1208727</v>
      </c>
      <c r="G28" s="59" t="s">
        <v>2292</v>
      </c>
      <c r="H28" s="59" t="s">
        <v>2292</v>
      </c>
      <c r="I28" s="59" t="s">
        <v>2463</v>
      </c>
      <c r="J28" s="59" t="str">
        <f>"("&amp;"ID:"&amp;AnalizaCzyste[[#This Row],[Lp. wywiadu]]&amp;"; "&amp;AnalizaCzyste[[#This Row],[Czy kierunek techniczny?]]&amp;"; "&amp;MID(AnalizaCzyste[[#This Row],[Info metryczkowe]],2,40)</f>
        <v>(ID:26; NTech; A_P; 2; m; D; t/t)</v>
      </c>
      <c r="K28" s="55"/>
      <c r="L28" s="55"/>
      <c r="M28" s="55"/>
      <c r="N28" s="55"/>
      <c r="O28" s="55" t="s">
        <v>2503</v>
      </c>
      <c r="P28" s="55" t="s">
        <v>2686</v>
      </c>
      <c r="Q28" s="55" t="s">
        <v>2686</v>
      </c>
      <c r="R28" s="55" t="s">
        <v>2538</v>
      </c>
      <c r="S28" s="60" t="s">
        <v>2685</v>
      </c>
      <c r="T28" s="60" t="s">
        <v>2684</v>
      </c>
      <c r="U28" s="63" t="s">
        <v>2296</v>
      </c>
      <c r="V28" s="63" t="s">
        <v>2297</v>
      </c>
      <c r="W28" s="63" t="s">
        <v>2770</v>
      </c>
      <c r="X28" s="63" t="s">
        <v>2772</v>
      </c>
      <c r="Y28" s="63"/>
      <c r="Z28" s="63"/>
      <c r="AA28" s="63"/>
      <c r="AB28" s="63"/>
      <c r="AC28" s="60" t="s">
        <v>2683</v>
      </c>
      <c r="AD28" s="55" t="s">
        <v>2754</v>
      </c>
      <c r="AE28" s="55" t="s">
        <v>2767</v>
      </c>
      <c r="AF28" s="55" t="str">
        <f>VLOOKUP(AnalizaCzyste[[#This Row],[Jak się nazywa uczelnia którą ukończyłeś? (proszę o wybranie jednej uczelni podlegającej ocenie)]],KategorieUczelni[],3,0)</f>
        <v>Nietechniczna</v>
      </c>
      <c r="AG28" s="55" t="str">
        <f>MID(AnalizaCzyste[[#This Row],[Info metryczkowe]],2,40)</f>
        <v>A_P; 2; m; D; t/t)</v>
      </c>
      <c r="AH28" s="55"/>
      <c r="AI28" s="1" t="s">
        <v>123</v>
      </c>
      <c r="AY28" s="56" t="s">
        <v>124</v>
      </c>
      <c r="AZ28" t="s">
        <v>1290</v>
      </c>
      <c r="BA28" t="str">
        <f>VLOOKUP(AnalizaCzyste[[#This Row],[Jak się nazywa uczelnia którą ukończyłeś? (proszę o wybranie jednej uczelni podlegającej ocenie)]],KategorieUczelni[],2,0)</f>
        <v>Niepubliczna</v>
      </c>
      <c r="BB28">
        <v>2012</v>
      </c>
      <c r="BC28" t="s">
        <v>148</v>
      </c>
      <c r="BD28" t="s">
        <v>1050</v>
      </c>
      <c r="BE28" t="s">
        <v>162</v>
      </c>
      <c r="BF28" t="s">
        <v>151</v>
      </c>
      <c r="BG28" t="s">
        <v>162</v>
      </c>
      <c r="BH28" t="s">
        <v>151</v>
      </c>
      <c r="BI28" t="s">
        <v>128</v>
      </c>
      <c r="BJ28" t="s">
        <v>237</v>
      </c>
      <c r="BK28" t="s">
        <v>132</v>
      </c>
      <c r="BL28" t="s">
        <v>132</v>
      </c>
      <c r="BM28" t="s">
        <v>1291</v>
      </c>
      <c r="BN28" t="s">
        <v>1292</v>
      </c>
      <c r="BO28" t="s">
        <v>1293</v>
      </c>
      <c r="BP28" t="s">
        <v>892</v>
      </c>
      <c r="BR28" s="1" t="s">
        <v>123</v>
      </c>
      <c r="DL28" s="1" t="s">
        <v>123</v>
      </c>
      <c r="DV28" s="1" t="s">
        <v>123</v>
      </c>
      <c r="EF28" s="1" t="s">
        <v>123</v>
      </c>
      <c r="FI28" s="56" t="s">
        <v>177</v>
      </c>
      <c r="FJ28" t="s">
        <v>178</v>
      </c>
      <c r="FK28" t="s">
        <v>132</v>
      </c>
      <c r="FL28" t="s">
        <v>191</v>
      </c>
      <c r="FM28" t="s">
        <v>162</v>
      </c>
      <c r="FN28" t="s">
        <v>151</v>
      </c>
      <c r="FO28" t="s">
        <v>128</v>
      </c>
      <c r="FP28" t="s">
        <v>178</v>
      </c>
      <c r="FQ28" t="s">
        <v>1294</v>
      </c>
      <c r="FR28" t="s">
        <v>1295</v>
      </c>
      <c r="FS28" t="s">
        <v>173</v>
      </c>
      <c r="GI28" s="1" t="s">
        <v>123</v>
      </c>
      <c r="HQ28" t="s">
        <v>1296</v>
      </c>
      <c r="HR28" t="s">
        <v>1297</v>
      </c>
      <c r="HS28" t="s">
        <v>1298</v>
      </c>
      <c r="HT28" t="s">
        <v>186</v>
      </c>
      <c r="HU28">
        <v>1987</v>
      </c>
      <c r="HV28" t="str">
        <f>VLOOKUP(AnalizaCzyste[[#This Row],[Rok urodzenia]],KategorieWiekowe[],2,1)</f>
        <v>26–35 lat</v>
      </c>
      <c r="HW28" t="s">
        <v>246</v>
      </c>
      <c r="HY28" t="s">
        <v>1299</v>
      </c>
      <c r="HZ28" t="s">
        <v>1300</v>
      </c>
    </row>
    <row r="29" spans="1:235" ht="56.35" customHeight="1" x14ac:dyDescent="0.45">
      <c r="A29" s="62">
        <v>27</v>
      </c>
      <c r="B29" s="62">
        <f>_xlfn.IFNA(VLOOKUP(AnalizaCzyste[[#This Row],[Zakończono wypełnianie]],Zakończone[],2,0),"BRAK")</f>
        <v>134</v>
      </c>
      <c r="C29" s="62">
        <f t="shared" si="0"/>
        <v>62</v>
      </c>
      <c r="D29" s="62" t="s">
        <v>2015</v>
      </c>
      <c r="E29" s="62" t="s">
        <v>2016</v>
      </c>
      <c r="F29" s="62">
        <v>1430</v>
      </c>
      <c r="G29" s="59" t="s">
        <v>2292</v>
      </c>
      <c r="H29" s="59" t="s">
        <v>2292</v>
      </c>
      <c r="I29" s="59" t="s">
        <v>2482</v>
      </c>
      <c r="J29" s="59" t="str">
        <f>"("&amp;"ID:"&amp;AnalizaCzyste[[#This Row],[Lp. wywiadu]]&amp;"; "&amp;AnalizaCzyste[[#This Row],[Czy kierunek techniczny?]]&amp;"; "&amp;MID(AnalizaCzyste[[#This Row],[Info metryczkowe]],2,40)</f>
        <v>(ID:27; Tech; A_R_WŁ; 4; m; C; t/n)</v>
      </c>
      <c r="K29" s="55" t="s">
        <v>2693</v>
      </c>
      <c r="L29" s="55"/>
      <c r="M29" s="55"/>
      <c r="N29" s="55"/>
      <c r="O29" s="55" t="s">
        <v>2503</v>
      </c>
      <c r="P29" s="55" t="s">
        <v>2692</v>
      </c>
      <c r="Q29" s="55" t="s">
        <v>2691</v>
      </c>
      <c r="R29" s="55" t="s">
        <v>2690</v>
      </c>
      <c r="S29" s="60" t="s">
        <v>2689</v>
      </c>
      <c r="T29" s="60" t="s">
        <v>2688</v>
      </c>
      <c r="U29" s="63" t="s">
        <v>2296</v>
      </c>
      <c r="V29" s="63"/>
      <c r="W29" s="63" t="s">
        <v>2770</v>
      </c>
      <c r="X29" s="63"/>
      <c r="Y29" s="63"/>
      <c r="Z29" s="63"/>
      <c r="AA29" s="63"/>
      <c r="AB29" s="63"/>
      <c r="AC29" s="60" t="s">
        <v>2687</v>
      </c>
      <c r="AD29" s="55" t="s">
        <v>2755</v>
      </c>
      <c r="AE29" s="55" t="s">
        <v>2764</v>
      </c>
      <c r="AF29" s="55" t="str">
        <f>VLOOKUP(AnalizaCzyste[[#This Row],[Jak się nazywa uczelnia którą ukończyłeś? (proszę o wybranie jednej uczelni podlegającej ocenie)]],KategorieUczelni[],3,0)</f>
        <v>Techniczna</v>
      </c>
      <c r="AG29" s="55" t="str">
        <f>MID(AnalizaCzyste[[#This Row],[Info metryczkowe]],2,40)</f>
        <v>A_R_WŁ; 4; m; C; t/n)</v>
      </c>
      <c r="AH29" s="55"/>
      <c r="AI29" s="1" t="s">
        <v>123</v>
      </c>
      <c r="AY29" s="56" t="s">
        <v>124</v>
      </c>
      <c r="AZ29" t="s">
        <v>191</v>
      </c>
      <c r="BA29" t="str">
        <f>VLOOKUP(AnalizaCzyste[[#This Row],[Jak się nazywa uczelnia którą ukończyłeś? (proszę o wybranie jednej uczelni podlegającej ocenie)]],KategorieUczelni[],2,0)</f>
        <v>Publiczna</v>
      </c>
      <c r="BB29">
        <v>1989</v>
      </c>
      <c r="BC29" t="s">
        <v>126</v>
      </c>
      <c r="BD29" t="s">
        <v>2017</v>
      </c>
      <c r="BE29" t="s">
        <v>150</v>
      </c>
      <c r="BF29" t="s">
        <v>150</v>
      </c>
      <c r="BG29" t="s">
        <v>162</v>
      </c>
      <c r="BH29" t="s">
        <v>162</v>
      </c>
      <c r="BI29" t="s">
        <v>162</v>
      </c>
      <c r="BJ29">
        <v>0</v>
      </c>
      <c r="BK29" t="s">
        <v>226</v>
      </c>
      <c r="BL29" t="s">
        <v>226</v>
      </c>
      <c r="BM29" t="s">
        <v>2018</v>
      </c>
      <c r="BN29" t="s">
        <v>1229</v>
      </c>
      <c r="BO29" t="s">
        <v>1229</v>
      </c>
      <c r="BP29" t="s">
        <v>157</v>
      </c>
      <c r="BQ29" t="s">
        <v>1271</v>
      </c>
      <c r="BR29" s="56" t="s">
        <v>159</v>
      </c>
      <c r="BS29">
        <v>1</v>
      </c>
      <c r="BT29" t="s">
        <v>191</v>
      </c>
      <c r="BU29">
        <v>2016</v>
      </c>
      <c r="BV29" t="s">
        <v>126</v>
      </c>
      <c r="BW29" t="s">
        <v>2019</v>
      </c>
      <c r="BX29" t="s">
        <v>150</v>
      </c>
      <c r="BY29" t="s">
        <v>150</v>
      </c>
      <c r="BZ29" t="s">
        <v>151</v>
      </c>
      <c r="CA29" t="s">
        <v>128</v>
      </c>
      <c r="CB29" t="s">
        <v>162</v>
      </c>
      <c r="CC29" t="s">
        <v>2020</v>
      </c>
      <c r="CD29" t="s">
        <v>2021</v>
      </c>
      <c r="CE29" t="s">
        <v>157</v>
      </c>
      <c r="CH29" t="s">
        <v>173</v>
      </c>
      <c r="DL29" s="1" t="s">
        <v>123</v>
      </c>
      <c r="DV29" s="1" t="s">
        <v>123</v>
      </c>
      <c r="EF29" s="1" t="s">
        <v>123</v>
      </c>
      <c r="FI29" s="1" t="s">
        <v>123</v>
      </c>
      <c r="GI29" s="56" t="s">
        <v>2022</v>
      </c>
      <c r="GJ29" t="s">
        <v>2023</v>
      </c>
      <c r="GK29" t="s">
        <v>2024</v>
      </c>
      <c r="GL29">
        <v>1</v>
      </c>
      <c r="GM29" t="s">
        <v>191</v>
      </c>
      <c r="GN29" t="s">
        <v>150</v>
      </c>
      <c r="GO29" t="s">
        <v>150</v>
      </c>
      <c r="GP29" t="s">
        <v>150</v>
      </c>
      <c r="GQ29" t="s">
        <v>150</v>
      </c>
      <c r="GR29" t="s">
        <v>150</v>
      </c>
      <c r="GS29" t="s">
        <v>150</v>
      </c>
      <c r="GT29" t="s">
        <v>150</v>
      </c>
      <c r="GV29" t="s">
        <v>2025</v>
      </c>
      <c r="GW29" t="s">
        <v>173</v>
      </c>
      <c r="HQ29" t="s">
        <v>1229</v>
      </c>
      <c r="HR29" t="s">
        <v>1229</v>
      </c>
      <c r="HS29" t="s">
        <v>1229</v>
      </c>
      <c r="HT29" t="s">
        <v>186</v>
      </c>
      <c r="HU29">
        <v>1965</v>
      </c>
      <c r="HV29" t="str">
        <f>VLOOKUP(AnalizaCzyste[[#This Row],[Rok urodzenia]],KategorieWiekowe[],2,1)</f>
        <v>46–55 lat</v>
      </c>
      <c r="HW29" t="s">
        <v>220</v>
      </c>
      <c r="HY29" t="s">
        <v>2026</v>
      </c>
      <c r="IA29" t="s">
        <v>2027</v>
      </c>
    </row>
    <row r="30" spans="1:235" ht="56.35" customHeight="1" x14ac:dyDescent="0.45">
      <c r="A30" s="62">
        <v>28</v>
      </c>
      <c r="B30" s="62">
        <f>_xlfn.IFNA(VLOOKUP(AnalizaCzyste[[#This Row],[Zakończono wypełnianie]],Zakończone[],2,0),"BRAK")</f>
        <v>135</v>
      </c>
      <c r="C30" s="62">
        <f t="shared" si="0"/>
        <v>56</v>
      </c>
      <c r="D30" s="62" t="s">
        <v>2028</v>
      </c>
      <c r="E30" s="62" t="s">
        <v>2029</v>
      </c>
      <c r="F30" s="62">
        <v>721</v>
      </c>
      <c r="G30" s="59" t="s">
        <v>2292</v>
      </c>
      <c r="H30" s="59" t="s">
        <v>2292</v>
      </c>
      <c r="I30" s="59" t="s">
        <v>2483</v>
      </c>
      <c r="J30" s="59" t="str">
        <f>"("&amp;"ID:"&amp;AnalizaCzyste[[#This Row],[Lp. wywiadu]]&amp;"; "&amp;AnalizaCzyste[[#This Row],[Czy kierunek techniczny?]]&amp;"; "&amp;MID(AnalizaCzyste[[#This Row],[Info metryczkowe]],2,40)</f>
        <v>(ID:28; NTech; A_U; 5; m; F; t/n)</v>
      </c>
      <c r="K30" s="55" t="s">
        <v>2701</v>
      </c>
      <c r="L30" s="55"/>
      <c r="M30" s="55" t="s">
        <v>2700</v>
      </c>
      <c r="N30" s="55" t="s">
        <v>2699</v>
      </c>
      <c r="O30" s="55" t="s">
        <v>2503</v>
      </c>
      <c r="P30" s="55" t="s">
        <v>2698</v>
      </c>
      <c r="Q30" s="55" t="s">
        <v>2697</v>
      </c>
      <c r="R30" s="55" t="s">
        <v>2538</v>
      </c>
      <c r="S30" s="60" t="s">
        <v>2696</v>
      </c>
      <c r="T30" s="60" t="s">
        <v>2695</v>
      </c>
      <c r="U30" s="63" t="s">
        <v>2296</v>
      </c>
      <c r="V30" s="63" t="s">
        <v>2297</v>
      </c>
      <c r="W30" s="63" t="s">
        <v>2770</v>
      </c>
      <c r="X30" s="63"/>
      <c r="Y30" s="63" t="s">
        <v>2771</v>
      </c>
      <c r="Z30" s="63"/>
      <c r="AA30" s="63"/>
      <c r="AB30" s="63"/>
      <c r="AC30" s="60" t="s">
        <v>2694</v>
      </c>
      <c r="AD30" s="55" t="s">
        <v>2756</v>
      </c>
      <c r="AE30" s="55" t="s">
        <v>2767</v>
      </c>
      <c r="AF30" s="55" t="str">
        <f>VLOOKUP(AnalizaCzyste[[#This Row],[Jak się nazywa uczelnia którą ukończyłeś? (proszę o wybranie jednej uczelni podlegającej ocenie)]],KategorieUczelni[],3,0)</f>
        <v>Nietechniczna</v>
      </c>
      <c r="AG30" s="55" t="str">
        <f>MID(AnalizaCzyste[[#This Row],[Info metryczkowe]],2,40)</f>
        <v>A_U; 5; m; F; t/n)</v>
      </c>
      <c r="AH30" s="55"/>
      <c r="AI30" s="1" t="s">
        <v>123</v>
      </c>
      <c r="AY30" s="56" t="s">
        <v>124</v>
      </c>
      <c r="AZ30" t="s">
        <v>234</v>
      </c>
      <c r="BA30" t="str">
        <f>VLOOKUP(AnalizaCzyste[[#This Row],[Jak się nazywa uczelnia którą ukończyłeś? (proszę o wybranie jednej uczelni podlegającej ocenie)]],KategorieUczelni[],2,0)</f>
        <v>Publiczna</v>
      </c>
      <c r="BB30">
        <v>1985</v>
      </c>
      <c r="BC30" t="s">
        <v>148</v>
      </c>
      <c r="BD30" t="s">
        <v>2030</v>
      </c>
      <c r="BE30" t="s">
        <v>169</v>
      </c>
      <c r="BF30" t="s">
        <v>169</v>
      </c>
      <c r="BG30" t="s">
        <v>150</v>
      </c>
      <c r="BH30" t="s">
        <v>128</v>
      </c>
      <c r="BI30" t="s">
        <v>128</v>
      </c>
      <c r="BJ30">
        <v>4</v>
      </c>
      <c r="BK30" t="s">
        <v>131</v>
      </c>
      <c r="BL30" t="s">
        <v>131</v>
      </c>
      <c r="BM30" t="s">
        <v>2031</v>
      </c>
      <c r="BN30" t="s">
        <v>1229</v>
      </c>
      <c r="BO30" t="s">
        <v>1229</v>
      </c>
      <c r="BP30" t="s">
        <v>157</v>
      </c>
      <c r="BQ30" t="s">
        <v>2032</v>
      </c>
      <c r="BR30" s="1" t="s">
        <v>123</v>
      </c>
      <c r="DL30" s="1" t="s">
        <v>123</v>
      </c>
      <c r="DV30" s="1" t="s">
        <v>123</v>
      </c>
      <c r="EF30" s="56" t="s">
        <v>174</v>
      </c>
      <c r="EG30" t="s">
        <v>394</v>
      </c>
      <c r="EK30" t="s">
        <v>234</v>
      </c>
      <c r="EL30" t="s">
        <v>162</v>
      </c>
      <c r="EM30" t="s">
        <v>162</v>
      </c>
      <c r="EN30" t="s">
        <v>162</v>
      </c>
      <c r="EO30" t="s">
        <v>132</v>
      </c>
      <c r="EP30" t="s">
        <v>132</v>
      </c>
      <c r="EQ30" t="s">
        <v>132</v>
      </c>
      <c r="ER30" t="s">
        <v>162</v>
      </c>
      <c r="ES30">
        <v>20</v>
      </c>
      <c r="ET30">
        <v>60</v>
      </c>
      <c r="EU30">
        <v>0</v>
      </c>
      <c r="EV30">
        <v>0</v>
      </c>
      <c r="EW30">
        <v>0</v>
      </c>
      <c r="EX30">
        <v>20</v>
      </c>
      <c r="EY30">
        <v>0</v>
      </c>
      <c r="FA30">
        <v>20</v>
      </c>
      <c r="FB30">
        <v>60</v>
      </c>
      <c r="FC30">
        <v>0</v>
      </c>
      <c r="FD30">
        <v>0</v>
      </c>
      <c r="FE30">
        <v>0</v>
      </c>
      <c r="FF30">
        <v>20</v>
      </c>
      <c r="FG30">
        <v>0</v>
      </c>
      <c r="FI30" s="1" t="s">
        <v>123</v>
      </c>
      <c r="GI30" s="1" t="s">
        <v>123</v>
      </c>
      <c r="HQ30" t="s">
        <v>2033</v>
      </c>
      <c r="HR30" t="s">
        <v>1229</v>
      </c>
      <c r="HS30" t="s">
        <v>1229</v>
      </c>
      <c r="HT30" t="s">
        <v>186</v>
      </c>
      <c r="HU30">
        <v>1961</v>
      </c>
      <c r="HV30" t="str">
        <f>VLOOKUP(AnalizaCzyste[[#This Row],[Rok urodzenia]],KategorieWiekowe[],2,1)</f>
        <v>56–65 lat</v>
      </c>
      <c r="HW30" t="s">
        <v>141</v>
      </c>
    </row>
    <row r="31" spans="1:235" ht="56.35" customHeight="1" x14ac:dyDescent="0.45">
      <c r="A31" s="62">
        <v>29</v>
      </c>
      <c r="B31" s="62">
        <f>_xlfn.IFNA(VLOOKUP(AnalizaCzyste[[#This Row],[Zakończono wypełnianie]],Zakończone[],2,0),"BRAK")</f>
        <v>136</v>
      </c>
      <c r="C31" s="62">
        <f t="shared" si="0"/>
        <v>73</v>
      </c>
      <c r="D31" s="62" t="s">
        <v>2034</v>
      </c>
      <c r="E31" s="62" t="s">
        <v>2035</v>
      </c>
      <c r="F31" s="62">
        <v>1151</v>
      </c>
      <c r="G31" s="59" t="s">
        <v>2292</v>
      </c>
      <c r="H31" s="59" t="s">
        <v>2292</v>
      </c>
      <c r="I31" s="59" t="s">
        <v>2466</v>
      </c>
      <c r="J31" s="59" t="str">
        <f>"("&amp;"ID:"&amp;AnalizaCzyste[[#This Row],[Lp. wywiadu]]&amp;"; "&amp;AnalizaCzyste[[#This Row],[Czy kierunek techniczny?]]&amp;"; "&amp;MID(AnalizaCzyste[[#This Row],[Info metryczkowe]],2,40)</f>
        <v>(ID:29; NTech; A_R_P; 5; m; F; n/t)</v>
      </c>
      <c r="K31" s="55"/>
      <c r="L31" s="55"/>
      <c r="M31" s="55" t="s">
        <v>2707</v>
      </c>
      <c r="N31" s="55"/>
      <c r="O31" s="55" t="s">
        <v>2503</v>
      </c>
      <c r="P31" s="55" t="s">
        <v>2705</v>
      </c>
      <c r="Q31" s="55"/>
      <c r="R31" s="55" t="s">
        <v>2706</v>
      </c>
      <c r="S31" s="60" t="s">
        <v>2704</v>
      </c>
      <c r="T31" s="60" t="s">
        <v>2703</v>
      </c>
      <c r="U31" s="63" t="s">
        <v>2296</v>
      </c>
      <c r="V31" s="63" t="s">
        <v>2297</v>
      </c>
      <c r="W31" s="63"/>
      <c r="X31" s="63" t="s">
        <v>2772</v>
      </c>
      <c r="Y31" s="63"/>
      <c r="Z31" s="63"/>
      <c r="AA31" s="63"/>
      <c r="AB31" s="63"/>
      <c r="AC31" s="60" t="s">
        <v>2702</v>
      </c>
      <c r="AD31" s="55" t="s">
        <v>2769</v>
      </c>
      <c r="AE31" s="55" t="s">
        <v>2767</v>
      </c>
      <c r="AF31" s="55" t="str">
        <f>VLOOKUP(AnalizaCzyste[[#This Row],[Jak się nazywa uczelnia którą ukończyłeś? (proszę o wybranie jednej uczelni podlegającej ocenie)]],KategorieUczelni[],3,0)</f>
        <v>Nietechniczna</v>
      </c>
      <c r="AG31" s="55" t="str">
        <f>MID(AnalizaCzyste[[#This Row],[Info metryczkowe]],2,40)</f>
        <v>A_R_P; 5; m; F; n/t)</v>
      </c>
      <c r="AH31" s="55"/>
      <c r="AI31" s="1" t="s">
        <v>123</v>
      </c>
      <c r="AY31" s="56" t="s">
        <v>124</v>
      </c>
      <c r="AZ31" t="s">
        <v>223</v>
      </c>
      <c r="BA31" t="str">
        <f>VLOOKUP(AnalizaCzyste[[#This Row],[Jak się nazywa uczelnia którą ukończyłeś? (proszę o wybranie jednej uczelni podlegającej ocenie)]],KategorieUczelni[],2,0)</f>
        <v>Publiczna</v>
      </c>
      <c r="BB31">
        <v>1987</v>
      </c>
      <c r="BC31" t="s">
        <v>148</v>
      </c>
      <c r="BD31" t="s">
        <v>554</v>
      </c>
      <c r="BE31" t="s">
        <v>132</v>
      </c>
      <c r="BF31" t="s">
        <v>132</v>
      </c>
      <c r="BG31" t="s">
        <v>132</v>
      </c>
      <c r="BH31" t="s">
        <v>132</v>
      </c>
      <c r="BI31" t="s">
        <v>132</v>
      </c>
      <c r="BJ31" t="s">
        <v>2036</v>
      </c>
      <c r="BK31" t="s">
        <v>132</v>
      </c>
      <c r="BL31" t="s">
        <v>132</v>
      </c>
      <c r="BN31" t="s">
        <v>1229</v>
      </c>
      <c r="BO31" t="s">
        <v>1229</v>
      </c>
      <c r="BP31" t="s">
        <v>157</v>
      </c>
      <c r="BQ31" t="s">
        <v>2037</v>
      </c>
      <c r="BR31" s="56" t="s">
        <v>159</v>
      </c>
      <c r="BS31">
        <v>3</v>
      </c>
      <c r="BT31" t="s">
        <v>191</v>
      </c>
      <c r="BU31">
        <v>2020</v>
      </c>
      <c r="BV31" t="s">
        <v>126</v>
      </c>
      <c r="BW31" t="s">
        <v>2038</v>
      </c>
      <c r="BX31" t="s">
        <v>150</v>
      </c>
      <c r="BY31" t="s">
        <v>162</v>
      </c>
      <c r="BZ31" t="s">
        <v>169</v>
      </c>
      <c r="CA31" t="s">
        <v>150</v>
      </c>
      <c r="CB31" t="s">
        <v>132</v>
      </c>
      <c r="CC31" t="s">
        <v>2039</v>
      </c>
      <c r="CD31" t="s">
        <v>2040</v>
      </c>
      <c r="CE31" t="s">
        <v>157</v>
      </c>
      <c r="CH31" t="s">
        <v>166</v>
      </c>
      <c r="CI31" t="s">
        <v>191</v>
      </c>
      <c r="CJ31">
        <v>2013</v>
      </c>
      <c r="CK31" t="s">
        <v>126</v>
      </c>
      <c r="CL31" t="s">
        <v>1867</v>
      </c>
      <c r="CM31" t="s">
        <v>162</v>
      </c>
      <c r="CN31" t="s">
        <v>150</v>
      </c>
      <c r="CO31" t="s">
        <v>162</v>
      </c>
      <c r="CP31" t="s">
        <v>162</v>
      </c>
      <c r="CQ31" t="s">
        <v>162</v>
      </c>
      <c r="CR31" t="s">
        <v>237</v>
      </c>
      <c r="CT31" t="s">
        <v>157</v>
      </c>
      <c r="CV31" t="s">
        <v>2041</v>
      </c>
      <c r="CW31" t="s">
        <v>238</v>
      </c>
      <c r="CX31" t="s">
        <v>191</v>
      </c>
      <c r="CY31">
        <v>2016</v>
      </c>
      <c r="CZ31" t="s">
        <v>126</v>
      </c>
      <c r="DA31" t="s">
        <v>2042</v>
      </c>
      <c r="DB31" t="s">
        <v>151</v>
      </c>
      <c r="DC31" t="s">
        <v>162</v>
      </c>
      <c r="DD31" t="s">
        <v>150</v>
      </c>
      <c r="DE31" t="s">
        <v>169</v>
      </c>
      <c r="DF31" t="s">
        <v>150</v>
      </c>
      <c r="DG31" t="s">
        <v>237</v>
      </c>
      <c r="DH31" t="s">
        <v>2043</v>
      </c>
      <c r="DI31" t="s">
        <v>157</v>
      </c>
      <c r="DL31" s="1" t="s">
        <v>123</v>
      </c>
      <c r="DV31" s="1" t="s">
        <v>123</v>
      </c>
      <c r="EF31" s="1" t="s">
        <v>123</v>
      </c>
      <c r="FI31" s="56" t="s">
        <v>2487</v>
      </c>
      <c r="GI31" s="1" t="s">
        <v>123</v>
      </c>
      <c r="HQ31" t="s">
        <v>1229</v>
      </c>
      <c r="HR31" t="s">
        <v>1229</v>
      </c>
      <c r="HS31" t="s">
        <v>1229</v>
      </c>
      <c r="HT31" t="s">
        <v>186</v>
      </c>
      <c r="HU31">
        <v>1962</v>
      </c>
      <c r="HV31" t="str">
        <f>VLOOKUP(AnalizaCzyste[[#This Row],[Rok urodzenia]],KategorieWiekowe[],2,1)</f>
        <v>56–65 lat</v>
      </c>
      <c r="HW31" t="s">
        <v>141</v>
      </c>
      <c r="HZ31" t="s">
        <v>2044</v>
      </c>
      <c r="IA31" t="s">
        <v>2045</v>
      </c>
    </row>
    <row r="32" spans="1:235" ht="56.35" customHeight="1" x14ac:dyDescent="0.45">
      <c r="A32" s="62">
        <v>30</v>
      </c>
      <c r="B32" s="62">
        <f>_xlfn.IFNA(VLOOKUP(AnalizaCzyste[[#This Row],[Zakończono wypełnianie]],Zakończone[],2,0),"BRAK")</f>
        <v>137</v>
      </c>
      <c r="C32" s="62">
        <f t="shared" si="0"/>
        <v>67</v>
      </c>
      <c r="D32" s="62" t="s">
        <v>2046</v>
      </c>
      <c r="E32" s="62" t="s">
        <v>2047</v>
      </c>
      <c r="F32" s="62">
        <v>707</v>
      </c>
      <c r="G32" s="59" t="s">
        <v>2292</v>
      </c>
      <c r="H32" s="59" t="s">
        <v>2292</v>
      </c>
      <c r="I32" s="59" t="s">
        <v>2465</v>
      </c>
      <c r="J32" s="59" t="str">
        <f>"("&amp;"ID:"&amp;AnalizaCzyste[[#This Row],[Lp. wywiadu]]&amp;"; "&amp;AnalizaCzyste[[#This Row],[Czy kierunek techniczny?]]&amp;"; "&amp;MID(AnalizaCzyste[[#This Row],[Info metryczkowe]],2,40)</f>
        <v>(ID:30; Tech; A_R_P; 5; m; F; t/n)</v>
      </c>
      <c r="K32" s="55"/>
      <c r="L32" s="55"/>
      <c r="M32" s="55"/>
      <c r="N32" s="55" t="s">
        <v>1593</v>
      </c>
      <c r="O32" s="55" t="s">
        <v>2503</v>
      </c>
      <c r="P32" s="55" t="s">
        <v>2711</v>
      </c>
      <c r="Q32" s="55" t="s">
        <v>126</v>
      </c>
      <c r="R32" s="55" t="s">
        <v>2538</v>
      </c>
      <c r="S32" s="60" t="s">
        <v>2710</v>
      </c>
      <c r="T32" s="60" t="s">
        <v>2709</v>
      </c>
      <c r="U32" s="63" t="s">
        <v>2296</v>
      </c>
      <c r="V32" s="63" t="s">
        <v>2297</v>
      </c>
      <c r="W32" s="63"/>
      <c r="X32" s="63"/>
      <c r="Y32" s="63"/>
      <c r="Z32" s="63"/>
      <c r="AA32" s="63"/>
      <c r="AB32" s="63"/>
      <c r="AC32" s="60" t="s">
        <v>2708</v>
      </c>
      <c r="AD32" s="55" t="s">
        <v>2757</v>
      </c>
      <c r="AE32" s="55" t="s">
        <v>2764</v>
      </c>
      <c r="AF32" s="55" t="str">
        <f>VLOOKUP(AnalizaCzyste[[#This Row],[Jak się nazywa uczelnia którą ukończyłeś? (proszę o wybranie jednej uczelni podlegającej ocenie)]],KategorieUczelni[],3,0)</f>
        <v>Techniczna</v>
      </c>
      <c r="AG32" s="55" t="str">
        <f>MID(AnalizaCzyste[[#This Row],[Info metryczkowe]],2,40)</f>
        <v>A_R_P; 5; m; F; t/n)</v>
      </c>
      <c r="AH32" s="55"/>
      <c r="AI32" s="1" t="s">
        <v>123</v>
      </c>
      <c r="AY32" s="56" t="s">
        <v>124</v>
      </c>
      <c r="AZ32" t="s">
        <v>191</v>
      </c>
      <c r="BA32" t="str">
        <f>VLOOKUP(AnalizaCzyste[[#This Row],[Jak się nazywa uczelnia którą ukończyłeś? (proszę o wybranie jednej uczelni podlegającej ocenie)]],KategorieUczelni[],2,0)</f>
        <v>Publiczna</v>
      </c>
      <c r="BB32">
        <v>1985</v>
      </c>
      <c r="BC32" t="s">
        <v>126</v>
      </c>
      <c r="BD32" t="s">
        <v>2017</v>
      </c>
      <c r="BE32" t="s">
        <v>150</v>
      </c>
      <c r="BF32" t="s">
        <v>150</v>
      </c>
      <c r="BG32" t="s">
        <v>151</v>
      </c>
      <c r="BH32" t="s">
        <v>236</v>
      </c>
      <c r="BI32" t="s">
        <v>150</v>
      </c>
      <c r="BJ32" t="s">
        <v>237</v>
      </c>
      <c r="BK32" t="s">
        <v>152</v>
      </c>
      <c r="BL32" t="s">
        <v>759</v>
      </c>
      <c r="BM32" t="s">
        <v>2048</v>
      </c>
      <c r="BN32" t="s">
        <v>1229</v>
      </c>
      <c r="BO32" t="s">
        <v>1229</v>
      </c>
      <c r="BP32" t="s">
        <v>157</v>
      </c>
      <c r="BQ32" t="s">
        <v>2032</v>
      </c>
      <c r="BR32" s="56" t="s">
        <v>159</v>
      </c>
      <c r="BS32">
        <v>1</v>
      </c>
      <c r="BT32" t="s">
        <v>191</v>
      </c>
      <c r="BU32">
        <v>2018</v>
      </c>
      <c r="BV32" t="s">
        <v>126</v>
      </c>
      <c r="BW32" t="s">
        <v>2049</v>
      </c>
      <c r="BX32" t="s">
        <v>151</v>
      </c>
      <c r="BY32" t="s">
        <v>151</v>
      </c>
      <c r="BZ32" t="s">
        <v>128</v>
      </c>
      <c r="CA32" t="s">
        <v>162</v>
      </c>
      <c r="CB32" t="s">
        <v>132</v>
      </c>
      <c r="CC32">
        <v>12</v>
      </c>
      <c r="CD32" t="s">
        <v>2050</v>
      </c>
      <c r="CE32" t="s">
        <v>157</v>
      </c>
      <c r="CH32" t="s">
        <v>173</v>
      </c>
      <c r="DL32" s="1" t="s">
        <v>123</v>
      </c>
      <c r="DV32" s="1" t="s">
        <v>123</v>
      </c>
      <c r="EF32" s="1" t="s">
        <v>123</v>
      </c>
      <c r="FI32" s="56" t="s">
        <v>177</v>
      </c>
      <c r="FJ32" t="s">
        <v>178</v>
      </c>
      <c r="FK32">
        <v>2</v>
      </c>
      <c r="FL32" t="s">
        <v>191</v>
      </c>
      <c r="FM32" t="s">
        <v>151</v>
      </c>
      <c r="FN32" t="s">
        <v>162</v>
      </c>
      <c r="FO32" t="s">
        <v>151</v>
      </c>
      <c r="FP32" t="s">
        <v>178</v>
      </c>
      <c r="FQ32" t="s">
        <v>2051</v>
      </c>
      <c r="FR32" t="s">
        <v>2052</v>
      </c>
      <c r="FS32" t="s">
        <v>1206</v>
      </c>
      <c r="FT32" t="s">
        <v>223</v>
      </c>
      <c r="FU32" t="s">
        <v>162</v>
      </c>
      <c r="FV32" t="s">
        <v>162</v>
      </c>
      <c r="FW32" t="s">
        <v>151</v>
      </c>
      <c r="FX32" t="s">
        <v>178</v>
      </c>
      <c r="FY32" t="s">
        <v>2053</v>
      </c>
      <c r="FZ32" t="s">
        <v>2054</v>
      </c>
      <c r="GA32" t="s">
        <v>173</v>
      </c>
      <c r="GI32" s="1" t="s">
        <v>123</v>
      </c>
      <c r="HQ32" t="s">
        <v>1229</v>
      </c>
      <c r="HR32" t="s">
        <v>1229</v>
      </c>
      <c r="HS32" t="s">
        <v>1229</v>
      </c>
      <c r="HT32" t="s">
        <v>186</v>
      </c>
      <c r="HU32">
        <v>1959</v>
      </c>
      <c r="HV32" t="str">
        <f>VLOOKUP(AnalizaCzyste[[#This Row],[Rok urodzenia]],KategorieWiekowe[],2,1)</f>
        <v>56–65 lat</v>
      </c>
      <c r="HW32" t="s">
        <v>141</v>
      </c>
      <c r="HY32" t="s">
        <v>2055</v>
      </c>
      <c r="IA32" t="s">
        <v>2056</v>
      </c>
    </row>
    <row r="33" spans="1:235" ht="56.35" customHeight="1" x14ac:dyDescent="0.45">
      <c r="A33" s="62">
        <v>31</v>
      </c>
      <c r="B33" s="62">
        <f>_xlfn.IFNA(VLOOKUP(AnalizaCzyste[[#This Row],[Zakończono wypełnianie]],Zakończone[],2,0),"BRAK")</f>
        <v>138</v>
      </c>
      <c r="C33" s="62">
        <f t="shared" si="0"/>
        <v>62</v>
      </c>
      <c r="D33" s="62" t="s">
        <v>2057</v>
      </c>
      <c r="E33" s="62" t="s">
        <v>2058</v>
      </c>
      <c r="F33" s="62">
        <v>616</v>
      </c>
      <c r="G33" s="59" t="s">
        <v>2292</v>
      </c>
      <c r="H33" s="59" t="s">
        <v>2293</v>
      </c>
      <c r="I33" s="59" t="s">
        <v>2464</v>
      </c>
      <c r="J33" s="59" t="str">
        <f>"("&amp;"ID:"&amp;AnalizaCzyste[[#This Row],[Lp. wywiadu]]&amp;"; "&amp;AnalizaCzyste[[#This Row],[Czy kierunek techniczny?]]&amp;"; "&amp;MID(AnalizaCzyste[[#This Row],[Info metryczkowe]],2,40)</f>
        <v>(ID:31; NTech; A_R_WŁ; 4; m; C; t/n)</v>
      </c>
      <c r="K33" s="55"/>
      <c r="L33" s="55"/>
      <c r="M33" s="55"/>
      <c r="N33" s="55" t="s">
        <v>1593</v>
      </c>
      <c r="O33" s="55" t="s">
        <v>2503</v>
      </c>
      <c r="P33" s="55" t="s">
        <v>178</v>
      </c>
      <c r="Q33" s="55" t="s">
        <v>2716</v>
      </c>
      <c r="R33" s="55" t="s">
        <v>2715</v>
      </c>
      <c r="S33" s="60" t="s">
        <v>2714</v>
      </c>
      <c r="T33" s="60" t="s">
        <v>2713</v>
      </c>
      <c r="U33" s="63"/>
      <c r="V33" s="63"/>
      <c r="W33" s="63" t="s">
        <v>2770</v>
      </c>
      <c r="X33" s="63" t="s">
        <v>2772</v>
      </c>
      <c r="Y33" s="63"/>
      <c r="Z33" s="63"/>
      <c r="AA33" s="63"/>
      <c r="AB33" s="63"/>
      <c r="AC33" s="60" t="s">
        <v>2712</v>
      </c>
      <c r="AD33" s="55" t="s">
        <v>2755</v>
      </c>
      <c r="AE33" s="55" t="s">
        <v>2767</v>
      </c>
      <c r="AF33" s="55" t="str">
        <f>VLOOKUP(AnalizaCzyste[[#This Row],[Jak się nazywa uczelnia którą ukończyłeś? (proszę o wybranie jednej uczelni podlegającej ocenie)]],KategorieUczelni[],3,0)</f>
        <v>Nietechniczna</v>
      </c>
      <c r="AG33" s="55" t="str">
        <f>MID(AnalizaCzyste[[#This Row],[Info metryczkowe]],2,40)</f>
        <v>A_R_WŁ; 4; m; C; t/n)</v>
      </c>
      <c r="AH33" s="55"/>
      <c r="AI33" s="1" t="s">
        <v>123</v>
      </c>
      <c r="AY33" s="56" t="s">
        <v>124</v>
      </c>
      <c r="AZ33" t="s">
        <v>223</v>
      </c>
      <c r="BA33" t="str">
        <f>VLOOKUP(AnalizaCzyste[[#This Row],[Jak się nazywa uczelnia którą ukończyłeś? (proszę o wybranie jednej uczelni podlegającej ocenie)]],KategorieUczelni[],2,0)</f>
        <v>Publiczna</v>
      </c>
      <c r="BB33">
        <v>1992</v>
      </c>
      <c r="BC33" t="s">
        <v>148</v>
      </c>
      <c r="BD33" t="s">
        <v>2059</v>
      </c>
      <c r="BE33" t="s">
        <v>150</v>
      </c>
      <c r="BF33" t="s">
        <v>169</v>
      </c>
      <c r="BG33" t="s">
        <v>150</v>
      </c>
      <c r="BH33" t="s">
        <v>151</v>
      </c>
      <c r="BI33" t="s">
        <v>162</v>
      </c>
      <c r="BJ33">
        <v>0</v>
      </c>
      <c r="BK33" t="s">
        <v>131</v>
      </c>
      <c r="BL33" t="s">
        <v>302</v>
      </c>
      <c r="BM33" t="s">
        <v>2060</v>
      </c>
      <c r="BN33" t="s">
        <v>1229</v>
      </c>
      <c r="BO33" t="s">
        <v>1229</v>
      </c>
      <c r="BP33" t="s">
        <v>157</v>
      </c>
      <c r="BQ33" t="s">
        <v>2032</v>
      </c>
      <c r="BR33" s="56" t="s">
        <v>159</v>
      </c>
      <c r="BS33">
        <v>1</v>
      </c>
      <c r="BT33" t="s">
        <v>445</v>
      </c>
      <c r="BU33">
        <v>2019</v>
      </c>
      <c r="BV33" t="s">
        <v>148</v>
      </c>
      <c r="BW33" t="s">
        <v>461</v>
      </c>
      <c r="BX33" t="s">
        <v>169</v>
      </c>
      <c r="BY33" t="s">
        <v>169</v>
      </c>
      <c r="BZ33" t="s">
        <v>169</v>
      </c>
      <c r="CA33" t="s">
        <v>169</v>
      </c>
      <c r="CB33" t="s">
        <v>132</v>
      </c>
      <c r="CC33" t="s">
        <v>2020</v>
      </c>
      <c r="CD33" t="s">
        <v>2061</v>
      </c>
      <c r="CE33" t="s">
        <v>157</v>
      </c>
      <c r="CG33" t="s">
        <v>2062</v>
      </c>
      <c r="CH33" t="s">
        <v>173</v>
      </c>
      <c r="DL33" s="1" t="s">
        <v>123</v>
      </c>
      <c r="DV33" s="1" t="s">
        <v>123</v>
      </c>
      <c r="EF33" s="1" t="s">
        <v>123</v>
      </c>
      <c r="FI33" s="1" t="s">
        <v>123</v>
      </c>
      <c r="GI33" s="56" t="s">
        <v>2022</v>
      </c>
      <c r="GJ33" t="s">
        <v>2023</v>
      </c>
      <c r="GK33" t="s">
        <v>2063</v>
      </c>
      <c r="GL33">
        <v>1</v>
      </c>
      <c r="GM33" t="s">
        <v>191</v>
      </c>
      <c r="GN33" t="s">
        <v>150</v>
      </c>
      <c r="GO33" t="s">
        <v>150</v>
      </c>
      <c r="GP33" t="s">
        <v>169</v>
      </c>
      <c r="GQ33" t="s">
        <v>169</v>
      </c>
      <c r="GR33" t="s">
        <v>132</v>
      </c>
      <c r="GS33" t="s">
        <v>132</v>
      </c>
      <c r="GT33" t="s">
        <v>169</v>
      </c>
      <c r="GW33" t="s">
        <v>173</v>
      </c>
      <c r="HQ33" t="s">
        <v>1229</v>
      </c>
      <c r="HR33" t="s">
        <v>1229</v>
      </c>
      <c r="HS33" t="s">
        <v>1229</v>
      </c>
      <c r="HT33" t="s">
        <v>186</v>
      </c>
      <c r="HU33">
        <v>1968</v>
      </c>
      <c r="HV33" t="str">
        <f>VLOOKUP(AnalizaCzyste[[#This Row],[Rok urodzenia]],KategorieWiekowe[],2,1)</f>
        <v>46–55 lat</v>
      </c>
      <c r="HW33" t="s">
        <v>220</v>
      </c>
      <c r="HY33" t="s">
        <v>2055</v>
      </c>
      <c r="IA33" t="s">
        <v>2064</v>
      </c>
    </row>
    <row r="34" spans="1:235" ht="56.35" customHeight="1" x14ac:dyDescent="0.45">
      <c r="A34" s="62">
        <v>32</v>
      </c>
      <c r="B34" s="62" t="str">
        <f>_xlfn.IFNA(VLOOKUP(AnalizaCzyste[[#This Row],[Zakończono wypełnianie]],Zakończone[],2,0),"BRAK")</f>
        <v>BRAK</v>
      </c>
      <c r="C34" s="62">
        <f t="shared" si="0"/>
        <v>13</v>
      </c>
      <c r="D34" s="62"/>
      <c r="E34" s="62"/>
      <c r="F34" s="62"/>
      <c r="G34" s="59" t="s">
        <v>2292</v>
      </c>
      <c r="H34" s="59" t="s">
        <v>1593</v>
      </c>
      <c r="I34" s="59" t="s">
        <v>2484</v>
      </c>
      <c r="J34" s="59" t="str">
        <f>"("&amp;"ID:"&amp;AnalizaCzyste[[#This Row],[Lp. wywiadu]]&amp;"; "&amp;AnalizaCzyste[[#This Row],[Czy kierunek techniczny?]]&amp;"; "&amp;MID(AnalizaCzyste[[#This Row],[Info metryczkowe]],2,40)</f>
        <v>(ID:32; Tech; A_W; 4; m; F; t/n)</v>
      </c>
      <c r="K34" s="55" t="s">
        <v>2729</v>
      </c>
      <c r="L34" s="55"/>
      <c r="M34" s="55" t="s">
        <v>2727</v>
      </c>
      <c r="N34" s="55" t="s">
        <v>2726</v>
      </c>
      <c r="O34" s="55" t="s">
        <v>2724</v>
      </c>
      <c r="P34" s="55" t="s">
        <v>2723</v>
      </c>
      <c r="Q34" s="55" t="s">
        <v>2722</v>
      </c>
      <c r="R34" s="55" t="s">
        <v>2538</v>
      </c>
      <c r="S34" s="60" t="s">
        <v>2720</v>
      </c>
      <c r="T34" s="60" t="s">
        <v>2719</v>
      </c>
      <c r="U34" s="63" t="s">
        <v>2296</v>
      </c>
      <c r="V34" s="63"/>
      <c r="W34" s="63" t="s">
        <v>2770</v>
      </c>
      <c r="X34" s="63" t="s">
        <v>2772</v>
      </c>
      <c r="Y34" s="63" t="s">
        <v>2771</v>
      </c>
      <c r="Z34" s="63"/>
      <c r="AA34" s="63"/>
      <c r="AB34" s="63"/>
      <c r="AC34" s="60" t="s">
        <v>2786</v>
      </c>
      <c r="AD34" s="55" t="s">
        <v>2759</v>
      </c>
      <c r="AE34" s="55" t="s">
        <v>2764</v>
      </c>
      <c r="AF34" s="55" t="str">
        <f>VLOOKUP(AnalizaCzyste[[#This Row],[Jak się nazywa uczelnia którą ukończyłeś? (proszę o wybranie jednej uczelni podlegającej ocenie)]],KategorieUczelni[],3,0)</f>
        <v>Techniczna</v>
      </c>
      <c r="AG34" s="55" t="str">
        <f>MID(AnalizaCzyste[[#This Row],[Info metryczkowe]],2,40)</f>
        <v>A_W; 4; m; F; t/n)</v>
      </c>
      <c r="AH34" s="55"/>
      <c r="AI34" s="1" t="s">
        <v>123</v>
      </c>
      <c r="AY34" s="56" t="s">
        <v>124</v>
      </c>
      <c r="AZ34" s="42" t="s">
        <v>191</v>
      </c>
      <c r="BA34" t="str">
        <f>VLOOKUP(AnalizaCzyste[[#This Row],[Jak się nazywa uczelnia którą ukończyłeś? (proszę o wybranie jednej uczelni podlegającej ocenie)]],KategorieUczelni[],2,0)</f>
        <v>Publiczna</v>
      </c>
      <c r="BR34" s="1" t="s">
        <v>123</v>
      </c>
      <c r="DL34" s="1" t="s">
        <v>123</v>
      </c>
      <c r="DV34" s="56" t="s">
        <v>214</v>
      </c>
      <c r="EF34" s="1" t="s">
        <v>123</v>
      </c>
      <c r="FI34" s="1" t="s">
        <v>123</v>
      </c>
      <c r="GI34" s="1" t="s">
        <v>123</v>
      </c>
      <c r="HT34" t="s">
        <v>186</v>
      </c>
      <c r="HU34" s="42">
        <v>1972</v>
      </c>
      <c r="HV34" t="str">
        <f>VLOOKUP(AnalizaCzyste[[#This Row],[Rok urodzenia]],KategorieWiekowe[],2,1)</f>
        <v>46–55 lat</v>
      </c>
    </row>
    <row r="35" spans="1:235" ht="56.35" customHeight="1" x14ac:dyDescent="0.45">
      <c r="A35" s="62">
        <v>33</v>
      </c>
      <c r="B35" s="62" t="str">
        <f>_xlfn.IFNA(VLOOKUP(AnalizaCzyste[[#This Row],[Zakończono wypełnianie]],Zakończone[],2,0),"BRAK")</f>
        <v>BRAK</v>
      </c>
      <c r="C35" s="62">
        <f t="shared" si="0"/>
        <v>13</v>
      </c>
      <c r="D35" s="62"/>
      <c r="E35" s="62"/>
      <c r="F35" s="62"/>
      <c r="G35" s="59" t="s">
        <v>2292</v>
      </c>
      <c r="H35" s="59" t="s">
        <v>1593</v>
      </c>
      <c r="I35" s="59" t="s">
        <v>2485</v>
      </c>
      <c r="J35" s="59" t="str">
        <f>"("&amp;"ID:"&amp;AnalizaCzyste[[#This Row],[Lp. wywiadu]]&amp;"; "&amp;AnalizaCzyste[[#This Row],[Czy kierunek techniczny?]]&amp;"; "&amp;MID(AnalizaCzyste[[#This Row],[Info metryczkowe]],2,40)</f>
        <v>(ID:33; NTech; A_W; 3; k; F; t/n)</v>
      </c>
      <c r="K35" s="55" t="s">
        <v>2728</v>
      </c>
      <c r="L35" s="55"/>
      <c r="M35" s="55" t="s">
        <v>1593</v>
      </c>
      <c r="N35" s="55" t="s">
        <v>2725</v>
      </c>
      <c r="O35" s="55" t="s">
        <v>2724</v>
      </c>
      <c r="P35" s="55" t="s">
        <v>1593</v>
      </c>
      <c r="Q35" s="59" t="s">
        <v>2721</v>
      </c>
      <c r="R35" s="55" t="s">
        <v>2538</v>
      </c>
      <c r="S35" s="60" t="s">
        <v>2720</v>
      </c>
      <c r="T35" s="60" t="s">
        <v>2718</v>
      </c>
      <c r="U35" s="63" t="s">
        <v>2296</v>
      </c>
      <c r="V35" s="63"/>
      <c r="W35" s="63"/>
      <c r="X35" s="63" t="s">
        <v>2772</v>
      </c>
      <c r="Y35" s="63"/>
      <c r="Z35" s="63"/>
      <c r="AA35" s="63"/>
      <c r="AB35" s="63"/>
      <c r="AC35" s="60" t="s">
        <v>2717</v>
      </c>
      <c r="AD35" s="55" t="s">
        <v>2758</v>
      </c>
      <c r="AE35" s="55" t="s">
        <v>2767</v>
      </c>
      <c r="AF35" s="55" t="str">
        <f>VLOOKUP(AnalizaCzyste[[#This Row],[Jak się nazywa uczelnia którą ukończyłeś? (proszę o wybranie jednej uczelni podlegającej ocenie)]],KategorieUczelni[],3,0)</f>
        <v>Nietechniczna</v>
      </c>
      <c r="AG35" s="55" t="str">
        <f>MID(AnalizaCzyste[[#This Row],[Info metryczkowe]],2,40)</f>
        <v>A_W; 3; k; F; t/n)</v>
      </c>
      <c r="AH35" s="55"/>
      <c r="AI35" s="1" t="s">
        <v>123</v>
      </c>
      <c r="AY35" s="56" t="s">
        <v>124</v>
      </c>
      <c r="AZ35" s="42" t="s">
        <v>1472</v>
      </c>
      <c r="BA35" t="str">
        <f>VLOOKUP(AnalizaCzyste[[#This Row],[Jak się nazywa uczelnia którą ukończyłeś? (proszę o wybranie jednej uczelni podlegającej ocenie)]],KategorieUczelni[],2,0)</f>
        <v>Publiczna</v>
      </c>
      <c r="BR35" s="1" t="s">
        <v>123</v>
      </c>
      <c r="DL35" s="1" t="s">
        <v>123</v>
      </c>
      <c r="DV35" s="56" t="s">
        <v>214</v>
      </c>
      <c r="EF35" s="1" t="s">
        <v>123</v>
      </c>
      <c r="FI35" s="1" t="s">
        <v>123</v>
      </c>
      <c r="GI35" s="1" t="s">
        <v>123</v>
      </c>
      <c r="HT35" t="s">
        <v>140</v>
      </c>
      <c r="HU35">
        <v>1985</v>
      </c>
      <c r="HV35" t="str">
        <f>VLOOKUP(AnalizaCzyste[[#This Row],[Rok urodzenia]],KategorieWiekowe[],2,1)</f>
        <v>26–35 lat</v>
      </c>
    </row>
    <row r="36" spans="1:235" ht="14.65" thickBot="1" x14ac:dyDescent="0.5">
      <c r="U36" s="28">
        <f>COUNTA(AnalizaCzyste[Studenci])</f>
        <v>28</v>
      </c>
      <c r="V36" s="28">
        <f>COUNTA(AnalizaCzyste[Absolwenci])</f>
        <v>19</v>
      </c>
      <c r="W36" s="28">
        <f>COUNTA(AnalizaCzyste[Pracodawcy / Przemysł / Biznes])</f>
        <v>17</v>
      </c>
      <c r="X36" s="28">
        <f>COUNTA(AnalizaCzyste[Władze centralne / samorządowe ("państwo")])</f>
        <v>9</v>
      </c>
      <c r="Y36" s="28">
        <f>COUNTA(AnalizaCzyste[Pracownicy (naukowi/wykładowcy)])</f>
        <v>11</v>
      </c>
      <c r="Z36" s="28">
        <f>COUNTA(AnalizaCzyste[Rodzice])</f>
        <v>4</v>
      </c>
      <c r="AA36" s="28">
        <f>COUNTA(AnalizaCzyste[Inne uczelnie / ośrodki badawcze])</f>
        <v>2</v>
      </c>
      <c r="AB36" s="28">
        <f>COUNTA(AnalizaCzyste[Naród / Społeczeństwo])</f>
        <v>2</v>
      </c>
      <c r="AI36" s="6">
        <f t="shared" ref="AI36:AZ36" si="1">COUNTA((AI3:AI35))</f>
        <v>33</v>
      </c>
      <c r="AJ36" s="1">
        <f t="shared" si="1"/>
        <v>2</v>
      </c>
      <c r="AK36" s="1">
        <f t="shared" si="1"/>
        <v>2</v>
      </c>
      <c r="AL36" s="1">
        <f t="shared" si="1"/>
        <v>2</v>
      </c>
      <c r="AM36" s="1">
        <f t="shared" si="1"/>
        <v>2</v>
      </c>
      <c r="AN36" s="1">
        <f t="shared" si="1"/>
        <v>2</v>
      </c>
      <c r="AO36" s="1">
        <f t="shared" si="1"/>
        <v>2</v>
      </c>
      <c r="AP36" s="1">
        <f t="shared" si="1"/>
        <v>2</v>
      </c>
      <c r="AQ36" s="1">
        <f t="shared" si="1"/>
        <v>2</v>
      </c>
      <c r="AR36" s="1">
        <f t="shared" si="1"/>
        <v>2</v>
      </c>
      <c r="AS36" s="1">
        <f t="shared" si="1"/>
        <v>2</v>
      </c>
      <c r="AT36" s="1">
        <f t="shared" si="1"/>
        <v>2</v>
      </c>
      <c r="AU36" s="1">
        <f t="shared" si="1"/>
        <v>2</v>
      </c>
      <c r="AV36" s="1">
        <f t="shared" si="1"/>
        <v>1</v>
      </c>
      <c r="AW36" s="1">
        <f t="shared" si="1"/>
        <v>1</v>
      </c>
      <c r="AX36" s="1">
        <f t="shared" si="1"/>
        <v>2</v>
      </c>
      <c r="AY36" s="6">
        <f t="shared" si="1"/>
        <v>33</v>
      </c>
      <c r="AZ36" s="1">
        <f t="shared" si="1"/>
        <v>33</v>
      </c>
      <c r="BA36" s="1"/>
      <c r="BB36" s="1">
        <f t="shared" ref="BB36:CG36" si="2">COUNTA((BB3:BB35))</f>
        <v>29</v>
      </c>
      <c r="BC36" s="1">
        <f t="shared" si="2"/>
        <v>29</v>
      </c>
      <c r="BD36" s="1">
        <f t="shared" si="2"/>
        <v>29</v>
      </c>
      <c r="BE36" s="1">
        <f t="shared" si="2"/>
        <v>29</v>
      </c>
      <c r="BF36" s="1">
        <f t="shared" si="2"/>
        <v>29</v>
      </c>
      <c r="BG36" s="1">
        <f t="shared" si="2"/>
        <v>29</v>
      </c>
      <c r="BH36" s="1">
        <f t="shared" si="2"/>
        <v>29</v>
      </c>
      <c r="BI36" s="1">
        <f t="shared" si="2"/>
        <v>29</v>
      </c>
      <c r="BJ36" s="1">
        <f t="shared" si="2"/>
        <v>29</v>
      </c>
      <c r="BK36" s="1">
        <f t="shared" si="2"/>
        <v>29</v>
      </c>
      <c r="BL36" s="1">
        <f t="shared" si="2"/>
        <v>29</v>
      </c>
      <c r="BM36" s="1">
        <f t="shared" si="2"/>
        <v>28</v>
      </c>
      <c r="BN36" s="1">
        <f t="shared" si="2"/>
        <v>29</v>
      </c>
      <c r="BO36" s="1">
        <f t="shared" si="2"/>
        <v>29</v>
      </c>
      <c r="BP36" s="1">
        <f t="shared" si="2"/>
        <v>26</v>
      </c>
      <c r="BQ36" s="1">
        <f t="shared" si="2"/>
        <v>13</v>
      </c>
      <c r="BR36" s="6">
        <f t="shared" si="2"/>
        <v>33</v>
      </c>
      <c r="BS36" s="1">
        <f t="shared" si="2"/>
        <v>12</v>
      </c>
      <c r="BT36" s="1">
        <f t="shared" si="2"/>
        <v>12</v>
      </c>
      <c r="BU36" s="1">
        <f t="shared" si="2"/>
        <v>12</v>
      </c>
      <c r="BV36" s="1">
        <f t="shared" si="2"/>
        <v>12</v>
      </c>
      <c r="BW36" s="1">
        <f t="shared" si="2"/>
        <v>12</v>
      </c>
      <c r="BX36" s="1">
        <f t="shared" si="2"/>
        <v>12</v>
      </c>
      <c r="BY36" s="1">
        <f t="shared" si="2"/>
        <v>12</v>
      </c>
      <c r="BZ36" s="1">
        <f t="shared" si="2"/>
        <v>12</v>
      </c>
      <c r="CA36" s="1">
        <f t="shared" si="2"/>
        <v>12</v>
      </c>
      <c r="CB36" s="1">
        <f t="shared" si="2"/>
        <v>12</v>
      </c>
      <c r="CC36" s="1">
        <f t="shared" si="2"/>
        <v>12</v>
      </c>
      <c r="CD36" s="1">
        <f t="shared" si="2"/>
        <v>12</v>
      </c>
      <c r="CE36" s="1">
        <f t="shared" si="2"/>
        <v>12</v>
      </c>
      <c r="CF36" s="1">
        <f t="shared" si="2"/>
        <v>0</v>
      </c>
      <c r="CG36" s="1">
        <f t="shared" si="2"/>
        <v>8</v>
      </c>
      <c r="CH36" s="1">
        <f t="shared" ref="CH36:DL36" si="3">COUNTA((CH3:CH35))</f>
        <v>12</v>
      </c>
      <c r="CI36" s="1">
        <f t="shared" si="3"/>
        <v>5</v>
      </c>
      <c r="CJ36" s="1">
        <f t="shared" si="3"/>
        <v>5</v>
      </c>
      <c r="CK36" s="1">
        <f t="shared" si="3"/>
        <v>5</v>
      </c>
      <c r="CL36" s="1">
        <f t="shared" si="3"/>
        <v>5</v>
      </c>
      <c r="CM36" s="1">
        <f t="shared" si="3"/>
        <v>5</v>
      </c>
      <c r="CN36" s="1">
        <f t="shared" si="3"/>
        <v>5</v>
      </c>
      <c r="CO36" s="1">
        <f t="shared" si="3"/>
        <v>5</v>
      </c>
      <c r="CP36" s="1">
        <f t="shared" si="3"/>
        <v>5</v>
      </c>
      <c r="CQ36" s="1">
        <f t="shared" si="3"/>
        <v>5</v>
      </c>
      <c r="CR36" s="1">
        <f t="shared" si="3"/>
        <v>5</v>
      </c>
      <c r="CS36" s="1">
        <f t="shared" si="3"/>
        <v>3</v>
      </c>
      <c r="CT36" s="1">
        <f t="shared" si="3"/>
        <v>5</v>
      </c>
      <c r="CU36" s="1">
        <f t="shared" si="3"/>
        <v>0</v>
      </c>
      <c r="CV36" s="1">
        <f t="shared" si="3"/>
        <v>3</v>
      </c>
      <c r="CW36" s="1">
        <f t="shared" si="3"/>
        <v>5</v>
      </c>
      <c r="CX36" s="1">
        <f t="shared" si="3"/>
        <v>2</v>
      </c>
      <c r="CY36" s="1">
        <f t="shared" si="3"/>
        <v>2</v>
      </c>
      <c r="CZ36" s="1">
        <f t="shared" si="3"/>
        <v>2</v>
      </c>
      <c r="DA36" s="1">
        <f t="shared" si="3"/>
        <v>2</v>
      </c>
      <c r="DB36" s="1">
        <f t="shared" si="3"/>
        <v>2</v>
      </c>
      <c r="DC36" s="1">
        <f t="shared" si="3"/>
        <v>2</v>
      </c>
      <c r="DD36" s="1">
        <f t="shared" si="3"/>
        <v>2</v>
      </c>
      <c r="DE36" s="1">
        <f t="shared" si="3"/>
        <v>2</v>
      </c>
      <c r="DF36" s="1">
        <f t="shared" si="3"/>
        <v>2</v>
      </c>
      <c r="DG36" s="1">
        <f t="shared" si="3"/>
        <v>2</v>
      </c>
      <c r="DH36" s="1">
        <f t="shared" si="3"/>
        <v>2</v>
      </c>
      <c r="DI36" s="1">
        <f t="shared" si="3"/>
        <v>2</v>
      </c>
      <c r="DJ36" s="1">
        <f t="shared" si="3"/>
        <v>0</v>
      </c>
      <c r="DK36" s="1">
        <f t="shared" si="3"/>
        <v>1</v>
      </c>
      <c r="DL36" s="6">
        <f t="shared" si="3"/>
        <v>33</v>
      </c>
      <c r="DV36" s="6">
        <f>COUNTA((DV3:DV35))</f>
        <v>33</v>
      </c>
      <c r="EF36" s="6">
        <f>COUNTA((EF3:EF35))</f>
        <v>33</v>
      </c>
      <c r="FI36" s="6">
        <f>COUNTA((FI3:FI35))</f>
        <v>33</v>
      </c>
      <c r="GI36" s="6">
        <f>COUNTA((GI3:GI35))</f>
        <v>33</v>
      </c>
      <c r="HT36" s="6">
        <f>COUNTA((HT3:HT35))</f>
        <v>33</v>
      </c>
      <c r="HU36" s="6">
        <f>COUNTA((HU3:HU35))</f>
        <v>33</v>
      </c>
      <c r="HV36" s="6"/>
      <c r="HW36" s="6">
        <f>COUNTA((HW3:HW35))</f>
        <v>31</v>
      </c>
      <c r="HX36" s="6">
        <f>COUNTA((HX3:HX35))</f>
        <v>3</v>
      </c>
      <c r="HY36" s="6">
        <f>COUNTA((HY3:HY35))</f>
        <v>22</v>
      </c>
      <c r="HZ36" s="6">
        <f>COUNTA((HZ3:HZ35))</f>
        <v>11</v>
      </c>
      <c r="IA36" s="6">
        <f>COUNTA((IA3:IA35))</f>
        <v>5</v>
      </c>
    </row>
    <row r="37" spans="1:235" ht="15" thickTop="1" thickBot="1" x14ac:dyDescent="0.5">
      <c r="B37" s="20" t="s">
        <v>2292</v>
      </c>
      <c r="G37" s="7">
        <f>COUNTIF(AnalizaCzyste[Wywiad (tak)],"*"&amp;"Tak"&amp;"*")</f>
        <v>33</v>
      </c>
      <c r="H37" s="66"/>
      <c r="AJ37" s="7">
        <f>COUNTIF(AnalizaCzyste[Czy jesteś studentem uczelni wyższej?],"*"&amp;"Tak"&amp;"*")</f>
        <v>2</v>
      </c>
      <c r="AK37" s="8"/>
      <c r="AL37" s="8"/>
      <c r="AM37" s="8"/>
      <c r="AN37" s="8"/>
      <c r="AO37" s="8"/>
      <c r="AP37" s="8"/>
      <c r="AQ37" s="8"/>
      <c r="AR37" s="8"/>
      <c r="AS37" s="8"/>
      <c r="AT37" s="8"/>
      <c r="AU37" s="8"/>
      <c r="AV37" s="8"/>
      <c r="AW37" s="8"/>
      <c r="AX37" s="8"/>
      <c r="AY37" s="8"/>
      <c r="AZ37" s="7">
        <f>COUNTIF(AnalizaCzyste[Czy jesteś absolwentem uczelni wyższej?],"*"&amp;"Tak"&amp;"*")</f>
        <v>33</v>
      </c>
      <c r="BA37" s="8"/>
      <c r="BB37" s="8"/>
      <c r="BC37" s="8"/>
      <c r="BD37" s="8"/>
      <c r="BE37" s="8"/>
      <c r="BF37" s="8"/>
      <c r="BG37" s="8"/>
      <c r="BH37" s="8"/>
      <c r="BI37" s="8"/>
      <c r="BJ37" s="8"/>
      <c r="BK37" s="8"/>
      <c r="BL37" s="8"/>
      <c r="BM37" s="8"/>
      <c r="BN37" s="8"/>
      <c r="BO37" s="8"/>
      <c r="BP37" s="8"/>
      <c r="BQ37" s="8"/>
      <c r="BR37" s="8"/>
      <c r="BS37" s="7">
        <f>COUNTIF(AnalizaCzyste[Czy jesteś rodzicem / opiekunem absolwenta uczelni wyższej?],"*"&amp;"Tak"&amp;"*")</f>
        <v>12</v>
      </c>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7">
        <f>COUNTIF(AnalizaCzyste[Czy jesteś aktualnie pracownikiem administracyjnym uczelni wyższej?],"*"&amp;"Tak"&amp;"*")</f>
        <v>4</v>
      </c>
      <c r="DN37" s="8"/>
      <c r="DO37" s="8"/>
      <c r="DP37" s="8"/>
      <c r="DQ37" s="8"/>
      <c r="DR37" s="8"/>
      <c r="DS37" s="8"/>
      <c r="DT37" s="8"/>
      <c r="DU37" s="8"/>
      <c r="DV37" s="8"/>
      <c r="DW37" s="7">
        <f>COUNTIF(AnalizaCzyste[Czy jesteś aktualnie pracownikiem naukowym lub dydaktycznym uczelni wyższej?],"*"&amp;"Tak"&amp;"*")</f>
        <v>12</v>
      </c>
      <c r="DX37" s="8"/>
      <c r="DY37" s="8"/>
      <c r="DZ37" s="8"/>
      <c r="EA37" s="8"/>
      <c r="EB37" s="8"/>
      <c r="EC37" s="8"/>
      <c r="ED37" s="8"/>
      <c r="EE37" s="8"/>
      <c r="EF37" s="8"/>
      <c r="EG37" s="7">
        <f>COUNTIF(AnalizaCzyste[Czy jesteś przedstawicielem władz uczelni z grupy rektorów, prorektorów, dziekanów, prodziekanów, członków senatu lub członków rady uczelni?],"*"&amp;"Tak"&amp;"*")</f>
        <v>6</v>
      </c>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7">
        <f>COUNTIF(AnalizaCzyste[Czy jesteś przedstawicielem firmy, w której są zatrudniani absolwenci uczelni wyższych (tytuł licencjata, magistra lub wyższy)?],"*"&amp;"Tak"&amp;"*")</f>
        <v>10</v>
      </c>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7">
        <f>COUNTIF(AnalizaCzyste[Czy jesteś przedstawicielem władz samorządowych lub centralnych Rzeczypospolitej Polskiej?],"*"&amp;"Tak"&amp;"*")</f>
        <v>3</v>
      </c>
      <c r="GK37" s="7">
        <f>COUNTIF(AnalizaCzyste[Proszę wskaż jaki poziom władzy samorządowej lub centralnej reprezentujesz.],"*"&amp;"Tak"&amp;"*")</f>
        <v>0</v>
      </c>
      <c r="GL37" s="7">
        <f>COUNTIF(AnalizaCzyste[Proszę o podanie nazwy organu władzy jaki reprezentujesz.],"*"&amp;"Tak"&amp;"*")</f>
        <v>0</v>
      </c>
      <c r="GM37" s="7">
        <f>COUNTIF(AnalizaCzyste[Ile uczelni będziesz oceniać?26],"*"&amp;"Tak"&amp;"*")</f>
        <v>0</v>
      </c>
      <c r="GN37" s="7">
        <f>COUNTIF(AnalizaCzyste[Jak się nazywa uczelnia, którą ocenisz?],"*"&amp;"Tak"&amp;"*")</f>
        <v>0</v>
      </c>
      <c r="GO37" s="7">
        <f>COUNTIF(AnalizaCzyste[Efekty działań ocenianej uczelni na rzesz jakości edukacji są zgodne ze strategią rozwoju w regionie.],"*"&amp;"Tak"&amp;"*")</f>
        <v>0</v>
      </c>
      <c r="GP37" s="7">
        <f>COUNTIF(AnalizaCzyste[Wartość wykształcenia zdobywanego przez studentów na ocenianej uczelni jest wysoka.27],"*"&amp;"Tak"&amp;"*")</f>
        <v>0</v>
      </c>
      <c r="GQ37" s="7">
        <f>COUNTIF(AnalizaCzyste[Zdobyte przez studentów ocenianej uczelni wykształcenie miało/ma pozytywny wpływ na ich zarobki.28],"*"&amp;"Tak"&amp;"*")</f>
        <v>0</v>
      </c>
      <c r="GR37" s="7">
        <f>COUNTIF(AnalizaCzyste[Efekty działań ocenianej uczelni na rzecz jakości edukacji mają dobry wpływ na rozwój regionu.29],"*"&amp;"Tak"&amp;"*")</f>
        <v>0</v>
      </c>
      <c r="GS37" s="7">
        <f>COUNTIF(AnalizaCzyste[Efekty działań ocenianej uczelni na rzecz jakości edukacji mają dobry wpływ na rozwój Polski.30],"*"&amp;"Tak"&amp;"*")</f>
        <v>0</v>
      </c>
      <c r="GT37" s="7">
        <f>COUNTIF(AnalizaCzyste[Współpraca ocenianej uczelni z biznesem ma pozytywne efekty dla rozwoju regionu / kraju.31],"*"&amp;"Tak"&amp;"*")</f>
        <v>0</v>
      </c>
      <c r="GU37" s="7">
        <f>COUNTIF(AnalizaCzyste[Ogólny poziom mojej satysfakcji z jakości usług edukacyjnych ocenianej uczelni jest wysoki.32],"*"&amp;"Tak"&amp;"*")</f>
        <v>0</v>
      </c>
      <c r="GV37" s="7">
        <f>COUNTIF(AnalizaCzyste[Pole dodatkowe33],"*"&amp;"Tak"&amp;"*")</f>
        <v>0</v>
      </c>
      <c r="GW37" s="7">
        <f>COUNTIF(AnalizaCzyste[Jakie inne efekty pracy ocenianej uczelni technicznej dostrzegasz obecnie?],"*"&amp;"Tak"&amp;"*")</f>
        <v>0</v>
      </c>
      <c r="GX37" s="7">
        <f>COUNTIF(AnalizaCzyste[Czy będziesz oceniać drugą uczelnię?],"*"&amp;"Tak"&amp;"*")</f>
        <v>0</v>
      </c>
      <c r="GY37" s="7">
        <f>COUNTIF(AnalizaCzyste[Jak się nazywa uczelnia, którą ocenisz?34],"*"&amp;"Tak"&amp;"*")</f>
        <v>0</v>
      </c>
      <c r="GZ37" s="7">
        <f>COUNTIF(AnalizaCzyste[Efekty działań ocenianej uczelni na rzesz jakości edukacji są zgodne ze strategią rozwoju w regionie.35],"*"&amp;"Tak"&amp;"*")</f>
        <v>0</v>
      </c>
      <c r="HA37" s="7">
        <f>COUNTIF(AnalizaCzyste[Wartość wykształcenia zdobywanego przez studentów na ocenianej uczelni jest wysoka.36],"*"&amp;"Tak"&amp;"*")</f>
        <v>0</v>
      </c>
      <c r="HB37" s="7">
        <f>COUNTIF(AnalizaCzyste[Zdobyte przez studentów ocenianej uczelni wykształcenie miało/ma pozytywny wpływ na ich zarobki.37],"*"&amp;"Tak"&amp;"*")</f>
        <v>0</v>
      </c>
      <c r="HC37" s="7">
        <f>COUNTIF(AnalizaCzyste[Efekty działań ocenianej uczelni na rzecz jakości edukacji mają dobry wpływ na rozwój regionu.38],"*"&amp;"Tak"&amp;"*")</f>
        <v>0</v>
      </c>
      <c r="HD37" s="7">
        <f>COUNTIF(AnalizaCzyste[Efekty działań ocenianej uczelni na rzecz jakości edukacji mają dobry wpływ na rozwój Polski.39],"*"&amp;"Tak"&amp;"*")</f>
        <v>0</v>
      </c>
      <c r="HE37" s="7">
        <f>COUNTIF(AnalizaCzyste[Współpraca ocenianej uczelni z biznesem ma pozytywne efekty dla rozwoju regionu / kraju.40],"*"&amp;"Tak"&amp;"*")</f>
        <v>0</v>
      </c>
      <c r="HF37" s="7">
        <f>COUNTIF(AnalizaCzyste[Ogólny poziom mojej satysfakcji z jakości usług edukacyjnych ocenianej uczelni jest wysoki.41],"*"&amp;"Tak"&amp;"*")</f>
        <v>0</v>
      </c>
      <c r="HG37" s="7">
        <f>COUNTIF(AnalizaCzyste[Jakie inne efekty pracy ocenianej uczelni dostrzegasz obecnie?],"*"&amp;"Tak"&amp;"*")</f>
        <v>0</v>
      </c>
      <c r="HH37" s="7">
        <f>COUNTIF(AnalizaCzyste[Czy będziesz oceniać trzecią uczelnię?],"*"&amp;"Tak"&amp;"*")</f>
        <v>0</v>
      </c>
      <c r="HI37" s="7">
        <f>COUNTIF(AnalizaCzyste[Jak się nazywa uczelnia, którą ocenisz?42],"*"&amp;"Tak"&amp;"*")</f>
        <v>0</v>
      </c>
      <c r="HJ37" s="7">
        <f>COUNTIF(AnalizaCzyste[Efekty działań ocenianej uczelni na rzesz jakości edukacji są zgodne ze strategią rozwoju w regionie.43],"*"&amp;"Tak"&amp;"*")</f>
        <v>0</v>
      </c>
      <c r="HK37" s="7">
        <f>COUNTIF(AnalizaCzyste[Wartość wykształcenia zdobywanego przez studentów na ocenianej uczelni jest wysoka.44],"*"&amp;"Tak"&amp;"*")</f>
        <v>0</v>
      </c>
      <c r="HL37" s="7">
        <f>COUNTIF(AnalizaCzyste[Zdobyte przez studentów ocenianej uczelni wykształcenie miało/ma pozytywny wpływ na ich zarobki.45],"*"&amp;"Tak"&amp;"*")</f>
        <v>0</v>
      </c>
      <c r="HM37" s="7">
        <f>COUNTIF(AnalizaCzyste[Efekty działań ocenianej uczelni na rzecz jakości edukacji mają dobry wpływ na rozwój regionu.46],"*"&amp;"Tak"&amp;"*")</f>
        <v>0</v>
      </c>
      <c r="HN37" s="7">
        <f>COUNTIF(AnalizaCzyste[Efekty działań ocenianej uczelni na rzecz jakości edukacji mają dobry wpływ na rozwój Polski.47],"*"&amp;"Tak"&amp;"*")</f>
        <v>0</v>
      </c>
      <c r="HO37" s="7">
        <f>COUNTIF(AnalizaCzyste[Współpraca ocenianej uczelni z biznesem ma pozytywne efekty dla rozwoju regionu / kraju.48],"*"&amp;"Tak"&amp;"*")</f>
        <v>0</v>
      </c>
      <c r="HP37" s="7">
        <f>COUNTIF(AnalizaCzyste[Ogólny poziom mojej satysfakcji z jakości usług edukacyjnych ocenianej uczelni jest wysoki.49],"*"&amp;"Tak"&amp;"*")</f>
        <v>0</v>
      </c>
      <c r="HQ37" s="7">
        <f>COUNTIF(AnalizaCzyste[Jakie inne efekty pracy ocenianej uczelni dostrzegasz obecnie?50],"*"&amp;"Tak"&amp;"*")</f>
        <v>0</v>
      </c>
      <c r="HR37" s="7">
        <f>COUNTIF(AnalizaCzyste[Jakie, Twoim zdaniem, elementy decydują o tym, że uczelnie są lepsze lub gorsze.],"*"&amp;"Tak"&amp;"*")</f>
        <v>1</v>
      </c>
      <c r="HS37" s="7">
        <f>COUNTIF(AnalizaCzyste[Kolumna51],"*"&amp;"Tak"&amp;"*")</f>
        <v>2</v>
      </c>
      <c r="HT37" s="7">
        <f>COUNTIF(AnalizaCzyste[Kolumna52],"*"&amp;"Tak"&amp;"*")</f>
        <v>1</v>
      </c>
      <c r="HU37" s="7">
        <f>COUNTIF(AnalizaCzyste[Płeć],"*"&amp;"Mężczyzna"&amp;"*")</f>
        <v>27</v>
      </c>
      <c r="HV37" s="7">
        <f>COUNTIF(AnalizaCzyste[Rok urodzenia],"*"&amp;"Tak"&amp;"*")</f>
        <v>0</v>
      </c>
      <c r="HW37" s="7"/>
      <c r="HX37" s="7">
        <f>COUNTIF(AnalizaCzyste[Z jakiej wielkości miejscowości pochodzisz? (dotyczy miejscowości, w której się wychowałaś/eś],"*"&amp;"Tak"&amp;"*")</f>
        <v>0</v>
      </c>
    </row>
    <row r="38" spans="1:235" ht="15" thickTop="1" thickBot="1" x14ac:dyDescent="0.5">
      <c r="B38" s="20" t="s">
        <v>2293</v>
      </c>
      <c r="AJ38" s="7">
        <f>COUNTIF(AnalizaCzyste[Czy jesteś studentem uczelni wyższej?],"*"&amp;"Nie (przejście"&amp;"*")</f>
        <v>31</v>
      </c>
      <c r="AK38" s="8"/>
      <c r="AL38" s="8"/>
      <c r="AM38" s="8"/>
      <c r="AN38" s="8"/>
      <c r="AO38" s="8"/>
      <c r="AP38" s="8"/>
      <c r="AQ38" s="8"/>
      <c r="AR38" s="8"/>
      <c r="AS38" s="8"/>
      <c r="AT38" s="8"/>
      <c r="AU38" s="8"/>
      <c r="AV38" s="8"/>
      <c r="AW38" s="8"/>
      <c r="AX38" s="8"/>
      <c r="AY38" s="8"/>
      <c r="AZ38" s="7">
        <f>COUNTIF(AnalizaCzyste[Czy jesteś absolwentem uczelni wyższej?],"*"&amp;"Nie (przejście"&amp;"*")</f>
        <v>0</v>
      </c>
      <c r="BA38" s="8"/>
      <c r="BB38" s="8"/>
      <c r="BC38" s="8"/>
      <c r="BD38" s="8"/>
      <c r="BE38" s="8"/>
      <c r="BF38" s="8"/>
      <c r="BG38" s="8"/>
      <c r="BH38" s="8"/>
      <c r="BI38" s="8"/>
      <c r="BJ38" s="8"/>
      <c r="BK38" s="8"/>
      <c r="BL38" s="8"/>
      <c r="BM38" s="8"/>
      <c r="BN38" s="8"/>
      <c r="BO38" s="8"/>
      <c r="BP38" s="8"/>
      <c r="BQ38" s="8"/>
      <c r="BR38" s="8"/>
      <c r="BS38" s="7">
        <f>COUNTIF(AnalizaCzyste[Czy jesteś rodzicem / opiekunem absolwenta uczelni wyższej?],"*"&amp;"Nie (przejście"&amp;"*")</f>
        <v>21</v>
      </c>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7">
        <f>COUNTIF(AnalizaCzyste[Czy jesteś aktualnie pracownikiem administracyjnym uczelni wyższej?],"*"&amp;"Nie (przejście"&amp;"*")</f>
        <v>29</v>
      </c>
      <c r="DN38" s="8"/>
      <c r="DO38" s="8"/>
      <c r="DP38" s="8"/>
      <c r="DQ38" s="8"/>
      <c r="DR38" s="8"/>
      <c r="DS38" s="8"/>
      <c r="DT38" s="8"/>
      <c r="DU38" s="8"/>
      <c r="DV38" s="8"/>
      <c r="DW38" s="7">
        <f>COUNTIF(AnalizaCzyste[Czy jesteś aktualnie pracownikiem naukowym lub dydaktycznym uczelni wyższej?],"*"&amp;"Nie (przejście"&amp;"*")</f>
        <v>21</v>
      </c>
      <c r="DX38" s="8"/>
      <c r="DY38" s="8"/>
      <c r="DZ38" s="8"/>
      <c r="EA38" s="8"/>
      <c r="EB38" s="8"/>
      <c r="EC38" s="8"/>
      <c r="ED38" s="8"/>
      <c r="EE38" s="8"/>
      <c r="EF38" s="8"/>
      <c r="EG38" s="7">
        <f>COUNTIF(AnalizaCzyste[Czy jesteś przedstawicielem władz uczelni z grupy rektorów, prorektorów, dziekanów, prodziekanów, członków senatu lub członków rady uczelni?],"*"&amp;"Nie (przejście"&amp;"*")</f>
        <v>27</v>
      </c>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7">
        <f>COUNTIF(AnalizaCzyste[Czy jesteś przedstawicielem firmy, w której są zatrudniani absolwenci uczelni wyższych (tytuł licencjata, magistra lub wyższy)?],"*"&amp;"Nie (przejście"&amp;"*")</f>
        <v>23</v>
      </c>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7">
        <f>COUNTIF(AnalizaCzyste[Czy jesteś przedstawicielem władz samorządowych lub centralnych Rzeczypospolitej Polskiej?],"*"&amp;"Nie (przejście"&amp;"*")</f>
        <v>30</v>
      </c>
      <c r="GK38" s="7">
        <f>COUNTIF(AnalizaCzyste[Proszę wskaż jaki poziom władzy samorządowej lub centralnej reprezentujesz.],"*"&amp;"Nie (przejście"&amp;"*")</f>
        <v>0</v>
      </c>
      <c r="GL38" s="7">
        <f>COUNTIF(AnalizaCzyste[Proszę o podanie nazwy organu władzy jaki reprezentujesz.],"*"&amp;"Nie (przejście"&amp;"*")</f>
        <v>0</v>
      </c>
      <c r="GM38" s="7">
        <f>COUNTIF(AnalizaCzyste[Ile uczelni będziesz oceniać?26],"*"&amp;"Nie (przejście"&amp;"*")</f>
        <v>0</v>
      </c>
      <c r="GN38" s="7">
        <f>COUNTIF(AnalizaCzyste[Jak się nazywa uczelnia, którą ocenisz?],"*"&amp;"Nie (przejście"&amp;"*")</f>
        <v>0</v>
      </c>
      <c r="GO38" s="7">
        <f>COUNTIF(AnalizaCzyste[Efekty działań ocenianej uczelni na rzesz jakości edukacji są zgodne ze strategią rozwoju w regionie.],"*"&amp;"Nie (przejście"&amp;"*")</f>
        <v>0</v>
      </c>
      <c r="GP38" s="7">
        <f>COUNTIF(AnalizaCzyste[Wartość wykształcenia zdobywanego przez studentów na ocenianej uczelni jest wysoka.27],"*"&amp;"Nie (przejście"&amp;"*")</f>
        <v>0</v>
      </c>
      <c r="GQ38" s="7">
        <f>COUNTIF(AnalizaCzyste[Zdobyte przez studentów ocenianej uczelni wykształcenie miało/ma pozytywny wpływ na ich zarobki.28],"*"&amp;"Nie (przejście"&amp;"*")</f>
        <v>0</v>
      </c>
      <c r="GR38" s="7">
        <f>COUNTIF(AnalizaCzyste[Efekty działań ocenianej uczelni na rzecz jakości edukacji mają dobry wpływ na rozwój regionu.29],"*"&amp;"Nie (przejście"&amp;"*")</f>
        <v>0</v>
      </c>
      <c r="GS38" s="7">
        <f>COUNTIF(AnalizaCzyste[Efekty działań ocenianej uczelni na rzecz jakości edukacji mają dobry wpływ na rozwój Polski.30],"*"&amp;"Nie (przejście"&amp;"*")</f>
        <v>0</v>
      </c>
      <c r="GT38" s="7">
        <f>COUNTIF(AnalizaCzyste[Współpraca ocenianej uczelni z biznesem ma pozytywne efekty dla rozwoju regionu / kraju.31],"*"&amp;"Nie (przejście"&amp;"*")</f>
        <v>0</v>
      </c>
      <c r="GU38" s="7">
        <f>COUNTIF(AnalizaCzyste[Ogólny poziom mojej satysfakcji z jakości usług edukacyjnych ocenianej uczelni jest wysoki.32],"*"&amp;"Nie (przejście"&amp;"*")</f>
        <v>0</v>
      </c>
      <c r="GV38" s="7">
        <f>COUNTIF(AnalizaCzyste[Pole dodatkowe33],"*"&amp;"Nie (przejście"&amp;"*")</f>
        <v>0</v>
      </c>
      <c r="GW38" s="7">
        <f>COUNTIF(AnalizaCzyste[Jakie inne efekty pracy ocenianej uczelni technicznej dostrzegasz obecnie?],"*"&amp;"Nie (przejście"&amp;"*")</f>
        <v>0</v>
      </c>
      <c r="GX38" s="7">
        <f>COUNTIF(AnalizaCzyste[Czy będziesz oceniać drugą uczelnię?],"*"&amp;"Nie (przejście"&amp;"*")</f>
        <v>2</v>
      </c>
      <c r="GY38" s="7">
        <f>COUNTIF(AnalizaCzyste[Jak się nazywa uczelnia, którą ocenisz?34],"*"&amp;"Nie (przejście"&amp;"*")</f>
        <v>0</v>
      </c>
      <c r="GZ38" s="7">
        <f>COUNTIF(AnalizaCzyste[Efekty działań ocenianej uczelni na rzesz jakości edukacji są zgodne ze strategią rozwoju w regionie.35],"*"&amp;"Nie (przejście"&amp;"*")</f>
        <v>0</v>
      </c>
      <c r="HA38" s="7">
        <f>COUNTIF(AnalizaCzyste[Wartość wykształcenia zdobywanego przez studentów na ocenianej uczelni jest wysoka.36],"*"&amp;"Nie (przejście"&amp;"*")</f>
        <v>0</v>
      </c>
      <c r="HB38" s="7">
        <f>COUNTIF(AnalizaCzyste[Zdobyte przez studentów ocenianej uczelni wykształcenie miało/ma pozytywny wpływ na ich zarobki.37],"*"&amp;"Nie (przejście"&amp;"*")</f>
        <v>0</v>
      </c>
      <c r="HC38" s="7">
        <f>COUNTIF(AnalizaCzyste[Efekty działań ocenianej uczelni na rzecz jakości edukacji mają dobry wpływ na rozwój regionu.38],"*"&amp;"Nie (przejście"&amp;"*")</f>
        <v>0</v>
      </c>
      <c r="HD38" s="7">
        <f>COUNTIF(AnalizaCzyste[Efekty działań ocenianej uczelni na rzecz jakości edukacji mają dobry wpływ na rozwój Polski.39],"*"&amp;"Nie (przejście"&amp;"*")</f>
        <v>0</v>
      </c>
      <c r="HE38" s="7">
        <f>COUNTIF(AnalizaCzyste[Współpraca ocenianej uczelni z biznesem ma pozytywne efekty dla rozwoju regionu / kraju.40],"*"&amp;"Nie (przejście"&amp;"*")</f>
        <v>0</v>
      </c>
      <c r="HF38" s="7">
        <f>COUNTIF(AnalizaCzyste[Ogólny poziom mojej satysfakcji z jakości usług edukacyjnych ocenianej uczelni jest wysoki.41],"*"&amp;"Nie (przejście"&amp;"*")</f>
        <v>0</v>
      </c>
      <c r="HG38" s="7">
        <f>COUNTIF(AnalizaCzyste[Jakie inne efekty pracy ocenianej uczelni dostrzegasz obecnie?],"*"&amp;"Nie (przejście"&amp;"*")</f>
        <v>0</v>
      </c>
      <c r="HH38" s="7">
        <f>COUNTIF(AnalizaCzyste[Czy będziesz oceniać trzecią uczelnię?],"*"&amp;"Nie (przejście"&amp;"*")</f>
        <v>0</v>
      </c>
      <c r="HI38" s="7">
        <f>COUNTIF(AnalizaCzyste[Jak się nazywa uczelnia, którą ocenisz?42],"*"&amp;"Nie (przejście"&amp;"*")</f>
        <v>0</v>
      </c>
      <c r="HJ38" s="7">
        <f>COUNTIF(AnalizaCzyste[Efekty działań ocenianej uczelni na rzesz jakości edukacji są zgodne ze strategią rozwoju w regionie.43],"*"&amp;"Nie (przejście"&amp;"*")</f>
        <v>0</v>
      </c>
      <c r="HK38" s="7">
        <f>COUNTIF(AnalizaCzyste[Wartość wykształcenia zdobywanego przez studentów na ocenianej uczelni jest wysoka.44],"*"&amp;"Nie (przejście"&amp;"*")</f>
        <v>0</v>
      </c>
      <c r="HL38" s="7">
        <f>COUNTIF(AnalizaCzyste[Zdobyte przez studentów ocenianej uczelni wykształcenie miało/ma pozytywny wpływ na ich zarobki.45],"*"&amp;"Nie (przejście"&amp;"*")</f>
        <v>0</v>
      </c>
      <c r="HM38" s="7">
        <f>COUNTIF(AnalizaCzyste[Efekty działań ocenianej uczelni na rzecz jakości edukacji mają dobry wpływ na rozwój regionu.46],"*"&amp;"Nie (przejście"&amp;"*")</f>
        <v>0</v>
      </c>
      <c r="HN38" s="7">
        <f>COUNTIF(AnalizaCzyste[Efekty działań ocenianej uczelni na rzecz jakości edukacji mają dobry wpływ na rozwój Polski.47],"*"&amp;"Nie (przejście"&amp;"*")</f>
        <v>0</v>
      </c>
      <c r="HO38" s="7">
        <f>COUNTIF(AnalizaCzyste[Współpraca ocenianej uczelni z biznesem ma pozytywne efekty dla rozwoju regionu / kraju.48],"*"&amp;"Nie (przejście"&amp;"*")</f>
        <v>0</v>
      </c>
      <c r="HP38" s="7">
        <f>COUNTIF(AnalizaCzyste[Ogólny poziom mojej satysfakcji z jakości usług edukacyjnych ocenianej uczelni jest wysoki.49],"*"&amp;"Nie (przejście"&amp;"*")</f>
        <v>0</v>
      </c>
      <c r="HQ38" s="7">
        <f>COUNTIF(AnalizaCzyste[Jakie inne efekty pracy ocenianej uczelni dostrzegasz obecnie?50],"*"&amp;"Nie (przejście"&amp;"*")</f>
        <v>0</v>
      </c>
      <c r="HR38" s="7">
        <f>COUNTIF(AnalizaCzyste[Jakie, Twoim zdaniem, elementy decydują o tym, że uczelnie są lepsze lub gorsze.],"*"&amp;"Nie (przejście"&amp;"*")</f>
        <v>0</v>
      </c>
      <c r="HS38" s="7">
        <f>COUNTIF(AnalizaCzyste[Kolumna51],"*"&amp;"Nie (przejście"&amp;"*")</f>
        <v>0</v>
      </c>
      <c r="HT38" s="7">
        <f>COUNTIF(AnalizaCzyste[Kolumna52],"*"&amp;"Nie (przejście"&amp;"*")</f>
        <v>0</v>
      </c>
      <c r="HU38" s="7">
        <f>COUNTIF(AnalizaCzyste[Płeć],"*"&amp;"Kobieta"&amp;"*")</f>
        <v>6</v>
      </c>
      <c r="HV38" s="7">
        <f>COUNTIF(AnalizaCzyste[Rok urodzenia],"*"&amp;"Nie (przejście"&amp;"*")</f>
        <v>0</v>
      </c>
      <c r="HW38" s="7"/>
      <c r="HX38" s="7">
        <f>COUNTIF(AnalizaCzyste[Z jakiej wielkości miejscowości pochodzisz? (dotyczy miejscowości, w której się wychowałaś/eś],"*"&amp;"Nie (przejście"&amp;"*")</f>
        <v>0</v>
      </c>
    </row>
    <row r="39" spans="1:235" ht="14.65" thickTop="1" x14ac:dyDescent="0.45">
      <c r="B39" s="20" t="s">
        <v>2294</v>
      </c>
      <c r="AJ39" s="7">
        <f>COUNTBLANK(AnalizaCzyste[Czy jesteś studentem uczelni wyższej?])</f>
        <v>0</v>
      </c>
      <c r="AK39" s="8"/>
      <c r="AL39" s="8"/>
      <c r="AM39" s="8"/>
      <c r="AN39" s="8"/>
      <c r="AO39" s="8"/>
      <c r="AP39" s="8"/>
      <c r="AQ39" s="8"/>
      <c r="AR39" s="8"/>
      <c r="AS39" s="8"/>
      <c r="AT39" s="8"/>
      <c r="AU39" s="8"/>
      <c r="AV39" s="8"/>
      <c r="AW39" s="8"/>
      <c r="AX39" s="8"/>
      <c r="AY39" s="8"/>
      <c r="AZ39" s="7">
        <f>COUNTBLANK(AnalizaCzyste[Czy jesteś absolwentem uczelni wyższej?])</f>
        <v>0</v>
      </c>
      <c r="BA39" s="8"/>
      <c r="BB39" s="8"/>
      <c r="BC39" s="8"/>
      <c r="BD39" s="8"/>
      <c r="BE39" s="8"/>
      <c r="BF39" s="8"/>
      <c r="BG39" s="8"/>
      <c r="BH39" s="8"/>
      <c r="BI39" s="8"/>
      <c r="BJ39" s="8"/>
      <c r="BK39" s="8"/>
      <c r="BL39" s="8"/>
      <c r="BM39" s="8"/>
      <c r="BN39" s="8"/>
      <c r="BO39" s="8"/>
      <c r="BP39" s="8"/>
      <c r="BQ39" s="8"/>
      <c r="BR39" s="8"/>
      <c r="BS39" s="7">
        <f>COUNTBLANK(AnalizaCzyste[Czy jesteś rodzicem / opiekunem absolwenta uczelni wyższej?])</f>
        <v>0</v>
      </c>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7">
        <f>COUNTBLANK(AnalizaCzyste[Czy jesteś aktualnie pracownikiem administracyjnym uczelni wyższej?])</f>
        <v>0</v>
      </c>
      <c r="DN39" s="8"/>
      <c r="DO39" s="8"/>
      <c r="DP39" s="8"/>
      <c r="DQ39" s="8"/>
      <c r="DR39" s="8"/>
      <c r="DS39" s="8"/>
      <c r="DT39" s="8"/>
      <c r="DU39" s="8"/>
      <c r="DV39" s="8"/>
      <c r="DW39" s="7">
        <f>COUNTBLANK(AnalizaCzyste[Czy jesteś aktualnie pracownikiem naukowym lub dydaktycznym uczelni wyższej?])</f>
        <v>0</v>
      </c>
      <c r="DX39" s="8"/>
      <c r="DY39" s="8"/>
      <c r="DZ39" s="8"/>
      <c r="EA39" s="8"/>
      <c r="EB39" s="8"/>
      <c r="EC39" s="8"/>
      <c r="ED39" s="8"/>
      <c r="EE39" s="8"/>
      <c r="EF39" s="8"/>
      <c r="EG39" s="7">
        <f>COUNTBLANK(AnalizaCzyste[Czy jesteś przedstawicielem władz uczelni z grupy rektorów, prorektorów, dziekanów, prodziekanów, członków senatu lub członków rady uczelni?])</f>
        <v>0</v>
      </c>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7">
        <f>COUNTBLANK(AnalizaCzyste[Czy jesteś przedstawicielem firmy, w której są zatrudniani absolwenci uczelni wyższych (tytuł licencjata, magistra lub wyższy)?])</f>
        <v>0</v>
      </c>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7">
        <f>COUNTBLANK(AnalizaCzyste[Czy jesteś przedstawicielem władz samorządowych lub centralnych Rzeczypospolitej Polskiej?])</f>
        <v>0</v>
      </c>
      <c r="GK39" s="7">
        <f>COUNTBLANK(AnalizaCzyste[Proszę wskaż jaki poziom władzy samorządowej lub centralnej reprezentujesz.])</f>
        <v>17</v>
      </c>
      <c r="GL39" s="7">
        <f>COUNTBLANK(AnalizaCzyste[Proszę o podanie nazwy organu władzy jaki reprezentujesz.])</f>
        <v>31</v>
      </c>
      <c r="GM39" s="7">
        <f>COUNTBLANK(AnalizaCzyste[Ile uczelni będziesz oceniać?26])</f>
        <v>21</v>
      </c>
      <c r="GN39" s="7">
        <f>COUNTBLANK(AnalizaCzyste[Jak się nazywa uczelnia, którą ocenisz?])</f>
        <v>31</v>
      </c>
      <c r="GO39" s="7">
        <f>COUNTBLANK(AnalizaCzyste[Efekty działań ocenianej uczelni na rzesz jakości edukacji są zgodne ze strategią rozwoju w regionie.])</f>
        <v>31</v>
      </c>
      <c r="GP39" s="7">
        <f>COUNTBLANK(AnalizaCzyste[Wartość wykształcenia zdobywanego przez studentów na ocenianej uczelni jest wysoka.27])</f>
        <v>31</v>
      </c>
      <c r="GQ39" s="7">
        <f>COUNTBLANK(AnalizaCzyste[Zdobyte przez studentów ocenianej uczelni wykształcenie miało/ma pozytywny wpływ na ich zarobki.28])</f>
        <v>31</v>
      </c>
      <c r="GR39" s="7">
        <f>COUNTBLANK(AnalizaCzyste[Efekty działań ocenianej uczelni na rzecz jakości edukacji mają dobry wpływ na rozwój regionu.29])</f>
        <v>31</v>
      </c>
      <c r="GS39" s="7">
        <f>COUNTBLANK(AnalizaCzyste[Efekty działań ocenianej uczelni na rzecz jakości edukacji mają dobry wpływ na rozwój Polski.30])</f>
        <v>31</v>
      </c>
      <c r="GT39" s="7">
        <f>COUNTBLANK(AnalizaCzyste[Współpraca ocenianej uczelni z biznesem ma pozytywne efekty dla rozwoju regionu / kraju.31])</f>
        <v>31</v>
      </c>
      <c r="GU39" s="7">
        <f>COUNTBLANK(AnalizaCzyste[Ogólny poziom mojej satysfakcji z jakości usług edukacyjnych ocenianej uczelni jest wysoki.32])</f>
        <v>31</v>
      </c>
      <c r="GV39" s="7">
        <f>COUNTBLANK(AnalizaCzyste[Pole dodatkowe33])</f>
        <v>33</v>
      </c>
      <c r="GW39" s="7">
        <f>COUNTBLANK(AnalizaCzyste[Jakie inne efekty pracy ocenianej uczelni technicznej dostrzegasz obecnie?])</f>
        <v>32</v>
      </c>
      <c r="GX39" s="7">
        <f>COUNTBLANK(AnalizaCzyste[Czy będziesz oceniać drugą uczelnię?])</f>
        <v>31</v>
      </c>
      <c r="GY39" s="7">
        <f>COUNTBLANK(AnalizaCzyste[Jak się nazywa uczelnia, którą ocenisz?34])</f>
        <v>33</v>
      </c>
      <c r="GZ39" s="7">
        <f>COUNTBLANK(AnalizaCzyste[Efekty działań ocenianej uczelni na rzesz jakości edukacji są zgodne ze strategią rozwoju w regionie.35])</f>
        <v>33</v>
      </c>
      <c r="HA39" s="7">
        <f>COUNTBLANK(AnalizaCzyste[Wartość wykształcenia zdobywanego przez studentów na ocenianej uczelni jest wysoka.36])</f>
        <v>33</v>
      </c>
      <c r="HB39" s="7">
        <f>COUNTBLANK(AnalizaCzyste[Zdobyte przez studentów ocenianej uczelni wykształcenie miało/ma pozytywny wpływ na ich zarobki.37])</f>
        <v>33</v>
      </c>
      <c r="HC39" s="7">
        <f>COUNTBLANK(AnalizaCzyste[Efekty działań ocenianej uczelni na rzecz jakości edukacji mają dobry wpływ na rozwój regionu.38])</f>
        <v>33</v>
      </c>
      <c r="HD39" s="7">
        <f>COUNTBLANK(AnalizaCzyste[Efekty działań ocenianej uczelni na rzecz jakości edukacji mają dobry wpływ na rozwój Polski.39])</f>
        <v>33</v>
      </c>
      <c r="HE39" s="7">
        <f>COUNTBLANK(AnalizaCzyste[Współpraca ocenianej uczelni z biznesem ma pozytywne efekty dla rozwoju regionu / kraju.40])</f>
        <v>33</v>
      </c>
      <c r="HF39" s="7">
        <f>COUNTBLANK(AnalizaCzyste[Ogólny poziom mojej satysfakcji z jakości usług edukacyjnych ocenianej uczelni jest wysoki.41])</f>
        <v>33</v>
      </c>
      <c r="HG39" s="7">
        <f>COUNTBLANK(AnalizaCzyste[Jakie inne efekty pracy ocenianej uczelni dostrzegasz obecnie?])</f>
        <v>33</v>
      </c>
      <c r="HH39" s="7">
        <f>COUNTBLANK(AnalizaCzyste[Czy będziesz oceniać trzecią uczelnię?])</f>
        <v>33</v>
      </c>
      <c r="HI39" s="7">
        <f>COUNTBLANK(AnalizaCzyste[Jak się nazywa uczelnia, którą ocenisz?42])</f>
        <v>33</v>
      </c>
      <c r="HJ39" s="7">
        <f>COUNTBLANK(AnalizaCzyste[Efekty działań ocenianej uczelni na rzesz jakości edukacji są zgodne ze strategią rozwoju w regionie.43])</f>
        <v>33</v>
      </c>
      <c r="HK39" s="7">
        <f>COUNTBLANK(AnalizaCzyste[Wartość wykształcenia zdobywanego przez studentów na ocenianej uczelni jest wysoka.44])</f>
        <v>33</v>
      </c>
      <c r="HL39" s="7">
        <f>COUNTBLANK(AnalizaCzyste[Zdobyte przez studentów ocenianej uczelni wykształcenie miało/ma pozytywny wpływ na ich zarobki.45])</f>
        <v>33</v>
      </c>
      <c r="HM39" s="7">
        <f>COUNTBLANK(AnalizaCzyste[Efekty działań ocenianej uczelni na rzecz jakości edukacji mają dobry wpływ na rozwój regionu.46])</f>
        <v>33</v>
      </c>
      <c r="HN39" s="7">
        <f>COUNTBLANK(AnalizaCzyste[Efekty działań ocenianej uczelni na rzecz jakości edukacji mają dobry wpływ na rozwój Polski.47])</f>
        <v>33</v>
      </c>
      <c r="HO39" s="7">
        <f>COUNTBLANK(AnalizaCzyste[Współpraca ocenianej uczelni z biznesem ma pozytywne efekty dla rozwoju regionu / kraju.48])</f>
        <v>33</v>
      </c>
      <c r="HP39" s="7">
        <f>COUNTBLANK(AnalizaCzyste[Ogólny poziom mojej satysfakcji z jakości usług edukacyjnych ocenianej uczelni jest wysoki.49])</f>
        <v>33</v>
      </c>
      <c r="HQ39" s="7">
        <f>COUNTBLANK(AnalizaCzyste[Jakie inne efekty pracy ocenianej uczelni dostrzegasz obecnie?50])</f>
        <v>33</v>
      </c>
      <c r="HR39" s="7">
        <f>COUNTBLANK(AnalizaCzyste[Jakie, Twoim zdaniem, elementy decydują o tym, że uczelnie są lepsze lub gorsze.])</f>
        <v>2</v>
      </c>
      <c r="HS39" s="7">
        <f>COUNTBLANK(AnalizaCzyste[Kolumna51])</f>
        <v>2</v>
      </c>
      <c r="HT39" s="7">
        <f>COUNTBLANK(AnalizaCzyste[Kolumna52])</f>
        <v>2</v>
      </c>
      <c r="HU39" s="7">
        <f>COUNTBLANK(AnalizaCzyste[Płeć])</f>
        <v>0</v>
      </c>
      <c r="HV39" s="7">
        <f>COUNTBLANK(AnalizaCzyste[Rok urodzenia])</f>
        <v>0</v>
      </c>
      <c r="HW39" s="7"/>
      <c r="HX39" s="7">
        <f>COUNTBLANK(AnalizaCzyste[Z jakiej wielkości miejscowości pochodzisz? (dotyczy miejscowości, w której się wychowałaś/eś])</f>
        <v>2</v>
      </c>
    </row>
    <row r="40" spans="1:235" ht="14.65" thickBot="1" x14ac:dyDescent="0.5">
      <c r="AJ40">
        <f t="shared" ref="AJ40:CV40" si="4">SUM(AJ37:AJ39)</f>
        <v>33</v>
      </c>
      <c r="AK40">
        <f t="shared" si="4"/>
        <v>0</v>
      </c>
      <c r="AL40">
        <f t="shared" si="4"/>
        <v>0</v>
      </c>
      <c r="AM40">
        <f t="shared" si="4"/>
        <v>0</v>
      </c>
      <c r="AN40">
        <f t="shared" si="4"/>
        <v>0</v>
      </c>
      <c r="AO40">
        <f t="shared" si="4"/>
        <v>0</v>
      </c>
      <c r="AP40">
        <f t="shared" si="4"/>
        <v>0</v>
      </c>
      <c r="AQ40">
        <f t="shared" si="4"/>
        <v>0</v>
      </c>
      <c r="AR40">
        <f t="shared" si="4"/>
        <v>0</v>
      </c>
      <c r="AS40">
        <f t="shared" si="4"/>
        <v>0</v>
      </c>
      <c r="AT40">
        <f t="shared" si="4"/>
        <v>0</v>
      </c>
      <c r="AU40">
        <f t="shared" si="4"/>
        <v>0</v>
      </c>
      <c r="AV40">
        <f t="shared" si="4"/>
        <v>0</v>
      </c>
      <c r="AW40">
        <f t="shared" si="4"/>
        <v>0</v>
      </c>
      <c r="AX40">
        <f t="shared" si="4"/>
        <v>0</v>
      </c>
      <c r="AY40">
        <f t="shared" si="4"/>
        <v>0</v>
      </c>
      <c r="AZ40">
        <f t="shared" si="4"/>
        <v>33</v>
      </c>
      <c r="BA40">
        <f t="shared" si="4"/>
        <v>0</v>
      </c>
      <c r="BC40">
        <f t="shared" si="4"/>
        <v>0</v>
      </c>
      <c r="BD40">
        <f t="shared" si="4"/>
        <v>0</v>
      </c>
      <c r="BE40">
        <f t="shared" si="4"/>
        <v>0</v>
      </c>
      <c r="BF40">
        <f t="shared" si="4"/>
        <v>0</v>
      </c>
      <c r="BG40">
        <f t="shared" si="4"/>
        <v>0</v>
      </c>
      <c r="BH40">
        <f t="shared" si="4"/>
        <v>0</v>
      </c>
      <c r="BI40">
        <f t="shared" si="4"/>
        <v>0</v>
      </c>
      <c r="BJ40">
        <f t="shared" si="4"/>
        <v>0</v>
      </c>
      <c r="BK40">
        <f t="shared" si="4"/>
        <v>0</v>
      </c>
      <c r="BL40">
        <f t="shared" si="4"/>
        <v>0</v>
      </c>
      <c r="BM40">
        <f t="shared" si="4"/>
        <v>0</v>
      </c>
      <c r="BN40">
        <f t="shared" si="4"/>
        <v>0</v>
      </c>
      <c r="BO40">
        <f t="shared" si="4"/>
        <v>0</v>
      </c>
      <c r="BP40">
        <f t="shared" si="4"/>
        <v>0</v>
      </c>
      <c r="BQ40">
        <f t="shared" si="4"/>
        <v>0</v>
      </c>
      <c r="BR40">
        <f t="shared" si="4"/>
        <v>0</v>
      </c>
      <c r="BS40">
        <f t="shared" si="4"/>
        <v>33</v>
      </c>
      <c r="BT40">
        <f t="shared" si="4"/>
        <v>0</v>
      </c>
      <c r="BU40">
        <f t="shared" si="4"/>
        <v>0</v>
      </c>
      <c r="BV40">
        <f t="shared" si="4"/>
        <v>0</v>
      </c>
      <c r="BW40">
        <f t="shared" si="4"/>
        <v>0</v>
      </c>
      <c r="BX40">
        <f t="shared" si="4"/>
        <v>0</v>
      </c>
      <c r="BY40">
        <f t="shared" si="4"/>
        <v>0</v>
      </c>
      <c r="BZ40">
        <f t="shared" si="4"/>
        <v>0</v>
      </c>
      <c r="CA40">
        <f t="shared" si="4"/>
        <v>0</v>
      </c>
      <c r="CB40">
        <f t="shared" si="4"/>
        <v>0</v>
      </c>
      <c r="CC40">
        <f t="shared" si="4"/>
        <v>0</v>
      </c>
      <c r="CD40">
        <f t="shared" si="4"/>
        <v>0</v>
      </c>
      <c r="CE40">
        <f t="shared" si="4"/>
        <v>0</v>
      </c>
      <c r="CF40">
        <f t="shared" si="4"/>
        <v>0</v>
      </c>
      <c r="CG40">
        <f t="shared" si="4"/>
        <v>0</v>
      </c>
      <c r="CH40">
        <f t="shared" si="4"/>
        <v>0</v>
      </c>
      <c r="CI40">
        <f t="shared" si="4"/>
        <v>0</v>
      </c>
      <c r="CJ40">
        <f t="shared" si="4"/>
        <v>0</v>
      </c>
      <c r="CK40">
        <f t="shared" si="4"/>
        <v>0</v>
      </c>
      <c r="CL40">
        <f t="shared" si="4"/>
        <v>0</v>
      </c>
      <c r="CM40">
        <f t="shared" si="4"/>
        <v>0</v>
      </c>
      <c r="CN40">
        <f t="shared" si="4"/>
        <v>0</v>
      </c>
      <c r="CO40">
        <f t="shared" si="4"/>
        <v>0</v>
      </c>
      <c r="CP40">
        <f t="shared" si="4"/>
        <v>0</v>
      </c>
      <c r="CQ40">
        <f t="shared" si="4"/>
        <v>0</v>
      </c>
      <c r="CR40">
        <f t="shared" si="4"/>
        <v>0</v>
      </c>
      <c r="CS40">
        <f t="shared" si="4"/>
        <v>0</v>
      </c>
      <c r="CT40">
        <f t="shared" si="4"/>
        <v>0</v>
      </c>
      <c r="CU40">
        <f t="shared" si="4"/>
        <v>0</v>
      </c>
      <c r="CV40">
        <f t="shared" si="4"/>
        <v>0</v>
      </c>
      <c r="CW40">
        <f t="shared" ref="CW40:EG40" si="5">SUM(CW37:CW39)</f>
        <v>0</v>
      </c>
      <c r="CX40">
        <f t="shared" si="5"/>
        <v>0</v>
      </c>
      <c r="CY40">
        <f t="shared" si="5"/>
        <v>0</v>
      </c>
      <c r="CZ40">
        <f t="shared" si="5"/>
        <v>0</v>
      </c>
      <c r="DA40">
        <f t="shared" si="5"/>
        <v>0</v>
      </c>
      <c r="DB40">
        <f t="shared" si="5"/>
        <v>0</v>
      </c>
      <c r="DC40">
        <f t="shared" si="5"/>
        <v>0</v>
      </c>
      <c r="DD40">
        <f t="shared" si="5"/>
        <v>0</v>
      </c>
      <c r="DE40">
        <f t="shared" si="5"/>
        <v>0</v>
      </c>
      <c r="DF40">
        <f t="shared" si="5"/>
        <v>0</v>
      </c>
      <c r="DG40">
        <f t="shared" si="5"/>
        <v>0</v>
      </c>
      <c r="DH40">
        <f t="shared" si="5"/>
        <v>0</v>
      </c>
      <c r="DI40">
        <f t="shared" si="5"/>
        <v>0</v>
      </c>
      <c r="DJ40">
        <f t="shared" si="5"/>
        <v>0</v>
      </c>
      <c r="DK40">
        <f t="shared" si="5"/>
        <v>0</v>
      </c>
      <c r="DL40">
        <f t="shared" si="5"/>
        <v>0</v>
      </c>
      <c r="DM40">
        <f t="shared" si="5"/>
        <v>33</v>
      </c>
      <c r="DN40">
        <f t="shared" si="5"/>
        <v>0</v>
      </c>
      <c r="DO40">
        <f t="shared" si="5"/>
        <v>0</v>
      </c>
      <c r="DP40">
        <f t="shared" si="5"/>
        <v>0</v>
      </c>
      <c r="DQ40">
        <f t="shared" si="5"/>
        <v>0</v>
      </c>
      <c r="DR40">
        <f t="shared" si="5"/>
        <v>0</v>
      </c>
      <c r="DS40">
        <f t="shared" si="5"/>
        <v>0</v>
      </c>
      <c r="DT40">
        <f t="shared" si="5"/>
        <v>0</v>
      </c>
      <c r="DU40">
        <f t="shared" si="5"/>
        <v>0</v>
      </c>
      <c r="DV40">
        <f t="shared" si="5"/>
        <v>0</v>
      </c>
      <c r="DW40">
        <f t="shared" si="5"/>
        <v>33</v>
      </c>
      <c r="DX40">
        <f t="shared" si="5"/>
        <v>0</v>
      </c>
      <c r="DY40">
        <f t="shared" si="5"/>
        <v>0</v>
      </c>
      <c r="DZ40">
        <f t="shared" si="5"/>
        <v>0</v>
      </c>
      <c r="EA40">
        <f t="shared" si="5"/>
        <v>0</v>
      </c>
      <c r="EB40">
        <f t="shared" si="5"/>
        <v>0</v>
      </c>
      <c r="EC40">
        <f t="shared" si="5"/>
        <v>0</v>
      </c>
      <c r="ED40">
        <f t="shared" si="5"/>
        <v>0</v>
      </c>
      <c r="EE40">
        <f t="shared" si="5"/>
        <v>0</v>
      </c>
      <c r="EF40">
        <f t="shared" si="5"/>
        <v>0</v>
      </c>
      <c r="EG40">
        <f t="shared" si="5"/>
        <v>33</v>
      </c>
      <c r="EH40">
        <f>SUM(EH37:EH39)</f>
        <v>0</v>
      </c>
      <c r="EI40">
        <f t="shared" ref="EI40:GT40" si="6">SUM(EI37:EI39)</f>
        <v>0</v>
      </c>
      <c r="EJ40">
        <f t="shared" si="6"/>
        <v>0</v>
      </c>
      <c r="EK40">
        <f t="shared" si="6"/>
        <v>0</v>
      </c>
      <c r="EL40">
        <f t="shared" si="6"/>
        <v>0</v>
      </c>
      <c r="EM40">
        <f t="shared" si="6"/>
        <v>0</v>
      </c>
      <c r="EN40">
        <f t="shared" si="6"/>
        <v>0</v>
      </c>
      <c r="EO40">
        <f t="shared" si="6"/>
        <v>0</v>
      </c>
      <c r="EP40">
        <f t="shared" si="6"/>
        <v>0</v>
      </c>
      <c r="EQ40">
        <f t="shared" si="6"/>
        <v>0</v>
      </c>
      <c r="ER40">
        <f t="shared" si="6"/>
        <v>0</v>
      </c>
      <c r="ES40">
        <f t="shared" si="6"/>
        <v>0</v>
      </c>
      <c r="ET40">
        <f t="shared" si="6"/>
        <v>0</v>
      </c>
      <c r="EU40">
        <f t="shared" si="6"/>
        <v>0</v>
      </c>
      <c r="EV40">
        <f t="shared" si="6"/>
        <v>0</v>
      </c>
      <c r="EW40">
        <f t="shared" si="6"/>
        <v>0</v>
      </c>
      <c r="EX40">
        <f t="shared" si="6"/>
        <v>0</v>
      </c>
      <c r="EY40">
        <f t="shared" si="6"/>
        <v>0</v>
      </c>
      <c r="EZ40">
        <f t="shared" si="6"/>
        <v>0</v>
      </c>
      <c r="FA40">
        <f t="shared" si="6"/>
        <v>0</v>
      </c>
      <c r="FB40">
        <f t="shared" si="6"/>
        <v>0</v>
      </c>
      <c r="FC40">
        <f t="shared" si="6"/>
        <v>0</v>
      </c>
      <c r="FD40">
        <f t="shared" si="6"/>
        <v>0</v>
      </c>
      <c r="FE40">
        <f t="shared" si="6"/>
        <v>0</v>
      </c>
      <c r="FF40">
        <f t="shared" si="6"/>
        <v>0</v>
      </c>
      <c r="FG40">
        <f t="shared" si="6"/>
        <v>0</v>
      </c>
      <c r="FH40">
        <f t="shared" si="6"/>
        <v>0</v>
      </c>
      <c r="FI40">
        <f t="shared" si="6"/>
        <v>0</v>
      </c>
      <c r="FJ40">
        <f t="shared" si="6"/>
        <v>33</v>
      </c>
      <c r="FK40">
        <f t="shared" si="6"/>
        <v>0</v>
      </c>
      <c r="FL40">
        <f t="shared" si="6"/>
        <v>0</v>
      </c>
      <c r="FM40">
        <f t="shared" si="6"/>
        <v>0</v>
      </c>
      <c r="FN40">
        <f t="shared" si="6"/>
        <v>0</v>
      </c>
      <c r="FO40">
        <f t="shared" si="6"/>
        <v>0</v>
      </c>
      <c r="FP40">
        <f t="shared" si="6"/>
        <v>0</v>
      </c>
      <c r="FQ40">
        <f t="shared" si="6"/>
        <v>0</v>
      </c>
      <c r="FR40">
        <f t="shared" si="6"/>
        <v>0</v>
      </c>
      <c r="FS40">
        <f t="shared" si="6"/>
        <v>0</v>
      </c>
      <c r="FT40">
        <f t="shared" si="6"/>
        <v>0</v>
      </c>
      <c r="FU40">
        <f t="shared" si="6"/>
        <v>0</v>
      </c>
      <c r="FV40">
        <f t="shared" si="6"/>
        <v>0</v>
      </c>
      <c r="FW40">
        <f t="shared" si="6"/>
        <v>0</v>
      </c>
      <c r="FX40">
        <f t="shared" si="6"/>
        <v>0</v>
      </c>
      <c r="FY40">
        <f t="shared" si="6"/>
        <v>0</v>
      </c>
      <c r="FZ40">
        <f t="shared" si="6"/>
        <v>0</v>
      </c>
      <c r="GA40">
        <f t="shared" si="6"/>
        <v>0</v>
      </c>
      <c r="GB40">
        <f t="shared" si="6"/>
        <v>0</v>
      </c>
      <c r="GC40">
        <f t="shared" si="6"/>
        <v>0</v>
      </c>
      <c r="GD40">
        <f t="shared" si="6"/>
        <v>0</v>
      </c>
      <c r="GE40">
        <f t="shared" si="6"/>
        <v>0</v>
      </c>
      <c r="GF40">
        <f t="shared" si="6"/>
        <v>0</v>
      </c>
      <c r="GG40">
        <f t="shared" si="6"/>
        <v>0</v>
      </c>
      <c r="GH40">
        <f t="shared" si="6"/>
        <v>0</v>
      </c>
      <c r="GI40">
        <f t="shared" si="6"/>
        <v>0</v>
      </c>
      <c r="GJ40">
        <f t="shared" si="6"/>
        <v>33</v>
      </c>
      <c r="GK40">
        <f t="shared" si="6"/>
        <v>17</v>
      </c>
      <c r="GL40">
        <f t="shared" si="6"/>
        <v>31</v>
      </c>
      <c r="GM40">
        <f t="shared" si="6"/>
        <v>21</v>
      </c>
      <c r="GN40">
        <f t="shared" si="6"/>
        <v>31</v>
      </c>
      <c r="GO40">
        <f t="shared" si="6"/>
        <v>31</v>
      </c>
      <c r="GP40">
        <f t="shared" si="6"/>
        <v>31</v>
      </c>
      <c r="GQ40">
        <f t="shared" si="6"/>
        <v>31</v>
      </c>
      <c r="GR40">
        <f t="shared" si="6"/>
        <v>31</v>
      </c>
      <c r="GS40">
        <f t="shared" si="6"/>
        <v>31</v>
      </c>
      <c r="GT40">
        <f t="shared" si="6"/>
        <v>31</v>
      </c>
      <c r="GU40">
        <f t="shared" ref="GU40:HU40" si="7">SUM(GU37:GU39)</f>
        <v>31</v>
      </c>
      <c r="GV40">
        <f t="shared" si="7"/>
        <v>33</v>
      </c>
      <c r="GW40">
        <f t="shared" si="7"/>
        <v>32</v>
      </c>
      <c r="GX40">
        <f t="shared" si="7"/>
        <v>33</v>
      </c>
      <c r="GY40">
        <f t="shared" si="7"/>
        <v>33</v>
      </c>
      <c r="GZ40">
        <f t="shared" si="7"/>
        <v>33</v>
      </c>
      <c r="HA40">
        <f t="shared" si="7"/>
        <v>33</v>
      </c>
      <c r="HB40">
        <f t="shared" si="7"/>
        <v>33</v>
      </c>
      <c r="HC40">
        <f t="shared" si="7"/>
        <v>33</v>
      </c>
      <c r="HD40">
        <f t="shared" si="7"/>
        <v>33</v>
      </c>
      <c r="HE40">
        <f t="shared" si="7"/>
        <v>33</v>
      </c>
      <c r="HF40">
        <f t="shared" si="7"/>
        <v>33</v>
      </c>
      <c r="HG40">
        <f t="shared" si="7"/>
        <v>33</v>
      </c>
      <c r="HH40">
        <f t="shared" si="7"/>
        <v>33</v>
      </c>
      <c r="HI40">
        <f t="shared" si="7"/>
        <v>33</v>
      </c>
      <c r="HJ40">
        <f t="shared" si="7"/>
        <v>33</v>
      </c>
      <c r="HK40">
        <f t="shared" si="7"/>
        <v>33</v>
      </c>
      <c r="HL40">
        <f t="shared" si="7"/>
        <v>33</v>
      </c>
      <c r="HM40">
        <f t="shared" si="7"/>
        <v>33</v>
      </c>
      <c r="HN40">
        <f t="shared" si="7"/>
        <v>33</v>
      </c>
      <c r="HO40">
        <f t="shared" si="7"/>
        <v>33</v>
      </c>
      <c r="HP40">
        <f t="shared" si="7"/>
        <v>33</v>
      </c>
      <c r="HQ40">
        <f t="shared" si="7"/>
        <v>33</v>
      </c>
      <c r="HR40">
        <f t="shared" si="7"/>
        <v>3</v>
      </c>
      <c r="HS40">
        <f t="shared" si="7"/>
        <v>4</v>
      </c>
      <c r="HT40">
        <f t="shared" si="7"/>
        <v>3</v>
      </c>
      <c r="HU40">
        <f t="shared" si="7"/>
        <v>33</v>
      </c>
      <c r="HV40">
        <f>SUM(HU36,HV39)</f>
        <v>33</v>
      </c>
      <c r="HX40">
        <f>SUM(HW36,HX39)</f>
        <v>33</v>
      </c>
    </row>
    <row r="41" spans="1:235" ht="14.65" thickTop="1" x14ac:dyDescent="0.45">
      <c r="AJ41" s="7"/>
      <c r="ET41" t="e">
        <f>SUM(#REF!,#REF!,#REF!,#REF!,#REF!)</f>
        <v>#REF!</v>
      </c>
      <c r="EU41" t="e">
        <f>SUM(#REF!,#REF!,#REF!,#REF!,#REF!)</f>
        <v>#REF!</v>
      </c>
      <c r="EV41" t="e">
        <f>SUM(#REF!,#REF!,#REF!,#REF!,#REF!)</f>
        <v>#REF!</v>
      </c>
      <c r="EW41" t="e">
        <f>SUM(#REF!,#REF!,#REF!,#REF!,#REF!)</f>
        <v>#REF!</v>
      </c>
      <c r="EX41" t="e">
        <f>SUM(#REF!,#REF!,#REF!,#REF!,#REF!)</f>
        <v>#REF!</v>
      </c>
      <c r="EY41" t="e">
        <f>SUM(#REF!,#REF!,#REF!,#REF!,#REF!)</f>
        <v>#REF!</v>
      </c>
      <c r="EZ41" t="e">
        <f>SUM(#REF!,#REF!,#REF!,#REF!,#REF!)</f>
        <v>#REF!</v>
      </c>
      <c r="FA41" t="e">
        <f>SUM(ET41:EZ41)</f>
        <v>#REF!</v>
      </c>
      <c r="FB41" t="e">
        <f>SUM(#REF!,#REF!,#REF!,#REF!,#REF!)</f>
        <v>#REF!</v>
      </c>
      <c r="FC41" t="e">
        <f>SUM(#REF!,#REF!,#REF!,#REF!,#REF!)</f>
        <v>#REF!</v>
      </c>
      <c r="FD41" t="e">
        <f>SUM(#REF!,#REF!,#REF!,#REF!,#REF!)</f>
        <v>#REF!</v>
      </c>
      <c r="FE41" t="e">
        <f>SUM(#REF!,#REF!,#REF!,#REF!,#REF!)</f>
        <v>#REF!</v>
      </c>
      <c r="FF41" t="e">
        <f>SUM(#REF!,#REF!,#REF!,#REF!,#REF!)</f>
        <v>#REF!</v>
      </c>
      <c r="FG41" t="e">
        <f>SUM(#REF!,#REF!,#REF!,#REF!,#REF!)</f>
        <v>#REF!</v>
      </c>
      <c r="FH41" t="e">
        <f>SUM(#REF!,#REF!,#REF!,#REF!,#REF!)</f>
        <v>#REF!</v>
      </c>
      <c r="FI41" t="e">
        <f>SUM(FB41:FH41)</f>
        <v>#REF!</v>
      </c>
    </row>
    <row r="42" spans="1:235" x14ac:dyDescent="0.45">
      <c r="ET42" s="33" t="e">
        <f t="shared" ref="ET42:EZ42" si="8">ET41/$FA$41</f>
        <v>#REF!</v>
      </c>
      <c r="EU42" s="33" t="e">
        <f t="shared" si="8"/>
        <v>#REF!</v>
      </c>
      <c r="EV42" s="33" t="e">
        <f t="shared" si="8"/>
        <v>#REF!</v>
      </c>
      <c r="EW42" s="33" t="e">
        <f t="shared" si="8"/>
        <v>#REF!</v>
      </c>
      <c r="EX42" s="33" t="e">
        <f t="shared" si="8"/>
        <v>#REF!</v>
      </c>
      <c r="EY42" s="33" t="e">
        <f t="shared" si="8"/>
        <v>#REF!</v>
      </c>
      <c r="EZ42" s="33" t="e">
        <f t="shared" si="8"/>
        <v>#REF!</v>
      </c>
      <c r="FA42" s="33" t="e">
        <f>SUM(ET42:EZ42)</f>
        <v>#REF!</v>
      </c>
      <c r="FB42" s="33" t="e">
        <f t="shared" ref="FB42:FH42" si="9">FB41/$FA$41</f>
        <v>#REF!</v>
      </c>
      <c r="FC42" s="33" t="e">
        <f t="shared" si="9"/>
        <v>#REF!</v>
      </c>
      <c r="FD42" s="33" t="e">
        <f t="shared" si="9"/>
        <v>#REF!</v>
      </c>
      <c r="FE42" s="33" t="e">
        <f t="shared" si="9"/>
        <v>#REF!</v>
      </c>
      <c r="FF42" s="33" t="e">
        <f t="shared" si="9"/>
        <v>#REF!</v>
      </c>
      <c r="FG42" s="33" t="e">
        <f t="shared" si="9"/>
        <v>#REF!</v>
      </c>
      <c r="FH42" s="33" t="e">
        <f t="shared" si="9"/>
        <v>#REF!</v>
      </c>
      <c r="FI42" s="33" t="e">
        <f>SUM(FB42:FH42)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114"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topLeftCell="A27" workbookViewId="0">
      <selection activeCell="F30" sqref="F30"/>
    </sheetView>
  </sheetViews>
  <sheetFormatPr defaultRowHeight="14.25" x14ac:dyDescent="0.45"/>
  <cols>
    <col min="1" max="1" width="18.33203125" customWidth="1"/>
    <col min="2" max="2" width="29.46484375" customWidth="1"/>
    <col min="3" max="3" width="23.6640625" customWidth="1"/>
    <col min="4" max="4" width="12.19921875" customWidth="1"/>
    <col min="6" max="6" width="17.73046875" customWidth="1"/>
    <col min="7" max="7" width="20.6640625" customWidth="1"/>
  </cols>
  <sheetData>
    <row r="1" spans="2:4" x14ac:dyDescent="0.45">
      <c r="C1" s="20" t="s">
        <v>2486</v>
      </c>
    </row>
    <row r="2" spans="2:4" x14ac:dyDescent="0.45">
      <c r="B2" s="20" t="s">
        <v>2315</v>
      </c>
      <c r="C2" s="20" t="s">
        <v>2312</v>
      </c>
    </row>
    <row r="3" spans="2:4" x14ac:dyDescent="0.45">
      <c r="B3">
        <v>1930</v>
      </c>
      <c r="C3" s="20" t="s">
        <v>2314</v>
      </c>
    </row>
    <row r="4" spans="2:4" x14ac:dyDescent="0.45">
      <c r="B4">
        <v>1955</v>
      </c>
      <c r="C4" s="20" t="s">
        <v>2449</v>
      </c>
    </row>
    <row r="5" spans="2:4" x14ac:dyDescent="0.45">
      <c r="B5">
        <v>1965</v>
      </c>
      <c r="C5" s="20" t="s">
        <v>2450</v>
      </c>
    </row>
    <row r="6" spans="2:4" x14ac:dyDescent="0.45">
      <c r="B6">
        <v>1975</v>
      </c>
      <c r="C6" s="20" t="s">
        <v>2451</v>
      </c>
    </row>
    <row r="7" spans="2:4" x14ac:dyDescent="0.45">
      <c r="B7">
        <v>1985</v>
      </c>
      <c r="C7" s="20" t="s">
        <v>2452</v>
      </c>
    </row>
    <row r="8" spans="2:4" x14ac:dyDescent="0.45">
      <c r="B8">
        <v>1995</v>
      </c>
      <c r="C8" s="20" t="s">
        <v>2313</v>
      </c>
    </row>
    <row r="9" spans="2:4" x14ac:dyDescent="0.45">
      <c r="C9" s="20"/>
    </row>
    <row r="10" spans="2:4" x14ac:dyDescent="0.45">
      <c r="C10" s="20"/>
    </row>
    <row r="11" spans="2:4" x14ac:dyDescent="0.45">
      <c r="B11" s="20" t="s">
        <v>2319</v>
      </c>
      <c r="C11" s="20" t="s">
        <v>2324</v>
      </c>
      <c r="D11" s="20" t="s">
        <v>2760</v>
      </c>
    </row>
    <row r="12" spans="2:4" x14ac:dyDescent="0.45">
      <c r="B12" s="28" t="s">
        <v>987</v>
      </c>
      <c r="C12" s="20" t="s">
        <v>2323</v>
      </c>
      <c r="D12" s="20" t="s">
        <v>2761</v>
      </c>
    </row>
    <row r="13" spans="2:4" x14ac:dyDescent="0.45">
      <c r="B13" s="28" t="s">
        <v>1503</v>
      </c>
      <c r="C13" s="20" t="s">
        <v>2321</v>
      </c>
      <c r="D13" s="20" t="s">
        <v>2760</v>
      </c>
    </row>
    <row r="14" spans="2:4" x14ac:dyDescent="0.45">
      <c r="B14" s="28" t="s">
        <v>234</v>
      </c>
      <c r="C14" s="20" t="s">
        <v>2321</v>
      </c>
      <c r="D14" s="20" t="s">
        <v>2761</v>
      </c>
    </row>
    <row r="15" spans="2:4" ht="28.5" x14ac:dyDescent="0.45">
      <c r="B15" s="28" t="s">
        <v>2270</v>
      </c>
      <c r="C15" s="20" t="s">
        <v>2321</v>
      </c>
      <c r="D15" s="20" t="s">
        <v>2761</v>
      </c>
    </row>
    <row r="16" spans="2:4" x14ac:dyDescent="0.45">
      <c r="B16" s="28" t="s">
        <v>2269</v>
      </c>
      <c r="C16" s="20" t="s">
        <v>2321</v>
      </c>
      <c r="D16" s="20" t="s">
        <v>2761</v>
      </c>
    </row>
    <row r="17" spans="2:4" ht="28.5" x14ac:dyDescent="0.45">
      <c r="B17" s="28" t="s">
        <v>2268</v>
      </c>
      <c r="C17" s="20" t="s">
        <v>2321</v>
      </c>
      <c r="D17" s="20" t="s">
        <v>2761</v>
      </c>
    </row>
    <row r="18" spans="2:4" x14ac:dyDescent="0.45">
      <c r="B18" s="28" t="s">
        <v>995</v>
      </c>
      <c r="C18" s="20" t="s">
        <v>2321</v>
      </c>
      <c r="D18" s="20" t="s">
        <v>2761</v>
      </c>
    </row>
    <row r="19" spans="2:4" x14ac:dyDescent="0.45">
      <c r="B19" s="28" t="s">
        <v>1461</v>
      </c>
      <c r="C19" s="20" t="s">
        <v>2321</v>
      </c>
      <c r="D19" s="20" t="s">
        <v>2761</v>
      </c>
    </row>
    <row r="20" spans="2:4" x14ac:dyDescent="0.45">
      <c r="B20" s="28" t="s">
        <v>428</v>
      </c>
      <c r="C20" s="20" t="s">
        <v>2321</v>
      </c>
      <c r="D20" s="20" t="s">
        <v>2761</v>
      </c>
    </row>
    <row r="21" spans="2:4" x14ac:dyDescent="0.45">
      <c r="B21" s="28" t="s">
        <v>191</v>
      </c>
      <c r="C21" s="20" t="s">
        <v>2321</v>
      </c>
      <c r="D21" s="20" t="s">
        <v>2760</v>
      </c>
    </row>
    <row r="22" spans="2:4" x14ac:dyDescent="0.45">
      <c r="B22" s="28" t="s">
        <v>2318</v>
      </c>
      <c r="C22" s="20" t="s">
        <v>2321</v>
      </c>
      <c r="D22" s="20" t="s">
        <v>2760</v>
      </c>
    </row>
    <row r="23" spans="2:4" x14ac:dyDescent="0.45">
      <c r="B23" s="28" t="s">
        <v>1415</v>
      </c>
      <c r="C23" s="20" t="s">
        <v>2321</v>
      </c>
      <c r="D23" s="20" t="s">
        <v>2760</v>
      </c>
    </row>
    <row r="24" spans="2:4" x14ac:dyDescent="0.45">
      <c r="B24" s="28" t="s">
        <v>1090</v>
      </c>
      <c r="C24" s="20" t="s">
        <v>2321</v>
      </c>
      <c r="D24" s="20" t="s">
        <v>2760</v>
      </c>
    </row>
    <row r="25" spans="2:4" x14ac:dyDescent="0.45">
      <c r="B25" s="28" t="s">
        <v>862</v>
      </c>
      <c r="C25" s="20" t="s">
        <v>2321</v>
      </c>
      <c r="D25" s="20" t="s">
        <v>2761</v>
      </c>
    </row>
    <row r="26" spans="2:4" x14ac:dyDescent="0.45">
      <c r="B26" s="28" t="s">
        <v>1290</v>
      </c>
      <c r="C26" s="20" t="s">
        <v>2323</v>
      </c>
      <c r="D26" s="20" t="s">
        <v>2761</v>
      </c>
    </row>
    <row r="27" spans="2:4" x14ac:dyDescent="0.45">
      <c r="B27" s="28" t="s">
        <v>1514</v>
      </c>
      <c r="C27" s="20" t="s">
        <v>2322</v>
      </c>
      <c r="D27" s="20" t="s">
        <v>2761</v>
      </c>
    </row>
    <row r="28" spans="2:4" ht="28.5" x14ac:dyDescent="0.45">
      <c r="B28" s="28" t="s">
        <v>2271</v>
      </c>
      <c r="C28" s="20" t="s">
        <v>2321</v>
      </c>
      <c r="D28" s="20" t="s">
        <v>2761</v>
      </c>
    </row>
    <row r="29" spans="2:4" ht="28.5" x14ac:dyDescent="0.45">
      <c r="B29" s="28" t="s">
        <v>553</v>
      </c>
      <c r="C29" s="20" t="s">
        <v>2321</v>
      </c>
      <c r="D29" s="20" t="s">
        <v>2761</v>
      </c>
    </row>
    <row r="30" spans="2:4" ht="28.5" x14ac:dyDescent="0.45">
      <c r="B30" s="28" t="s">
        <v>1472</v>
      </c>
      <c r="C30" s="20" t="s">
        <v>2321</v>
      </c>
      <c r="D30" s="20" t="s">
        <v>2761</v>
      </c>
    </row>
    <row r="31" spans="2:4" x14ac:dyDescent="0.45">
      <c r="B31" s="28" t="s">
        <v>223</v>
      </c>
      <c r="C31" s="20" t="s">
        <v>2321</v>
      </c>
      <c r="D31" s="20" t="s">
        <v>2761</v>
      </c>
    </row>
    <row r="32" spans="2:4" x14ac:dyDescent="0.45">
      <c r="B32" s="28" t="s">
        <v>445</v>
      </c>
      <c r="C32" s="20" t="s">
        <v>2321</v>
      </c>
      <c r="D32" s="20" t="s">
        <v>2761</v>
      </c>
    </row>
    <row r="33" spans="2:7" ht="28.5" x14ac:dyDescent="0.45">
      <c r="B33" s="28" t="s">
        <v>2272</v>
      </c>
      <c r="C33" s="20" t="s">
        <v>2321</v>
      </c>
      <c r="D33" s="20" t="s">
        <v>2761</v>
      </c>
    </row>
    <row r="34" spans="2:7" x14ac:dyDescent="0.45">
      <c r="B34" s="28" t="s">
        <v>813</v>
      </c>
      <c r="C34" s="20" t="s">
        <v>2321</v>
      </c>
      <c r="D34" s="20" t="s">
        <v>2761</v>
      </c>
    </row>
    <row r="35" spans="2:7" x14ac:dyDescent="0.45">
      <c r="B35" s="28" t="s">
        <v>1712</v>
      </c>
      <c r="C35" s="20" t="s">
        <v>2321</v>
      </c>
      <c r="D35" s="20" t="s">
        <v>2761</v>
      </c>
    </row>
    <row r="36" spans="2:7" ht="28.5" x14ac:dyDescent="0.45">
      <c r="B36" s="28" t="s">
        <v>1636</v>
      </c>
      <c r="C36" s="20" t="s">
        <v>2321</v>
      </c>
      <c r="D36" s="20" t="s">
        <v>2761</v>
      </c>
    </row>
    <row r="37" spans="2:7" x14ac:dyDescent="0.45">
      <c r="B37" s="28" t="s">
        <v>975</v>
      </c>
      <c r="C37" s="20" t="s">
        <v>2321</v>
      </c>
      <c r="D37" s="20" t="s">
        <v>2761</v>
      </c>
    </row>
    <row r="38" spans="2:7" x14ac:dyDescent="0.45">
      <c r="B38" s="28" t="s">
        <v>701</v>
      </c>
      <c r="C38" s="20" t="s">
        <v>2321</v>
      </c>
      <c r="D38" s="20" t="s">
        <v>2761</v>
      </c>
    </row>
    <row r="39" spans="2:7" x14ac:dyDescent="0.45">
      <c r="B39" s="28" t="s">
        <v>800</v>
      </c>
      <c r="C39" s="20" t="s">
        <v>2321</v>
      </c>
      <c r="D39" s="20" t="s">
        <v>2761</v>
      </c>
    </row>
    <row r="40" spans="2:7" x14ac:dyDescent="0.45">
      <c r="B40" s="28" t="s">
        <v>160</v>
      </c>
      <c r="C40" s="20" t="s">
        <v>2321</v>
      </c>
      <c r="D40" s="20" t="s">
        <v>2761</v>
      </c>
    </row>
    <row r="41" spans="2:7" x14ac:dyDescent="0.45">
      <c r="B41" s="28" t="s">
        <v>1439</v>
      </c>
      <c r="C41" s="20" t="s">
        <v>2323</v>
      </c>
      <c r="D41" s="20" t="s">
        <v>2761</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50"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 t="shared" si="0"/>
        <v>2.7142857142857144</v>
      </c>
      <c r="F50" s="44">
        <f>D47</f>
        <v>5.2857142857142856</v>
      </c>
      <c r="G50" s="50" t="s">
        <v>150</v>
      </c>
    </row>
    <row r="51" spans="2:10" x14ac:dyDescent="0.45">
      <c r="B51" t="s">
        <v>129</v>
      </c>
      <c r="C51">
        <v>1</v>
      </c>
      <c r="D51" s="44">
        <f>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1">TINV(E$56,$C57)</f>
        <v>3.077683537175254</v>
      </c>
      <c r="F57">
        <f t="shared" si="1"/>
        <v>6.3137515146750438</v>
      </c>
      <c r="G57">
        <f t="shared" si="1"/>
        <v>12.706204736174707</v>
      </c>
      <c r="H57">
        <f t="shared" si="1"/>
        <v>63.656741162871583</v>
      </c>
      <c r="I57">
        <f t="shared" si="1"/>
        <v>127.32133646887215</v>
      </c>
      <c r="J57">
        <f t="shared" si="1"/>
        <v>636.61924876871956</v>
      </c>
    </row>
    <row r="58" spans="2:10" x14ac:dyDescent="0.45">
      <c r="C58" s="29">
        <v>2</v>
      </c>
      <c r="D58">
        <f t="shared" ref="D58:J89" si="2">TINV(D$56,$C58)</f>
        <v>0.81649658092772592</v>
      </c>
      <c r="E58">
        <f t="shared" si="1"/>
        <v>1.8856180831641267</v>
      </c>
      <c r="F58">
        <f t="shared" si="1"/>
        <v>2.9199855803537269</v>
      </c>
      <c r="G58">
        <f t="shared" si="1"/>
        <v>4.3026527297494637</v>
      </c>
      <c r="H58">
        <f t="shared" si="1"/>
        <v>9.9248432009182928</v>
      </c>
      <c r="I58">
        <f t="shared" si="1"/>
        <v>14.089047275555295</v>
      </c>
      <c r="J58">
        <f t="shared" si="1"/>
        <v>31.599054576443621</v>
      </c>
    </row>
    <row r="59" spans="2:10" x14ac:dyDescent="0.45">
      <c r="C59" s="29">
        <v>3</v>
      </c>
      <c r="D59">
        <f t="shared" si="2"/>
        <v>0.76489232840434507</v>
      </c>
      <c r="E59">
        <f t="shared" si="1"/>
        <v>1.63774435369621</v>
      </c>
      <c r="F59">
        <f t="shared" si="1"/>
        <v>2.3533634348018233</v>
      </c>
      <c r="G59">
        <f t="shared" si="1"/>
        <v>3.1824463052837091</v>
      </c>
      <c r="H59">
        <f t="shared" si="1"/>
        <v>5.8409093097333571</v>
      </c>
      <c r="I59">
        <f t="shared" si="1"/>
        <v>7.4533185051506248</v>
      </c>
      <c r="J59">
        <f t="shared" si="1"/>
        <v>12.923978636687485</v>
      </c>
    </row>
    <row r="60" spans="2:10" x14ac:dyDescent="0.45">
      <c r="C60" s="29">
        <v>4</v>
      </c>
      <c r="D60">
        <f t="shared" si="2"/>
        <v>0.74069708411268287</v>
      </c>
      <c r="E60">
        <f t="shared" si="1"/>
        <v>1.5332062740589443</v>
      </c>
      <c r="F60">
        <f t="shared" si="1"/>
        <v>2.1318467863266499</v>
      </c>
      <c r="G60">
        <f t="shared" si="1"/>
        <v>2.7764451051977934</v>
      </c>
      <c r="H60">
        <f t="shared" si="1"/>
        <v>4.604094871349993</v>
      </c>
      <c r="I60">
        <f t="shared" si="1"/>
        <v>5.5975683670754597</v>
      </c>
      <c r="J60">
        <f t="shared" si="1"/>
        <v>8.6103015813792751</v>
      </c>
    </row>
    <row r="61" spans="2:10" x14ac:dyDescent="0.45">
      <c r="C61" s="29">
        <v>5</v>
      </c>
      <c r="D61">
        <f t="shared" si="2"/>
        <v>0.72668684380042159</v>
      </c>
      <c r="E61">
        <f t="shared" si="1"/>
        <v>1.4758840488244813</v>
      </c>
      <c r="F61">
        <f t="shared" si="1"/>
        <v>2.0150483733330233</v>
      </c>
      <c r="G61">
        <f t="shared" si="1"/>
        <v>2.570581835636315</v>
      </c>
      <c r="H61">
        <f t="shared" si="1"/>
        <v>4.0321429835552278</v>
      </c>
      <c r="I61">
        <f t="shared" si="1"/>
        <v>4.7733406048555223</v>
      </c>
      <c r="J61">
        <f t="shared" si="1"/>
        <v>6.8688266258811099</v>
      </c>
    </row>
    <row r="62" spans="2:10" x14ac:dyDescent="0.45">
      <c r="C62" s="29">
        <v>6</v>
      </c>
      <c r="D62">
        <f t="shared" si="2"/>
        <v>0.71755819649141217</v>
      </c>
      <c r="E62">
        <f t="shared" si="1"/>
        <v>1.4397557472651481</v>
      </c>
      <c r="F62">
        <f t="shared" si="1"/>
        <v>1.9431802805153031</v>
      </c>
      <c r="G62">
        <f t="shared" si="1"/>
        <v>2.4469118511449697</v>
      </c>
      <c r="H62">
        <f t="shared" si="1"/>
        <v>3.7074280213247794</v>
      </c>
      <c r="I62">
        <f t="shared" si="1"/>
        <v>4.3168271036333739</v>
      </c>
      <c r="J62">
        <f t="shared" si="1"/>
        <v>5.9588161788187586</v>
      </c>
    </row>
    <row r="63" spans="2:10" x14ac:dyDescent="0.45">
      <c r="C63" s="29">
        <v>7</v>
      </c>
      <c r="D63">
        <f t="shared" si="2"/>
        <v>0.71114177808178591</v>
      </c>
      <c r="E63">
        <f t="shared" si="1"/>
        <v>1.4149239276505079</v>
      </c>
      <c r="F63">
        <f t="shared" si="1"/>
        <v>1.8945786050900073</v>
      </c>
      <c r="G63">
        <f t="shared" si="1"/>
        <v>2.3646242515927849</v>
      </c>
      <c r="H63">
        <f t="shared" si="1"/>
        <v>3.4994832973504946</v>
      </c>
      <c r="I63">
        <f t="shared" si="1"/>
        <v>4.0293371776424847</v>
      </c>
      <c r="J63">
        <f t="shared" si="1"/>
        <v>5.4078825208617252</v>
      </c>
    </row>
    <row r="64" spans="2:10" x14ac:dyDescent="0.45">
      <c r="C64" s="29">
        <v>8</v>
      </c>
      <c r="D64">
        <f t="shared" si="2"/>
        <v>0.70638661264483749</v>
      </c>
      <c r="E64">
        <f t="shared" si="1"/>
        <v>1.3968153097438645</v>
      </c>
      <c r="F64">
        <f t="shared" si="1"/>
        <v>1.8595480375308981</v>
      </c>
      <c r="G64">
        <f t="shared" si="1"/>
        <v>2.3060041352041671</v>
      </c>
      <c r="H64">
        <f t="shared" si="1"/>
        <v>3.3553873313333953</v>
      </c>
      <c r="I64">
        <f t="shared" si="1"/>
        <v>3.8325186853443429</v>
      </c>
      <c r="J64">
        <f t="shared" si="1"/>
        <v>5.0413054333733669</v>
      </c>
    </row>
    <row r="65" spans="3:10" x14ac:dyDescent="0.45">
      <c r="C65" s="29">
        <v>9</v>
      </c>
      <c r="D65">
        <f t="shared" si="2"/>
        <v>0.70272214675132494</v>
      </c>
      <c r="E65">
        <f t="shared" si="1"/>
        <v>1.383028738396632</v>
      </c>
      <c r="F65">
        <f t="shared" si="1"/>
        <v>1.8331129326562374</v>
      </c>
      <c r="G65">
        <f t="shared" si="1"/>
        <v>2.2621571627982053</v>
      </c>
      <c r="H65">
        <f t="shared" si="1"/>
        <v>3.2498355415921263</v>
      </c>
      <c r="I65">
        <f t="shared" si="1"/>
        <v>3.6896623923042302</v>
      </c>
      <c r="J65">
        <f t="shared" si="1"/>
        <v>4.7809125859311381</v>
      </c>
    </row>
    <row r="66" spans="3:10" x14ac:dyDescent="0.45">
      <c r="C66" s="29">
        <v>10</v>
      </c>
      <c r="D66">
        <f t="shared" si="2"/>
        <v>0.69981206131243168</v>
      </c>
      <c r="E66">
        <f t="shared" si="1"/>
        <v>1.3721836411103363</v>
      </c>
      <c r="F66">
        <f t="shared" si="1"/>
        <v>1.812461122811676</v>
      </c>
      <c r="G66">
        <f t="shared" si="1"/>
        <v>2.2281388519862744</v>
      </c>
      <c r="H66">
        <f t="shared" si="1"/>
        <v>3.1692726726169518</v>
      </c>
      <c r="I66">
        <f t="shared" si="1"/>
        <v>3.5814062020906565</v>
      </c>
      <c r="J66">
        <f t="shared" si="1"/>
        <v>4.586893858702636</v>
      </c>
    </row>
    <row r="67" spans="3:10" x14ac:dyDescent="0.45">
      <c r="C67" s="29">
        <v>11</v>
      </c>
      <c r="D67">
        <f t="shared" si="2"/>
        <v>0.69744532755988053</v>
      </c>
      <c r="E67">
        <f t="shared" si="1"/>
        <v>1.3634303180205409</v>
      </c>
      <c r="F67">
        <f t="shared" si="1"/>
        <v>1.7958848187040437</v>
      </c>
      <c r="G67">
        <f t="shared" si="1"/>
        <v>2.2009851600916384</v>
      </c>
      <c r="H67">
        <f t="shared" si="1"/>
        <v>3.1058065155392809</v>
      </c>
      <c r="I67">
        <f t="shared" si="1"/>
        <v>3.4966141732536715</v>
      </c>
      <c r="J67">
        <f t="shared" si="1"/>
        <v>4.4369793382344493</v>
      </c>
    </row>
    <row r="68" spans="3:10" x14ac:dyDescent="0.45">
      <c r="C68" s="29">
        <v>12</v>
      </c>
      <c r="D68">
        <f t="shared" si="2"/>
        <v>0.69548286551179161</v>
      </c>
      <c r="E68">
        <f t="shared" si="1"/>
        <v>1.3562173340232047</v>
      </c>
      <c r="F68">
        <f t="shared" si="1"/>
        <v>1.7822875556493194</v>
      </c>
      <c r="G68">
        <f t="shared" si="1"/>
        <v>2.1788128296672284</v>
      </c>
      <c r="H68">
        <f t="shared" si="1"/>
        <v>3.0545395893929017</v>
      </c>
      <c r="I68">
        <f t="shared" si="1"/>
        <v>3.4284442422922528</v>
      </c>
      <c r="J68">
        <f t="shared" si="1"/>
        <v>4.3177912836061845</v>
      </c>
    </row>
    <row r="69" spans="3:10" x14ac:dyDescent="0.45">
      <c r="C69" s="29">
        <v>13</v>
      </c>
      <c r="D69">
        <f t="shared" si="2"/>
        <v>0.69382930423544042</v>
      </c>
      <c r="E69">
        <f t="shared" si="1"/>
        <v>1.3501712887800554</v>
      </c>
      <c r="F69">
        <f t="shared" si="1"/>
        <v>1.7709333959868729</v>
      </c>
      <c r="G69">
        <f t="shared" si="1"/>
        <v>2.1603686564627926</v>
      </c>
      <c r="H69">
        <f t="shared" si="1"/>
        <v>3.0122758387165782</v>
      </c>
      <c r="I69">
        <f t="shared" si="1"/>
        <v>3.3724679410109792</v>
      </c>
      <c r="J69">
        <f t="shared" si="1"/>
        <v>4.2208317277071208</v>
      </c>
    </row>
    <row r="70" spans="3:10" x14ac:dyDescent="0.45">
      <c r="C70" s="29">
        <v>14</v>
      </c>
      <c r="D70">
        <f t="shared" si="2"/>
        <v>0.69241706957000537</v>
      </c>
      <c r="E70">
        <f t="shared" si="1"/>
        <v>1.3450303744546506</v>
      </c>
      <c r="F70">
        <f t="shared" si="1"/>
        <v>1.7613101357748921</v>
      </c>
      <c r="G70">
        <f t="shared" si="1"/>
        <v>2.1447866879178044</v>
      </c>
      <c r="H70">
        <f t="shared" si="1"/>
        <v>2.9768427343708348</v>
      </c>
      <c r="I70">
        <f t="shared" si="1"/>
        <v>3.3256958178380245</v>
      </c>
      <c r="J70">
        <f t="shared" si="1"/>
        <v>4.1404541127382029</v>
      </c>
    </row>
    <row r="71" spans="3:10" x14ac:dyDescent="0.45">
      <c r="C71" s="29">
        <v>15</v>
      </c>
      <c r="D71">
        <f t="shared" si="2"/>
        <v>0.6911969489584906</v>
      </c>
      <c r="E71">
        <f t="shared" si="1"/>
        <v>1.3406056078504547</v>
      </c>
      <c r="F71">
        <f t="shared" si="1"/>
        <v>1.7530503556925723</v>
      </c>
      <c r="G71">
        <f t="shared" si="1"/>
        <v>2.1314495455597742</v>
      </c>
      <c r="H71">
        <f t="shared" si="1"/>
        <v>2.9467128834752381</v>
      </c>
      <c r="I71">
        <f t="shared" si="1"/>
        <v>3.2860385709462228</v>
      </c>
      <c r="J71">
        <f t="shared" si="1"/>
        <v>4.0727651959037905</v>
      </c>
    </row>
    <row r="72" spans="3:10" x14ac:dyDescent="0.45">
      <c r="C72" s="29">
        <v>16</v>
      </c>
      <c r="D72">
        <f t="shared" si="2"/>
        <v>0.69013225381055954</v>
      </c>
      <c r="E72">
        <f t="shared" si="1"/>
        <v>1.3367571673273144</v>
      </c>
      <c r="F72">
        <f t="shared" si="1"/>
        <v>1.7458836762762506</v>
      </c>
      <c r="G72">
        <f t="shared" si="1"/>
        <v>2.119905299221255</v>
      </c>
      <c r="H72">
        <f t="shared" si="1"/>
        <v>2.9207816224251002</v>
      </c>
      <c r="I72">
        <f t="shared" si="1"/>
        <v>3.2519928743828799</v>
      </c>
      <c r="J72">
        <f t="shared" si="1"/>
        <v>4.0149963271840559</v>
      </c>
    </row>
    <row r="73" spans="3:10" x14ac:dyDescent="0.45">
      <c r="C73" s="29">
        <v>17</v>
      </c>
      <c r="D73">
        <f t="shared" si="2"/>
        <v>0.68919507515393985</v>
      </c>
      <c r="E73">
        <f t="shared" si="2"/>
        <v>1.3333793897216262</v>
      </c>
      <c r="F73">
        <f t="shared" si="2"/>
        <v>1.7396067260750732</v>
      </c>
      <c r="G73">
        <f t="shared" si="2"/>
        <v>2.109815577833317</v>
      </c>
      <c r="H73">
        <f t="shared" si="2"/>
        <v>2.8982305196774178</v>
      </c>
      <c r="I73">
        <f t="shared" si="2"/>
        <v>3.2224499113574638</v>
      </c>
      <c r="J73">
        <f t="shared" si="2"/>
        <v>3.9651262721190315</v>
      </c>
    </row>
    <row r="74" spans="3:10" x14ac:dyDescent="0.45">
      <c r="C74" s="29">
        <v>18</v>
      </c>
      <c r="D74">
        <f t="shared" si="2"/>
        <v>0.68836380646620021</v>
      </c>
      <c r="E74">
        <f t="shared" si="2"/>
        <v>1.3303909435699084</v>
      </c>
      <c r="F74">
        <f t="shared" si="2"/>
        <v>1.7340636066175394</v>
      </c>
      <c r="G74">
        <f t="shared" si="2"/>
        <v>2.1009220402410378</v>
      </c>
      <c r="H74">
        <f t="shared" si="2"/>
        <v>2.8784404727386073</v>
      </c>
      <c r="I74">
        <f t="shared" si="2"/>
        <v>3.19657422225522</v>
      </c>
      <c r="J74">
        <f t="shared" si="2"/>
        <v>3.9216458250851596</v>
      </c>
    </row>
    <row r="75" spans="3:10" x14ac:dyDescent="0.45">
      <c r="C75" s="29">
        <v>19</v>
      </c>
      <c r="D75">
        <f t="shared" si="2"/>
        <v>0.68762146020395809</v>
      </c>
      <c r="E75">
        <f t="shared" si="2"/>
        <v>1.3277282090267981</v>
      </c>
      <c r="F75">
        <f t="shared" si="2"/>
        <v>1.7291328115213698</v>
      </c>
      <c r="G75">
        <f t="shared" si="2"/>
        <v>2.0930240544083096</v>
      </c>
      <c r="H75">
        <f t="shared" si="2"/>
        <v>2.8609346064649799</v>
      </c>
      <c r="I75">
        <f t="shared" si="2"/>
        <v>3.1737245307923159</v>
      </c>
      <c r="J75">
        <f t="shared" si="2"/>
        <v>3.883405852592082</v>
      </c>
    </row>
    <row r="76" spans="3:10" x14ac:dyDescent="0.45">
      <c r="C76" s="29">
        <v>20</v>
      </c>
      <c r="D76">
        <f t="shared" si="2"/>
        <v>0.68695449644880313</v>
      </c>
      <c r="E76">
        <f t="shared" si="2"/>
        <v>1.3253407069850465</v>
      </c>
      <c r="F76">
        <f t="shared" si="2"/>
        <v>1.7247182429207868</v>
      </c>
      <c r="G76">
        <f t="shared" si="2"/>
        <v>2.0859634472658648</v>
      </c>
      <c r="H76">
        <f t="shared" si="2"/>
        <v>2.8453397097861091</v>
      </c>
      <c r="I76">
        <f t="shared" si="2"/>
        <v>3.1534005329064536</v>
      </c>
      <c r="J76">
        <f t="shared" si="2"/>
        <v>3.8495162749308265</v>
      </c>
    </row>
    <row r="77" spans="3:10" x14ac:dyDescent="0.45">
      <c r="C77" s="29">
        <v>21</v>
      </c>
      <c r="D77">
        <f t="shared" si="2"/>
        <v>0.68635199072695385</v>
      </c>
      <c r="E77">
        <f t="shared" si="2"/>
        <v>1.3231878738651732</v>
      </c>
      <c r="F77">
        <f t="shared" si="2"/>
        <v>1.7207429028118781</v>
      </c>
      <c r="G77">
        <f t="shared" si="2"/>
        <v>2.07961384472768</v>
      </c>
      <c r="H77">
        <f t="shared" si="2"/>
        <v>2.8313595580230499</v>
      </c>
      <c r="I77">
        <f t="shared" si="2"/>
        <v>3.1352062454062688</v>
      </c>
      <c r="J77">
        <f t="shared" si="2"/>
        <v>3.8192771642744621</v>
      </c>
    </row>
    <row r="78" spans="3:10" x14ac:dyDescent="0.45">
      <c r="C78" s="29">
        <v>22</v>
      </c>
      <c r="D78">
        <f t="shared" si="2"/>
        <v>0.68580503172188534</v>
      </c>
      <c r="E78">
        <f t="shared" si="2"/>
        <v>1.3212367416133624</v>
      </c>
      <c r="F78">
        <f t="shared" si="2"/>
        <v>1.7171443743802424</v>
      </c>
      <c r="G78">
        <f t="shared" si="2"/>
        <v>2.0738730679040258</v>
      </c>
      <c r="H78">
        <f t="shared" si="2"/>
        <v>2.8187560606001436</v>
      </c>
      <c r="I78">
        <f t="shared" si="2"/>
        <v>3.1188242068607348</v>
      </c>
      <c r="J78">
        <f t="shared" si="2"/>
        <v>3.79213067169839</v>
      </c>
    </row>
    <row r="79" spans="3:10" x14ac:dyDescent="0.45">
      <c r="C79" s="29">
        <v>23</v>
      </c>
      <c r="D79">
        <f t="shared" si="2"/>
        <v>0.68530627806129341</v>
      </c>
      <c r="E79">
        <f t="shared" si="2"/>
        <v>1.3194602398161621</v>
      </c>
      <c r="F79">
        <f t="shared" si="2"/>
        <v>1.7138715277470482</v>
      </c>
      <c r="G79">
        <f t="shared" si="2"/>
        <v>2.0686576104190491</v>
      </c>
      <c r="H79">
        <f t="shared" si="2"/>
        <v>2.807335683769999</v>
      </c>
      <c r="I79">
        <f t="shared" si="2"/>
        <v>3.1039969631408812</v>
      </c>
      <c r="J79">
        <f t="shared" si="2"/>
        <v>3.7676268043117811</v>
      </c>
    </row>
    <row r="80" spans="3:10" x14ac:dyDescent="0.45">
      <c r="C80" s="29">
        <v>24</v>
      </c>
      <c r="D80">
        <f t="shared" si="2"/>
        <v>0.68484962723698206</v>
      </c>
      <c r="E80">
        <f t="shared" si="2"/>
        <v>1.3178359336731498</v>
      </c>
      <c r="F80">
        <f t="shared" si="2"/>
        <v>1.7108820799094284</v>
      </c>
      <c r="G80">
        <f t="shared" si="2"/>
        <v>2.0638985616280254</v>
      </c>
      <c r="H80">
        <f t="shared" si="2"/>
        <v>2.7969395047744556</v>
      </c>
      <c r="I80">
        <f t="shared" si="2"/>
        <v>3.0905135487169919</v>
      </c>
      <c r="J80">
        <f t="shared" si="2"/>
        <v>3.7453986192900528</v>
      </c>
    </row>
    <row r="81" spans="3:10" x14ac:dyDescent="0.45">
      <c r="C81" s="29">
        <v>25</v>
      </c>
      <c r="D81">
        <f t="shared" si="2"/>
        <v>0.68442996490426722</v>
      </c>
      <c r="E81">
        <f t="shared" si="2"/>
        <v>1.3163450726738706</v>
      </c>
      <c r="F81">
        <f t="shared" si="2"/>
        <v>1.7081407612518986</v>
      </c>
      <c r="G81">
        <f t="shared" si="2"/>
        <v>2.0595385527532977</v>
      </c>
      <c r="H81">
        <f t="shared" si="2"/>
        <v>2.7874358136769706</v>
      </c>
      <c r="I81">
        <f t="shared" si="2"/>
        <v>3.0781994605435226</v>
      </c>
      <c r="J81">
        <f t="shared" si="2"/>
        <v>3.7251439497286496</v>
      </c>
    </row>
    <row r="82" spans="3:10" x14ac:dyDescent="0.45">
      <c r="C82" s="29">
        <v>26</v>
      </c>
      <c r="D82">
        <f t="shared" si="2"/>
        <v>0.68404297268287217</v>
      </c>
      <c r="E82">
        <f t="shared" si="2"/>
        <v>1.3149718642705173</v>
      </c>
      <c r="F82">
        <f t="shared" si="2"/>
        <v>1.7056179197592738</v>
      </c>
      <c r="G82">
        <f t="shared" si="2"/>
        <v>2.0555294386428731</v>
      </c>
      <c r="H82">
        <f t="shared" si="2"/>
        <v>2.7787145333296839</v>
      </c>
      <c r="I82">
        <f t="shared" si="2"/>
        <v>3.0669091164305566</v>
      </c>
      <c r="J82">
        <f t="shared" si="2"/>
        <v>3.7066117434809116</v>
      </c>
    </row>
    <row r="83" spans="3:10" x14ac:dyDescent="0.45">
      <c r="C83" s="29">
        <v>27</v>
      </c>
      <c r="D83">
        <f t="shared" si="2"/>
        <v>0.68368497913103199</v>
      </c>
      <c r="E83">
        <f t="shared" si="2"/>
        <v>1.3137029128292739</v>
      </c>
      <c r="F83">
        <f t="shared" si="2"/>
        <v>1.7032884457221271</v>
      </c>
      <c r="G83">
        <f t="shared" si="2"/>
        <v>2.0518305164802859</v>
      </c>
      <c r="H83">
        <f t="shared" si="2"/>
        <v>2.770682957122212</v>
      </c>
      <c r="I83">
        <f t="shared" si="2"/>
        <v>3.0565201088565046</v>
      </c>
      <c r="J83">
        <f t="shared" si="2"/>
        <v>3.6895917134592362</v>
      </c>
    </row>
    <row r="84" spans="3:10" x14ac:dyDescent="0.45">
      <c r="C84" s="29">
        <v>28</v>
      </c>
      <c r="D84">
        <f t="shared" si="2"/>
        <v>0.68335284298850385</v>
      </c>
      <c r="E84">
        <f t="shared" si="2"/>
        <v>1.3125267815926682</v>
      </c>
      <c r="F84">
        <f t="shared" si="2"/>
        <v>1.7011309342659326</v>
      </c>
      <c r="G84">
        <f t="shared" si="2"/>
        <v>2.0484071417952445</v>
      </c>
      <c r="H84">
        <f t="shared" si="2"/>
        <v>2.7632624554614447</v>
      </c>
      <c r="I84">
        <f t="shared" si="2"/>
        <v>3.0469287750530354</v>
      </c>
      <c r="J84">
        <f t="shared" si="2"/>
        <v>3.6739064007012763</v>
      </c>
    </row>
    <row r="85" spans="3:10" x14ac:dyDescent="0.45">
      <c r="C85" s="29">
        <v>29</v>
      </c>
      <c r="D85">
        <f t="shared" si="2"/>
        <v>0.68304386082161361</v>
      </c>
      <c r="E85">
        <f t="shared" si="2"/>
        <v>1.3114336473015527</v>
      </c>
      <c r="F85">
        <f t="shared" si="2"/>
        <v>1.6991270265334986</v>
      </c>
      <c r="G85">
        <f t="shared" si="2"/>
        <v>2.0452296421327048</v>
      </c>
      <c r="H85">
        <f t="shared" si="2"/>
        <v>2.7563859036706049</v>
      </c>
      <c r="I85">
        <f t="shared" si="2"/>
        <v>3.0380467448491753</v>
      </c>
      <c r="J85">
        <f t="shared" si="2"/>
        <v>3.659405019466333</v>
      </c>
    </row>
    <row r="86" spans="3:10" x14ac:dyDescent="0.45">
      <c r="C86" s="29">
        <v>30</v>
      </c>
      <c r="D86">
        <f t="shared" si="2"/>
        <v>0.68275569332128949</v>
      </c>
      <c r="E86">
        <f t="shared" si="2"/>
        <v>1.3104150253913947</v>
      </c>
      <c r="F86">
        <f t="shared" si="2"/>
        <v>1.6972608865939587</v>
      </c>
      <c r="G86">
        <f t="shared" si="2"/>
        <v>2.0422724563012378</v>
      </c>
      <c r="H86">
        <f t="shared" si="2"/>
        <v>2.7499956535672259</v>
      </c>
      <c r="I86">
        <f t="shared" si="2"/>
        <v>3.029798223648243</v>
      </c>
      <c r="J86">
        <f t="shared" si="2"/>
        <v>3.6459586350420214</v>
      </c>
    </row>
    <row r="87" spans="3:10" x14ac:dyDescent="0.45">
      <c r="C87" s="29">
        <v>31</v>
      </c>
      <c r="D87">
        <f t="shared" si="2"/>
        <v>0.68248630600257054</v>
      </c>
      <c r="E87">
        <f t="shared" si="2"/>
        <v>1.3094635494946458</v>
      </c>
      <c r="F87">
        <f t="shared" si="2"/>
        <v>1.6955187825458664</v>
      </c>
      <c r="G87">
        <f t="shared" si="2"/>
        <v>2.0395134463964082</v>
      </c>
      <c r="H87">
        <f t="shared" si="2"/>
        <v>2.7440419192942698</v>
      </c>
      <c r="I87">
        <f t="shared" si="2"/>
        <v>3.0221178343096851</v>
      </c>
      <c r="J87">
        <f t="shared" si="2"/>
        <v>3.633456349758331</v>
      </c>
    </row>
    <row r="88" spans="3:10" x14ac:dyDescent="0.45">
      <c r="C88" s="29">
        <v>32</v>
      </c>
      <c r="D88">
        <f t="shared" si="2"/>
        <v>0.68223392112627324</v>
      </c>
      <c r="E88">
        <f t="shared" si="2"/>
        <v>1.3085727931295197</v>
      </c>
      <c r="F88">
        <f t="shared" si="2"/>
        <v>1.6938887483837093</v>
      </c>
      <c r="G88">
        <f t="shared" si="2"/>
        <v>2.0369333434601011</v>
      </c>
      <c r="H88">
        <f t="shared" si="2"/>
        <v>2.7384814820121886</v>
      </c>
      <c r="I88">
        <f t="shared" si="2"/>
        <v>3.0149488883545028</v>
      </c>
      <c r="J88">
        <f t="shared" si="2"/>
        <v>3.6218022598674953</v>
      </c>
    </row>
    <row r="89" spans="3:10" x14ac:dyDescent="0.45">
      <c r="C89" s="29">
        <v>33</v>
      </c>
      <c r="D89">
        <f t="shared" si="2"/>
        <v>0.68199697844127993</v>
      </c>
      <c r="E89">
        <f t="shared" si="2"/>
        <v>1.3077371244508877</v>
      </c>
      <c r="F89">
        <f t="shared" si="2"/>
        <v>1.6923603090303456</v>
      </c>
      <c r="G89">
        <f t="shared" si="2"/>
        <v>2.0345152974493397</v>
      </c>
      <c r="H89">
        <f t="shared" si="2"/>
        <v>2.733276642350837</v>
      </c>
      <c r="I89">
        <f t="shared" si="2"/>
        <v>3.0082419901232798</v>
      </c>
      <c r="J89">
        <f t="shared" si="2"/>
        <v>3.6109130076544274</v>
      </c>
    </row>
    <row r="90" spans="3:10" x14ac:dyDescent="0.45">
      <c r="C90" s="29">
        <v>34</v>
      </c>
      <c r="D90">
        <f t="shared" ref="D90:J121" si="3">TINV(D$56,$C90)</f>
        <v>0.68177410291557616</v>
      </c>
      <c r="E90">
        <f t="shared" si="3"/>
        <v>1.3069515871264279</v>
      </c>
      <c r="F90">
        <f t="shared" si="3"/>
        <v>1.6909242551868542</v>
      </c>
      <c r="G90">
        <f t="shared" si="3"/>
        <v>2.0322445093177191</v>
      </c>
      <c r="H90">
        <f t="shared" si="3"/>
        <v>2.7283943670707203</v>
      </c>
      <c r="I90">
        <f t="shared" si="3"/>
        <v>3.0019539014540748</v>
      </c>
      <c r="J90">
        <f t="shared" si="3"/>
        <v>3.6007157973864077</v>
      </c>
    </row>
    <row r="91" spans="3:10" x14ac:dyDescent="0.45">
      <c r="C91" s="29">
        <v>35</v>
      </c>
      <c r="D91">
        <f t="shared" si="3"/>
        <v>0.68156407804658736</v>
      </c>
      <c r="E91">
        <f t="shared" si="3"/>
        <v>1.3062118020160358</v>
      </c>
      <c r="F91">
        <f t="shared" si="3"/>
        <v>1.6895724577802647</v>
      </c>
      <c r="G91">
        <f t="shared" si="3"/>
        <v>2.0301079282503438</v>
      </c>
      <c r="H91">
        <f t="shared" si="3"/>
        <v>2.7238055892080912</v>
      </c>
      <c r="I91">
        <f t="shared" si="3"/>
        <v>2.9960466119017921</v>
      </c>
      <c r="J91">
        <f t="shared" si="3"/>
        <v>3.5911467758107785</v>
      </c>
    </row>
    <row r="92" spans="3:10" x14ac:dyDescent="0.45">
      <c r="C92" s="29">
        <v>36</v>
      </c>
      <c r="D92">
        <f t="shared" si="3"/>
        <v>0.6813658236568686</v>
      </c>
      <c r="E92">
        <f t="shared" si="3"/>
        <v>1.3055138855362491</v>
      </c>
      <c r="F92">
        <f t="shared" si="3"/>
        <v>1.6882977141168172</v>
      </c>
      <c r="G92">
        <f t="shared" si="3"/>
        <v>2.028094000980452</v>
      </c>
      <c r="H92">
        <f t="shared" si="3"/>
        <v>2.7194846304500082</v>
      </c>
      <c r="I92">
        <f t="shared" si="3"/>
        <v>2.9904865723842788</v>
      </c>
      <c r="J92">
        <f t="shared" si="3"/>
        <v>3.5821497014563373</v>
      </c>
    </row>
    <row r="93" spans="3:10" x14ac:dyDescent="0.45">
      <c r="C93" s="29">
        <v>37</v>
      </c>
      <c r="D93">
        <f t="shared" si="3"/>
        <v>0.68117837731985531</v>
      </c>
      <c r="E93">
        <f t="shared" si="3"/>
        <v>1.3048543814976252</v>
      </c>
      <c r="F93">
        <f t="shared" si="3"/>
        <v>1.6870936195962629</v>
      </c>
      <c r="G93">
        <f t="shared" si="3"/>
        <v>2.026192463029111</v>
      </c>
      <c r="H93">
        <f t="shared" si="3"/>
        <v>2.7154087215499887</v>
      </c>
      <c r="I93">
        <f t="shared" si="3"/>
        <v>2.9852440597161727</v>
      </c>
      <c r="J93">
        <f t="shared" si="3"/>
        <v>3.5736748444452058</v>
      </c>
    </row>
    <row r="94" spans="3:10" x14ac:dyDescent="0.45">
      <c r="C94" s="29">
        <v>38</v>
      </c>
      <c r="D94">
        <f t="shared" si="3"/>
        <v>0.68100087874171833</v>
      </c>
      <c r="E94">
        <f t="shared" si="3"/>
        <v>1.3042302038905009</v>
      </c>
      <c r="F94">
        <f t="shared" si="3"/>
        <v>1.6859544601667387</v>
      </c>
      <c r="G94">
        <f t="shared" si="3"/>
        <v>2.0243941639119702</v>
      </c>
      <c r="H94">
        <f t="shared" si="3"/>
        <v>2.711557601913082</v>
      </c>
      <c r="I94">
        <f t="shared" si="3"/>
        <v>2.9802926466868227</v>
      </c>
      <c r="J94">
        <f t="shared" si="3"/>
        <v>3.5656780715802339</v>
      </c>
    </row>
    <row r="95" spans="3:10" x14ac:dyDescent="0.45">
      <c r="C95" s="29">
        <v>39</v>
      </c>
      <c r="D95">
        <f t="shared" si="3"/>
        <v>0.68083255656460673</v>
      </c>
      <c r="E95">
        <f t="shared" si="3"/>
        <v>1.3036385886212738</v>
      </c>
      <c r="F95">
        <f t="shared" si="3"/>
        <v>1.6848751217112248</v>
      </c>
      <c r="G95">
        <f t="shared" si="3"/>
        <v>2.0226909200367595</v>
      </c>
      <c r="H95">
        <f t="shared" si="3"/>
        <v>2.7079131835176615</v>
      </c>
      <c r="I95">
        <f t="shared" si="3"/>
        <v>2.9756087577929864</v>
      </c>
      <c r="J95">
        <f t="shared" si="3"/>
        <v>3.5581200813327323</v>
      </c>
    </row>
    <row r="96" spans="3:10" x14ac:dyDescent="0.45">
      <c r="C96" s="29">
        <v>40</v>
      </c>
      <c r="D96">
        <f t="shared" si="3"/>
        <v>0.68067271716444966</v>
      </c>
      <c r="E96">
        <f t="shared" si="3"/>
        <v>1.3030770526071962</v>
      </c>
      <c r="F96">
        <f t="shared" si="3"/>
        <v>1.6838510133356521</v>
      </c>
      <c r="G96">
        <f t="shared" si="3"/>
        <v>2.0210753903062737</v>
      </c>
      <c r="H96">
        <f t="shared" si="3"/>
        <v>2.7044592674331631</v>
      </c>
      <c r="I96">
        <f t="shared" si="3"/>
        <v>2.9711712949060733</v>
      </c>
      <c r="J96">
        <f t="shared" si="3"/>
        <v>3.5509657608633112</v>
      </c>
    </row>
    <row r="97" spans="3:10" x14ac:dyDescent="0.45">
      <c r="C97" s="29">
        <v>41</v>
      </c>
      <c r="D97">
        <f t="shared" si="3"/>
        <v>0.68052073510019795</v>
      </c>
      <c r="E97">
        <f t="shared" si="3"/>
        <v>1.3025433589533821</v>
      </c>
      <c r="F97">
        <f t="shared" si="3"/>
        <v>1.6828780021327077</v>
      </c>
      <c r="G97">
        <f t="shared" si="3"/>
        <v>2.0195409704413767</v>
      </c>
      <c r="H97">
        <f t="shared" si="3"/>
        <v>2.7011813035785219</v>
      </c>
      <c r="I97">
        <f t="shared" si="3"/>
        <v>2.9669613203650944</v>
      </c>
      <c r="J97">
        <f t="shared" si="3"/>
        <v>3.5441836429715834</v>
      </c>
    </row>
    <row r="98" spans="3:10" x14ac:dyDescent="0.45">
      <c r="C98" s="29">
        <v>42</v>
      </c>
      <c r="D98">
        <f t="shared" si="3"/>
        <v>0.68037604493738657</v>
      </c>
      <c r="E98">
        <f t="shared" si="3"/>
        <v>1.3020354871825144</v>
      </c>
      <c r="F98">
        <f t="shared" si="3"/>
        <v>1.6819523574675355</v>
      </c>
      <c r="G98">
        <f t="shared" si="3"/>
        <v>2.0180817028184461</v>
      </c>
      <c r="H98">
        <f t="shared" si="3"/>
        <v>2.6980661862199842</v>
      </c>
      <c r="I98">
        <f t="shared" si="3"/>
        <v>2.9629617874787026</v>
      </c>
      <c r="J98">
        <f t="shared" si="3"/>
        <v>3.5377454453274293</v>
      </c>
    </row>
    <row r="99" spans="3:10" x14ac:dyDescent="0.45">
      <c r="C99" s="29">
        <v>43</v>
      </c>
      <c r="D99">
        <f t="shared" si="3"/>
        <v>0.68023813422066126</v>
      </c>
      <c r="E99">
        <f t="shared" si="3"/>
        <v>1.301551607682168</v>
      </c>
      <c r="F99">
        <f t="shared" si="3"/>
        <v>1.6810707032025196</v>
      </c>
      <c r="G99">
        <f t="shared" si="3"/>
        <v>2.0166921992278248</v>
      </c>
      <c r="H99">
        <f t="shared" si="3"/>
        <v>2.695102079157675</v>
      </c>
      <c r="I99">
        <f t="shared" si="3"/>
        <v>2.9591573103669315</v>
      </c>
      <c r="J99">
        <f t="shared" si="3"/>
        <v>3.5316256778080515</v>
      </c>
    </row>
    <row r="100" spans="3:10" x14ac:dyDescent="0.45">
      <c r="C100" s="29">
        <v>44</v>
      </c>
      <c r="D100">
        <f t="shared" si="3"/>
        <v>0.68010653741124139</v>
      </c>
      <c r="E100">
        <f t="shared" si="3"/>
        <v>1.3010900596888011</v>
      </c>
      <c r="F100">
        <f t="shared" si="3"/>
        <v>1.680229976572116</v>
      </c>
      <c r="G100">
        <f t="shared" si="3"/>
        <v>2.0153675744437649</v>
      </c>
      <c r="H100">
        <f t="shared" si="3"/>
        <v>2.6922782656930231</v>
      </c>
      <c r="I100">
        <f t="shared" si="3"/>
        <v>2.9555339666050702</v>
      </c>
      <c r="J100">
        <f t="shared" si="3"/>
        <v>3.5258013064871769</v>
      </c>
    </row>
    <row r="101" spans="3:10" x14ac:dyDescent="0.45">
      <c r="C101" s="29">
        <v>45</v>
      </c>
      <c r="D101">
        <f t="shared" si="3"/>
        <v>0.67998083063819126</v>
      </c>
      <c r="E101">
        <f t="shared" si="3"/>
        <v>1.3006493322502373</v>
      </c>
      <c r="F101">
        <f t="shared" si="3"/>
        <v>1.6794273926523535</v>
      </c>
      <c r="G101">
        <f t="shared" si="3"/>
        <v>2.0141033888808457</v>
      </c>
      <c r="H101">
        <f t="shared" si="3"/>
        <v>2.6895850193746429</v>
      </c>
      <c r="I101">
        <f t="shared" si="3"/>
        <v>2.9520791273444176</v>
      </c>
      <c r="J101">
        <f t="shared" si="3"/>
        <v>3.5202514649710976</v>
      </c>
    </row>
    <row r="102" spans="3:10" x14ac:dyDescent="0.45">
      <c r="C102" s="29">
        <v>46</v>
      </c>
      <c r="D102">
        <f t="shared" si="3"/>
        <v>0.67986062713891449</v>
      </c>
      <c r="E102">
        <f t="shared" si="3"/>
        <v>1.3002280477069388</v>
      </c>
      <c r="F102">
        <f t="shared" si="3"/>
        <v>1.678660413556865</v>
      </c>
      <c r="G102">
        <f t="shared" si="3"/>
        <v>2.0128955989194299</v>
      </c>
      <c r="H102">
        <f t="shared" si="3"/>
        <v>2.6870134922422171</v>
      </c>
      <c r="I102">
        <f t="shared" si="3"/>
        <v>2.9487813105498906</v>
      </c>
      <c r="J102">
        <f t="shared" si="3"/>
        <v>3.5149572054818057</v>
      </c>
    </row>
    <row r="103" spans="3:10" x14ac:dyDescent="0.45">
      <c r="C103" s="29">
        <v>47</v>
      </c>
      <c r="D103">
        <f t="shared" si="3"/>
        <v>0.67974557328545526</v>
      </c>
      <c r="E103">
        <f t="shared" si="3"/>
        <v>1.2998249473116616</v>
      </c>
      <c r="F103">
        <f t="shared" si="3"/>
        <v>1.6779267216418625</v>
      </c>
      <c r="G103">
        <f t="shared" si="3"/>
        <v>2.0117405137297668</v>
      </c>
      <c r="H103">
        <f t="shared" si="3"/>
        <v>2.6845556178665255</v>
      </c>
      <c r="I103">
        <f t="shared" si="3"/>
        <v>2.9456300537673283</v>
      </c>
      <c r="J103">
        <f t="shared" si="3"/>
        <v>3.5099012834494778</v>
      </c>
    </row>
    <row r="104" spans="3:10" x14ac:dyDescent="0.45">
      <c r="C104" s="29">
        <v>48</v>
      </c>
      <c r="D104">
        <f t="shared" si="3"/>
        <v>0.67963534511070278</v>
      </c>
      <c r="E104">
        <f t="shared" si="3"/>
        <v>1.2994388786713924</v>
      </c>
      <c r="F104">
        <f t="shared" si="3"/>
        <v>1.6772241961243386</v>
      </c>
      <c r="G104">
        <f t="shared" si="3"/>
        <v>2.0106347576242314</v>
      </c>
      <c r="H104">
        <f t="shared" si="3"/>
        <v>2.6822040269502154</v>
      </c>
      <c r="I104">
        <f t="shared" si="3"/>
        <v>2.9426158034554675</v>
      </c>
      <c r="J104">
        <f t="shared" si="3"/>
        <v>3.5050679704702019</v>
      </c>
    </row>
    <row r="105" spans="3:10" x14ac:dyDescent="0.45">
      <c r="C105" s="29">
        <v>49</v>
      </c>
      <c r="D105">
        <f t="shared" si="3"/>
        <v>0.6795296452626528</v>
      </c>
      <c r="E105">
        <f t="shared" si="3"/>
        <v>1.2990687847477498</v>
      </c>
      <c r="F105">
        <f t="shared" si="3"/>
        <v>1.6765508926168529</v>
      </c>
      <c r="G105">
        <f t="shared" si="3"/>
        <v>2.0095752371292388</v>
      </c>
      <c r="H105">
        <f t="shared" si="3"/>
        <v>2.6799519736315514</v>
      </c>
      <c r="I105">
        <f t="shared" si="3"/>
        <v>2.9397298184209277</v>
      </c>
      <c r="J105">
        <f t="shared" si="3"/>
        <v>3.5004428913673662</v>
      </c>
    </row>
    <row r="106" spans="3:10" x14ac:dyDescent="0.45">
      <c r="C106" s="29">
        <v>50</v>
      </c>
      <c r="D106">
        <f t="shared" si="3"/>
        <v>0.6794282003263471</v>
      </c>
      <c r="E106">
        <f t="shared" si="3"/>
        <v>1.2987136941948108</v>
      </c>
      <c r="F106">
        <f t="shared" si="3"/>
        <v>1.6759050251630967</v>
      </c>
      <c r="G106">
        <f t="shared" si="3"/>
        <v>2.0085591121007611</v>
      </c>
      <c r="H106">
        <f t="shared" si="3"/>
        <v>2.6777932709408443</v>
      </c>
      <c r="I106">
        <f t="shared" si="3"/>
        <v>2.9369640853037615</v>
      </c>
      <c r="J106">
        <f t="shared" si="3"/>
        <v>3.4960128818111396</v>
      </c>
    </row>
    <row r="107" spans="3:10" x14ac:dyDescent="0.45">
      <c r="C107" s="29">
        <v>51</v>
      </c>
      <c r="D107">
        <f t="shared" si="3"/>
        <v>0.67933075846284718</v>
      </c>
      <c r="E107">
        <f t="shared" si="3"/>
        <v>1.2983727128483706</v>
      </c>
      <c r="F107">
        <f t="shared" si="3"/>
        <v>1.6752849504249088</v>
      </c>
      <c r="G107">
        <f t="shared" si="3"/>
        <v>2.007583770315835</v>
      </c>
      <c r="H107">
        <f t="shared" si="3"/>
        <v>2.6757222341106486</v>
      </c>
      <c r="I107">
        <f t="shared" si="3"/>
        <v>2.9343112443954844</v>
      </c>
      <c r="J107">
        <f t="shared" si="3"/>
        <v>3.4917658635339026</v>
      </c>
    </row>
    <row r="108" spans="3:10" x14ac:dyDescent="0.45">
      <c r="C108" s="29">
        <v>52</v>
      </c>
      <c r="D108">
        <f t="shared" si="3"/>
        <v>0.67923708732219779</v>
      </c>
      <c r="E108">
        <f t="shared" si="3"/>
        <v>1.2980450162097479</v>
      </c>
      <c r="F108">
        <f t="shared" si="3"/>
        <v>1.6746891537260258</v>
      </c>
      <c r="G108">
        <f t="shared" si="3"/>
        <v>2.0066468050616861</v>
      </c>
      <c r="H108">
        <f t="shared" si="3"/>
        <v>2.6737336306472206</v>
      </c>
      <c r="I108">
        <f t="shared" si="3"/>
        <v>2.9317645243457093</v>
      </c>
      <c r="J108">
        <f t="shared" si="3"/>
        <v>3.4876907346571904</v>
      </c>
    </row>
    <row r="109" spans="3:10" x14ac:dyDescent="0.45">
      <c r="C109" s="29">
        <v>53</v>
      </c>
      <c r="D109">
        <f t="shared" si="3"/>
        <v>0.6791469721940594</v>
      </c>
      <c r="E109">
        <f t="shared" si="3"/>
        <v>1.2977298427910675</v>
      </c>
      <c r="F109">
        <f t="shared" si="3"/>
        <v>1.6741162367030993</v>
      </c>
      <c r="G109">
        <f t="shared" si="3"/>
        <v>2.0057459953178696</v>
      </c>
      <c r="H109">
        <f t="shared" si="3"/>
        <v>2.6718226362410036</v>
      </c>
      <c r="I109">
        <f t="shared" si="3"/>
        <v>2.9293176845395941</v>
      </c>
      <c r="J109">
        <f t="shared" si="3"/>
        <v>3.4837772730384478</v>
      </c>
    </row>
    <row r="110" spans="3:10" x14ac:dyDescent="0.45">
      <c r="C110" s="29">
        <v>54</v>
      </c>
      <c r="D110">
        <f t="shared" si="3"/>
        <v>0.67906021436497543</v>
      </c>
      <c r="E110">
        <f t="shared" si="3"/>
        <v>1.2974264882090694</v>
      </c>
      <c r="F110">
        <f t="shared" si="3"/>
        <v>1.6735649063521589</v>
      </c>
      <c r="G110">
        <f t="shared" si="3"/>
        <v>2.0048792881880577</v>
      </c>
      <c r="H110">
        <f t="shared" si="3"/>
        <v>2.6699847957348912</v>
      </c>
      <c r="I110">
        <f t="shared" si="3"/>
        <v>2.926964964115164</v>
      </c>
      <c r="J110">
        <f t="shared" si="3"/>
        <v>3.4800160508702764</v>
      </c>
    </row>
    <row r="111" spans="3:10" x14ac:dyDescent="0.45">
      <c r="C111" s="29">
        <v>55</v>
      </c>
      <c r="D111">
        <f t="shared" si="3"/>
        <v>0.67897662965592642</v>
      </c>
      <c r="E111">
        <f t="shared" si="3"/>
        <v>1.2971342999309419</v>
      </c>
      <c r="F111">
        <f t="shared" si="3"/>
        <v>1.673033965289912</v>
      </c>
      <c r="G111">
        <f t="shared" si="3"/>
        <v>2.0040447832891455</v>
      </c>
      <c r="H111">
        <f t="shared" si="3"/>
        <v>2.6682159884861933</v>
      </c>
      <c r="I111">
        <f t="shared" si="3"/>
        <v>2.9247010367450219</v>
      </c>
      <c r="J111">
        <f t="shared" si="3"/>
        <v>3.4763983590335892</v>
      </c>
    </row>
    <row r="112" spans="3:10" x14ac:dyDescent="0.45">
      <c r="C112" s="29">
        <v>56</v>
      </c>
      <c r="D112">
        <f t="shared" si="3"/>
        <v>0.67889604711731799</v>
      </c>
      <c r="E112">
        <f t="shared" si="3"/>
        <v>1.2968526725898011</v>
      </c>
      <c r="F112">
        <f t="shared" si="3"/>
        <v>1.6725223030755785</v>
      </c>
      <c r="G112">
        <f t="shared" si="3"/>
        <v>2.0032407188478727</v>
      </c>
      <c r="H112">
        <f t="shared" si="3"/>
        <v>2.6665123975560618</v>
      </c>
      <c r="I112">
        <f t="shared" si="3"/>
        <v>2.9225209704363095</v>
      </c>
      <c r="J112">
        <f t="shared" si="3"/>
        <v>3.4729161399299082</v>
      </c>
    </row>
    <row r="113" spans="3:10" x14ac:dyDescent="0.45">
      <c r="C113" s="29">
        <v>57</v>
      </c>
      <c r="D113">
        <f t="shared" si="3"/>
        <v>0.67881830786219843</v>
      </c>
      <c r="E113">
        <f t="shared" si="3"/>
        <v>1.2965810437990108</v>
      </c>
      <c r="F113">
        <f t="shared" si="3"/>
        <v>1.6720288884609551</v>
      </c>
      <c r="G113">
        <f t="shared" si="3"/>
        <v>2.0024654592910065</v>
      </c>
      <c r="H113">
        <f t="shared" si="3"/>
        <v>2.6648704822419695</v>
      </c>
      <c r="I113">
        <f t="shared" si="3"/>
        <v>2.9204201917111519</v>
      </c>
      <c r="J113">
        <f t="shared" si="3"/>
        <v>3.4695619277047838</v>
      </c>
    </row>
    <row r="114" spans="3:10" x14ac:dyDescent="0.45">
      <c r="C114" s="29">
        <v>58</v>
      </c>
      <c r="D114">
        <f t="shared" si="3"/>
        <v>0.67874326402074703</v>
      </c>
      <c r="E114">
        <f t="shared" si="3"/>
        <v>1.2963188904044187</v>
      </c>
      <c r="F114">
        <f t="shared" si="3"/>
        <v>1.671552762454859</v>
      </c>
      <c r="G114">
        <f t="shared" si="3"/>
        <v>2.0017174841452352</v>
      </c>
      <c r="H114">
        <f t="shared" si="3"/>
        <v>2.663286953537658</v>
      </c>
      <c r="I114">
        <f t="shared" si="3"/>
        <v>2.9183944536208246</v>
      </c>
      <c r="J114">
        <f t="shared" si="3"/>
        <v>3.4663287949310115</v>
      </c>
    </row>
    <row r="115" spans="3:10" x14ac:dyDescent="0.45">
      <c r="C115" s="29">
        <v>59</v>
      </c>
      <c r="D115">
        <f t="shared" si="3"/>
        <v>0.67867077780171603</v>
      </c>
      <c r="E115">
        <f t="shared" si="3"/>
        <v>1.2960657251220524</v>
      </c>
      <c r="F115">
        <f t="shared" si="3"/>
        <v>1.6710930321038957</v>
      </c>
      <c r="G115">
        <f t="shared" si="3"/>
        <v>2.0009953780882688</v>
      </c>
      <c r="H115">
        <f t="shared" si="3"/>
        <v>2.6617587521629682</v>
      </c>
      <c r="I115">
        <f t="shared" si="3"/>
        <v>2.9164398071234019</v>
      </c>
      <c r="J115">
        <f t="shared" si="3"/>
        <v>3.463210304951942</v>
      </c>
    </row>
    <row r="116" spans="3:10" x14ac:dyDescent="0.45">
      <c r="C116" s="29">
        <v>60</v>
      </c>
      <c r="D116">
        <f t="shared" si="3"/>
        <v>0.67860072064813881</v>
      </c>
      <c r="E116">
        <f t="shared" si="3"/>
        <v>1.2958210935157342</v>
      </c>
      <c r="F116">
        <f t="shared" si="3"/>
        <v>1.6706488649046354</v>
      </c>
      <c r="G116">
        <f t="shared" si="3"/>
        <v>2.0002978220142609</v>
      </c>
      <c r="H116">
        <f t="shared" si="3"/>
        <v>2.6602830288550381</v>
      </c>
      <c r="I116">
        <f t="shared" si="3"/>
        <v>2.9145525754194992</v>
      </c>
      <c r="J116">
        <f t="shared" si="3"/>
        <v>3.4602004691963555</v>
      </c>
    </row>
    <row r="117" spans="3:10" x14ac:dyDescent="0.45">
      <c r="C117" s="29">
        <v>61</v>
      </c>
      <c r="D117">
        <f t="shared" si="3"/>
        <v>0.67853297247653332</v>
      </c>
      <c r="E117">
        <f t="shared" si="3"/>
        <v>1.2955845712752145</v>
      </c>
      <c r="F117">
        <f t="shared" si="3"/>
        <v>1.6702194837737363</v>
      </c>
      <c r="G117">
        <f t="shared" si="3"/>
        <v>1.9996235849949404</v>
      </c>
      <c r="H117">
        <f t="shared" si="3"/>
        <v>2.6588571266539258</v>
      </c>
      <c r="I117">
        <f t="shared" si="3"/>
        <v>2.9127293308955386</v>
      </c>
      <c r="J117">
        <f t="shared" si="3"/>
        <v>3.4572937088704121</v>
      </c>
    </row>
    <row r="118" spans="3:10" x14ac:dyDescent="0.45">
      <c r="C118" s="29">
        <v>62</v>
      </c>
      <c r="D118">
        <f t="shared" si="3"/>
        <v>0.67846742099015378</v>
      </c>
      <c r="E118">
        <f t="shared" si="3"/>
        <v>1.2953557617605702</v>
      </c>
      <c r="F118">
        <f t="shared" si="3"/>
        <v>1.6698041625120112</v>
      </c>
      <c r="G118">
        <f t="shared" si="3"/>
        <v>1.9989715170333793</v>
      </c>
      <c r="H118">
        <f t="shared" si="3"/>
        <v>2.6574785649511572</v>
      </c>
      <c r="I118">
        <f t="shared" si="3"/>
        <v>2.9109668743706907</v>
      </c>
      <c r="J118">
        <f t="shared" si="3"/>
        <v>3.45448482051202</v>
      </c>
    </row>
    <row r="119" spans="3:10" x14ac:dyDescent="0.45">
      <c r="C119" s="29">
        <v>63</v>
      </c>
      <c r="D119">
        <f t="shared" si="3"/>
        <v>0.67840396105786294</v>
      </c>
      <c r="E119">
        <f t="shared" si="3"/>
        <v>1.2951342937828914</v>
      </c>
      <c r="F119">
        <f t="shared" si="3"/>
        <v>1.6694022217068125</v>
      </c>
      <c r="G119">
        <f t="shared" si="3"/>
        <v>1.9983405425207412</v>
      </c>
      <c r="H119">
        <f t="shared" si="3"/>
        <v>2.6561450250998613</v>
      </c>
      <c r="I119">
        <f t="shared" si="3"/>
        <v>2.9092622163834236</v>
      </c>
      <c r="J119">
        <f t="shared" si="3"/>
        <v>3.4517689449609983</v>
      </c>
    </row>
    <row r="120" spans="3:10" x14ac:dyDescent="0.45">
      <c r="C120" s="29">
        <v>64</v>
      </c>
      <c r="D120">
        <f t="shared" si="3"/>
        <v>0.67834249415162207</v>
      </c>
      <c r="E120">
        <f t="shared" si="3"/>
        <v>1.2949198195951703</v>
      </c>
      <c r="F120">
        <f t="shared" si="3"/>
        <v>1.6690130250240895</v>
      </c>
      <c r="G120">
        <f t="shared" si="3"/>
        <v>1.9977296543176954</v>
      </c>
      <c r="H120">
        <f t="shared" si="3"/>
        <v>2.6548543374110856</v>
      </c>
      <c r="I120">
        <f t="shared" si="3"/>
        <v>2.9076125602876033</v>
      </c>
      <c r="J120">
        <f t="shared" si="3"/>
        <v>3.4491415393563734</v>
      </c>
    </row>
    <row r="121" spans="3:10" x14ac:dyDescent="0.45">
      <c r="C121" s="29">
        <v>65</v>
      </c>
      <c r="D121">
        <f t="shared" si="3"/>
        <v>0.67828292783610455</v>
      </c>
      <c r="E121">
        <f t="shared" si="3"/>
        <v>1.294712013070648</v>
      </c>
      <c r="F121">
        <f t="shared" si="3"/>
        <v>1.6686359758475535</v>
      </c>
      <c r="G121">
        <f t="shared" si="3"/>
        <v>1.9971379083920051</v>
      </c>
      <c r="H121">
        <f t="shared" si="3"/>
        <v>2.6536044693829237</v>
      </c>
      <c r="I121">
        <f t="shared" si="3"/>
        <v>2.9060152869573033</v>
      </c>
      <c r="J121">
        <f t="shared" si="3"/>
        <v>3.4465983518219709</v>
      </c>
    </row>
    <row r="122" spans="3:10" x14ac:dyDescent="0.45">
      <c r="C122" s="29">
        <v>66</v>
      </c>
      <c r="D122">
        <f t="shared" ref="D122:J153" si="4">TINV(D$56,$C122)</f>
        <v>0.67822517530491255</v>
      </c>
      <c r="E122">
        <f t="shared" si="4"/>
        <v>1.2945105680482982</v>
      </c>
      <c r="F122">
        <f t="shared" si="4"/>
        <v>1.6682705142276302</v>
      </c>
      <c r="G122">
        <f t="shared" si="4"/>
        <v>1.996564418952312</v>
      </c>
      <c r="H122">
        <f t="shared" si="4"/>
        <v>2.6523935150283151</v>
      </c>
      <c r="I122">
        <f t="shared" si="4"/>
        <v>2.9044679409245098</v>
      </c>
      <c r="J122">
        <f t="shared" si="4"/>
        <v>3.4441353985440073</v>
      </c>
    </row>
    <row r="123" spans="3:10" x14ac:dyDescent="0.45">
      <c r="C123" s="29">
        <v>67</v>
      </c>
      <c r="D123">
        <f t="shared" si="4"/>
        <v>0.67816915495855412</v>
      </c>
      <c r="E123">
        <f t="shared" si="4"/>
        <v>1.2943151968280293</v>
      </c>
      <c r="F123">
        <f t="shared" si="4"/>
        <v>1.6679161141074239</v>
      </c>
      <c r="G123">
        <f t="shared" si="4"/>
        <v>1.9960083540252964</v>
      </c>
      <c r="H123">
        <f t="shared" si="4"/>
        <v>2.6512196851836585</v>
      </c>
      <c r="I123">
        <f t="shared" si="4"/>
        <v>2.9029682177955918</v>
      </c>
      <c r="J123">
        <f t="shared" si="4"/>
        <v>3.4417489429811972</v>
      </c>
    </row>
    <row r="124" spans="3:10" x14ac:dyDescent="0.45">
      <c r="C124" s="29">
        <v>68</v>
      </c>
      <c r="D124">
        <f t="shared" si="4"/>
        <v>0.67811479001980624</v>
      </c>
      <c r="E124">
        <f t="shared" si="4"/>
        <v>1.2941256287999623</v>
      </c>
      <c r="F124">
        <f t="shared" si="4"/>
        <v>1.6675722807967104</v>
      </c>
      <c r="G124">
        <f t="shared" si="4"/>
        <v>1.9954689314298424</v>
      </c>
      <c r="H124">
        <f t="shared" si="4"/>
        <v>2.6500812986947286</v>
      </c>
      <c r="I124">
        <f t="shared" si="4"/>
        <v>2.9015139528109786</v>
      </c>
      <c r="J124">
        <f t="shared" si="4"/>
        <v>3.439435476979499</v>
      </c>
    </row>
    <row r="125" spans="3:10" x14ac:dyDescent="0.45">
      <c r="C125" s="29">
        <v>69</v>
      </c>
      <c r="D125">
        <f t="shared" si="4"/>
        <v>0.67806200818270401</v>
      </c>
      <c r="E125">
        <f t="shared" si="4"/>
        <v>1.2939416091940081</v>
      </c>
      <c r="F125">
        <f t="shared" si="4"/>
        <v>1.6672385486685533</v>
      </c>
      <c r="G125">
        <f t="shared" si="4"/>
        <v>1.9949454151072357</v>
      </c>
      <c r="H125">
        <f t="shared" si="4"/>
        <v>2.6489767743886254</v>
      </c>
      <c r="I125">
        <f t="shared" si="4"/>
        <v>2.9001031104287311</v>
      </c>
      <c r="J125">
        <f t="shared" si="4"/>
        <v>3.4371917035910893</v>
      </c>
    </row>
    <row r="126" spans="3:10" x14ac:dyDescent="0.45">
      <c r="C126" s="29">
        <v>70</v>
      </c>
      <c r="D126">
        <f t="shared" si="4"/>
        <v>0.67801074129170669</v>
      </c>
      <c r="E126">
        <f t="shared" si="4"/>
        <v>1.2937628979376541</v>
      </c>
      <c r="F126">
        <f t="shared" si="4"/>
        <v>1.6669144790559576</v>
      </c>
      <c r="G126">
        <f t="shared" si="4"/>
        <v>1.9944371117711854</v>
      </c>
      <c r="H126">
        <f t="shared" si="4"/>
        <v>2.6479046237511512</v>
      </c>
      <c r="I126">
        <f t="shared" si="4"/>
        <v>2.8987337748266873</v>
      </c>
      <c r="J126">
        <f t="shared" si="4"/>
        <v>3.4350145214208152</v>
      </c>
    </row>
    <row r="127" spans="3:10" x14ac:dyDescent="0.45">
      <c r="C127" s="29">
        <v>71</v>
      </c>
      <c r="D127">
        <f t="shared" si="4"/>
        <v>0.67796092504812122</v>
      </c>
      <c r="E127">
        <f t="shared" si="4"/>
        <v>1.293589268611236</v>
      </c>
      <c r="F127">
        <f t="shared" si="4"/>
        <v>1.6665996583285314</v>
      </c>
      <c r="G127">
        <f t="shared" si="4"/>
        <v>1.9939433678456266</v>
      </c>
      <c r="H127">
        <f t="shared" si="4"/>
        <v>2.6468634442383925</v>
      </c>
      <c r="I127">
        <f t="shared" si="4"/>
        <v>2.8974041412300653</v>
      </c>
      <c r="J127">
        <f t="shared" si="4"/>
        <v>3.4329010103440991</v>
      </c>
    </row>
    <row r="128" spans="3:10" x14ac:dyDescent="0.45">
      <c r="C128" s="29">
        <v>72</v>
      </c>
      <c r="D128">
        <f t="shared" si="4"/>
        <v>0.67791249874111115</v>
      </c>
      <c r="E128">
        <f t="shared" si="4"/>
        <v>1.2934205074909773</v>
      </c>
      <c r="F128">
        <f t="shared" si="4"/>
        <v>1.6662936961315378</v>
      </c>
      <c r="G128">
        <f t="shared" si="4"/>
        <v>1.9934635666618719</v>
      </c>
      <c r="H128">
        <f t="shared" si="4"/>
        <v>2.6458519131593259</v>
      </c>
      <c r="I128">
        <f t="shared" si="4"/>
        <v>2.8961125079820049</v>
      </c>
      <c r="J128">
        <f t="shared" si="4"/>
        <v>3.430848418458126</v>
      </c>
    </row>
    <row r="129" spans="3:10" x14ac:dyDescent="0.45">
      <c r="C129" s="29">
        <v>73</v>
      </c>
      <c r="D129">
        <f t="shared" si="4"/>
        <v>0.67786540500090808</v>
      </c>
      <c r="E129">
        <f t="shared" si="4"/>
        <v>1.2932564126714845</v>
      </c>
      <c r="F129">
        <f t="shared" si="4"/>
        <v>1.6659962237714305</v>
      </c>
      <c r="G129">
        <f t="shared" si="4"/>
        <v>1.9929971258898567</v>
      </c>
      <c r="H129">
        <f t="shared" si="4"/>
        <v>2.6448687820733814</v>
      </c>
      <c r="I129">
        <f t="shared" si="4"/>
        <v>2.8948572692839085</v>
      </c>
      <c r="J129">
        <f t="shared" si="4"/>
        <v>3.4288541501438901</v>
      </c>
    </row>
    <row r="130" spans="3:10" x14ac:dyDescent="0.45">
      <c r="C130" s="29">
        <v>74</v>
      </c>
      <c r="D130">
        <f t="shared" si="4"/>
        <v>0.67781958957205235</v>
      </c>
      <c r="E130">
        <f t="shared" si="4"/>
        <v>1.2930967932600044</v>
      </c>
      <c r="F130">
        <f t="shared" si="4"/>
        <v>1.6657068927340244</v>
      </c>
      <c r="G130">
        <f t="shared" si="4"/>
        <v>1.992543495180934</v>
      </c>
      <c r="H130">
        <f t="shared" si="4"/>
        <v>2.64391287165309</v>
      </c>
      <c r="I130">
        <f t="shared" si="4"/>
        <v>2.8936369085404432</v>
      </c>
      <c r="J130">
        <f t="shared" si="4"/>
        <v>3.4269157551303602</v>
      </c>
    </row>
    <row r="131" spans="3:10" x14ac:dyDescent="0.45">
      <c r="C131" s="29">
        <v>75</v>
      </c>
      <c r="D131">
        <f t="shared" si="4"/>
        <v>0.67777500110493227</v>
      </c>
      <c r="E131">
        <f t="shared" si="4"/>
        <v>1.2929414686356859</v>
      </c>
      <c r="F131">
        <f t="shared" si="4"/>
        <v>1.6654253733225626</v>
      </c>
      <c r="G131">
        <f t="shared" si="4"/>
        <v>1.9921021540022406</v>
      </c>
      <c r="H131">
        <f t="shared" si="4"/>
        <v>2.6429830669673917</v>
      </c>
      <c r="I131">
        <f t="shared" si="4"/>
        <v>2.8924499922513127</v>
      </c>
      <c r="J131">
        <f t="shared" si="4"/>
        <v>3.4250309184639538</v>
      </c>
    </row>
    <row r="132" spans="3:10" x14ac:dyDescent="0.45">
      <c r="C132" s="29">
        <v>76</v>
      </c>
      <c r="D132">
        <f t="shared" si="4"/>
        <v>0.67773159096383728</v>
      </c>
      <c r="E132">
        <f t="shared" si="4"/>
        <v>1.2927902677678638</v>
      </c>
      <c r="F132">
        <f t="shared" si="4"/>
        <v>1.6651513534046942</v>
      </c>
      <c r="G132">
        <f t="shared" si="4"/>
        <v>1.991672609644662</v>
      </c>
      <c r="H132">
        <f t="shared" si="4"/>
        <v>2.6420783131459933</v>
      </c>
      <c r="I132">
        <f t="shared" si="4"/>
        <v>2.8912951643980631</v>
      </c>
      <c r="J132">
        <f t="shared" si="4"/>
        <v>3.4231974512971659</v>
      </c>
    </row>
    <row r="133" spans="3:10" x14ac:dyDescent="0.45">
      <c r="C133" s="29">
        <v>77</v>
      </c>
      <c r="D133">
        <f t="shared" si="4"/>
        <v>0.67768931304996416</v>
      </c>
      <c r="E133">
        <f t="shared" si="4"/>
        <v>1.2926430285879402</v>
      </c>
      <c r="F133">
        <f t="shared" si="4"/>
        <v>1.6648845372582084</v>
      </c>
      <c r="G133">
        <f t="shared" si="4"/>
        <v>1.9912543953883848</v>
      </c>
      <c r="H133">
        <f t="shared" si="4"/>
        <v>2.6411976113892712</v>
      </c>
      <c r="I133">
        <f t="shared" si="4"/>
        <v>2.8901711412797715</v>
      </c>
      <c r="J133">
        <f t="shared" si="4"/>
        <v>3.4214132824193051</v>
      </c>
    </row>
    <row r="134" spans="3:10" x14ac:dyDescent="0.45">
      <c r="C134" s="29">
        <v>78</v>
      </c>
      <c r="D134">
        <f t="shared" si="4"/>
        <v>0.67764812363817284</v>
      </c>
      <c r="E134">
        <f t="shared" si="4"/>
        <v>1.2924995974099172</v>
      </c>
      <c r="F134">
        <f t="shared" si="4"/>
        <v>1.6646246445066122</v>
      </c>
      <c r="G134">
        <f t="shared" si="4"/>
        <v>1.9908470688116919</v>
      </c>
      <c r="H134">
        <f t="shared" si="4"/>
        <v>2.6403400152921264</v>
      </c>
      <c r="I134">
        <f t="shared" si="4"/>
        <v>2.8890767067563141</v>
      </c>
      <c r="J134">
        <f t="shared" si="4"/>
        <v>3.4196764504605754</v>
      </c>
    </row>
    <row r="135" spans="3:10" x14ac:dyDescent="0.45">
      <c r="C135" s="29">
        <v>79</v>
      </c>
      <c r="D135">
        <f t="shared" si="4"/>
        <v>0.67760798122611865</v>
      </c>
      <c r="E135">
        <f t="shared" si="4"/>
        <v>1.2923598283954396</v>
      </c>
      <c r="F135">
        <f t="shared" si="4"/>
        <v>1.6643714091365507</v>
      </c>
      <c r="G135">
        <f t="shared" si="4"/>
        <v>1.9904502102301287</v>
      </c>
      <c r="H135">
        <f t="shared" si="4"/>
        <v>2.6395046274532201</v>
      </c>
      <c r="I135">
        <f t="shared" si="4"/>
        <v>2.8880107078621089</v>
      </c>
      <c r="J135">
        <f t="shared" si="4"/>
        <v>3.4179850967078589</v>
      </c>
    </row>
    <row r="136" spans="3:10" x14ac:dyDescent="0.45">
      <c r="C136" s="29">
        <v>80</v>
      </c>
      <c r="D136">
        <f t="shared" si="4"/>
        <v>0.67756884639483062</v>
      </c>
      <c r="E136">
        <f t="shared" si="4"/>
        <v>1.2922235830591293</v>
      </c>
      <c r="F136">
        <f t="shared" si="4"/>
        <v>1.6641245785896708</v>
      </c>
      <c r="G136">
        <f t="shared" si="4"/>
        <v>1.9900634212544475</v>
      </c>
      <c r="H136">
        <f t="shared" si="4"/>
        <v>2.6386905963441825</v>
      </c>
      <c r="I136">
        <f t="shared" si="4"/>
        <v>2.8869720507572003</v>
      </c>
      <c r="J136">
        <f t="shared" si="4"/>
        <v>3.4163374584769461</v>
      </c>
    </row>
    <row r="137" spans="3:10" x14ac:dyDescent="0.45">
      <c r="C137" s="29">
        <v>81</v>
      </c>
      <c r="D137">
        <f t="shared" si="4"/>
        <v>0.67753068167958108</v>
      </c>
      <c r="E137">
        <f t="shared" si="4"/>
        <v>1.2920907298110498</v>
      </c>
      <c r="F137">
        <f t="shared" si="4"/>
        <v>1.6638839129226006</v>
      </c>
      <c r="G137">
        <f t="shared" si="4"/>
        <v>1.9896863234569038</v>
      </c>
      <c r="H137">
        <f t="shared" si="4"/>
        <v>2.637897113415776</v>
      </c>
      <c r="I137">
        <f t="shared" si="4"/>
        <v>2.8859596969857129</v>
      </c>
      <c r="J137">
        <f t="shared" si="4"/>
        <v>3.4147318629915833</v>
      </c>
    </row>
    <row r="138" spans="3:10" x14ac:dyDescent="0.45">
      <c r="C138" s="29">
        <v>82</v>
      </c>
      <c r="D138">
        <f t="shared" si="4"/>
        <v>0.67749345145022366</v>
      </c>
      <c r="E138">
        <f t="shared" si="4"/>
        <v>1.2919611435327278</v>
      </c>
      <c r="F138">
        <f t="shared" si="4"/>
        <v>1.6636491840290772</v>
      </c>
      <c r="G138">
        <f t="shared" si="4"/>
        <v>1.9893185571365706</v>
      </c>
      <c r="H138">
        <f t="shared" si="4"/>
        <v>2.6371234104203745</v>
      </c>
      <c r="I138">
        <f t="shared" si="4"/>
        <v>2.8849726600148831</v>
      </c>
      <c r="J138">
        <f t="shared" si="4"/>
        <v>3.4131667217246888</v>
      </c>
    </row>
    <row r="139" spans="3:10" x14ac:dyDescent="0.45">
      <c r="C139" s="29">
        <v>83</v>
      </c>
      <c r="D139">
        <f t="shared" si="4"/>
        <v>0.67745712180035156</v>
      </c>
      <c r="E139">
        <f t="shared" si="4"/>
        <v>1.291834705184236</v>
      </c>
      <c r="F139">
        <f t="shared" si="4"/>
        <v>1.6634201749188866</v>
      </c>
      <c r="G139">
        <f t="shared" si="4"/>
        <v>1.9889597801751635</v>
      </c>
      <c r="H139">
        <f t="shared" si="4"/>
        <v>2.6363687569321219</v>
      </c>
      <c r="I139">
        <f t="shared" si="4"/>
        <v>2.8840100020303447</v>
      </c>
      <c r="J139">
        <f t="shared" si="4"/>
        <v>3.4116405251615696</v>
      </c>
    </row>
    <row r="140" spans="3:10" x14ac:dyDescent="0.45">
      <c r="C140" s="29">
        <v>84</v>
      </c>
      <c r="D140">
        <f t="shared" si="4"/>
        <v>0.6774216604442167</v>
      </c>
      <c r="E140">
        <f t="shared" si="4"/>
        <v>1.2917113014394768</v>
      </c>
      <c r="F140">
        <f t="shared" si="4"/>
        <v>1.6631966790489103</v>
      </c>
      <c r="G140">
        <f t="shared" si="4"/>
        <v>1.9886096669757098</v>
      </c>
      <c r="H140">
        <f t="shared" si="4"/>
        <v>2.6356324580479598</v>
      </c>
      <c r="I140">
        <f t="shared" si="4"/>
        <v>2.8830708309658521</v>
      </c>
      <c r="J140">
        <f t="shared" si="4"/>
        <v>3.4101518379488622</v>
      </c>
    </row>
    <row r="141" spans="3:10" x14ac:dyDescent="0.45">
      <c r="C141" s="29">
        <v>85</v>
      </c>
      <c r="D141">
        <f t="shared" si="4"/>
        <v>0.67738703662106614</v>
      </c>
      <c r="E141">
        <f t="shared" si="4"/>
        <v>1.2915908243473977</v>
      </c>
      <c r="F141">
        <f t="shared" si="4"/>
        <v>1.6629784997019019</v>
      </c>
      <c r="G141">
        <f t="shared" si="4"/>
        <v>1.9882679074772251</v>
      </c>
      <c r="H141">
        <f t="shared" si="4"/>
        <v>2.6349138522543041</v>
      </c>
      <c r="I141">
        <f t="shared" si="4"/>
        <v>2.882154297747697</v>
      </c>
      <c r="J141">
        <f t="shared" si="4"/>
        <v>3.4086992943964334</v>
      </c>
    </row>
    <row r="142" spans="3:10" x14ac:dyDescent="0.45">
      <c r="C142" s="29">
        <v>86</v>
      </c>
      <c r="D142">
        <f t="shared" si="4"/>
        <v>0.67735322100620998</v>
      </c>
      <c r="E142">
        <f t="shared" si="4"/>
        <v>1.2914731710171075</v>
      </c>
      <c r="F142">
        <f t="shared" si="4"/>
        <v>1.662765449409072</v>
      </c>
      <c r="G142">
        <f t="shared" si="4"/>
        <v>1.987934206239018</v>
      </c>
      <c r="H142">
        <f t="shared" si="4"/>
        <v>2.6342123094456342</v>
      </c>
      <c r="I142">
        <f t="shared" si="4"/>
        <v>2.8812595937358711</v>
      </c>
      <c r="J142">
        <f t="shared" si="4"/>
        <v>3.407281594302725</v>
      </c>
    </row>
    <row r="143" spans="3:10" x14ac:dyDescent="0.45">
      <c r="C143" s="29">
        <v>87</v>
      </c>
      <c r="D143">
        <f t="shared" si="4"/>
        <v>0.67732018562808383</v>
      </c>
      <c r="E143">
        <f t="shared" si="4"/>
        <v>1.2913582433247877</v>
      </c>
      <c r="F143">
        <f t="shared" si="4"/>
        <v>1.662557349412876</v>
      </c>
      <c r="G143">
        <f t="shared" si="4"/>
        <v>1.9876082815890745</v>
      </c>
      <c r="H143">
        <f t="shared" si="4"/>
        <v>2.6335272290824983</v>
      </c>
      <c r="I143">
        <f t="shared" si="4"/>
        <v>2.8803859483458192</v>
      </c>
      <c r="J143">
        <f t="shared" si="4"/>
        <v>3.4058974990766364</v>
      </c>
    </row>
    <row r="144" spans="3:10" x14ac:dyDescent="0.45">
      <c r="C144" s="29">
        <v>88</v>
      </c>
      <c r="D144">
        <f t="shared" si="4"/>
        <v>0.67728790379122439</v>
      </c>
      <c r="E144">
        <f t="shared" si="4"/>
        <v>1.2912459476407916</v>
      </c>
      <c r="F144">
        <f t="shared" si="4"/>
        <v>1.662354029166899</v>
      </c>
      <c r="G144">
        <f t="shared" si="4"/>
        <v>1.9872898648311721</v>
      </c>
      <c r="H144">
        <f t="shared" si="4"/>
        <v>2.6328580384776465</v>
      </c>
      <c r="I144">
        <f t="shared" si="4"/>
        <v>2.8795326268360961</v>
      </c>
      <c r="J144">
        <f t="shared" si="4"/>
        <v>3.4045458281317469</v>
      </c>
    </row>
    <row r="145" spans="3:10" x14ac:dyDescent="0.45">
      <c r="C145" s="29">
        <v>89</v>
      </c>
      <c r="D145">
        <f t="shared" si="4"/>
        <v>0.67725635000417672</v>
      </c>
      <c r="E145">
        <f t="shared" si="4"/>
        <v>1.2911361945752782</v>
      </c>
      <c r="F145">
        <f t="shared" si="4"/>
        <v>1.6621553258697011</v>
      </c>
      <c r="G145">
        <f t="shared" si="4"/>
        <v>1.986978699506285</v>
      </c>
      <c r="H145">
        <f t="shared" si="4"/>
        <v>2.6322041912000063</v>
      </c>
      <c r="I145">
        <f t="shared" si="4"/>
        <v>2.878698928248558</v>
      </c>
      <c r="J145">
        <f t="shared" si="4"/>
        <v>3.4032254555307562</v>
      </c>
    </row>
    <row r="146" spans="3:10" x14ac:dyDescent="0.45">
      <c r="C146" s="29">
        <v>90</v>
      </c>
      <c r="D146">
        <f t="shared" si="4"/>
        <v>0.67722549991249448</v>
      </c>
      <c r="E146">
        <f t="shared" si="4"/>
        <v>1.2910288987408942</v>
      </c>
      <c r="F146">
        <f t="shared" si="4"/>
        <v>1.661961084030164</v>
      </c>
      <c r="G146">
        <f t="shared" si="4"/>
        <v>1.986674540703772</v>
      </c>
      <c r="H146">
        <f t="shared" si="4"/>
        <v>2.6315651655871597</v>
      </c>
      <c r="I146">
        <f t="shared" si="4"/>
        <v>2.8778841834889604</v>
      </c>
      <c r="J146">
        <f t="shared" si="4"/>
        <v>3.4019353068602105</v>
      </c>
    </row>
    <row r="147" spans="3:10" x14ac:dyDescent="0.45">
      <c r="C147" s="29">
        <v>91</v>
      </c>
      <c r="D147">
        <f t="shared" si="4"/>
        <v>0.67719533023598455</v>
      </c>
      <c r="E147">
        <f t="shared" si="4"/>
        <v>1.2909239785312321</v>
      </c>
      <c r="F147">
        <f t="shared" si="4"/>
        <v>1.6617711550616978</v>
      </c>
      <c r="G147">
        <f t="shared" si="4"/>
        <v>1.9863771544186202</v>
      </c>
      <c r="H147">
        <f t="shared" si="4"/>
        <v>2.6309404633577622</v>
      </c>
      <c r="I147">
        <f t="shared" si="4"/>
        <v>2.8770877535369568</v>
      </c>
      <c r="J147">
        <f t="shared" si="4"/>
        <v>3.4006743563171655</v>
      </c>
    </row>
    <row r="148" spans="3:10" x14ac:dyDescent="0.45">
      <c r="C148" s="29">
        <v>92</v>
      </c>
      <c r="D148">
        <f t="shared" si="4"/>
        <v>0.67716581871011294</v>
      </c>
      <c r="E148">
        <f t="shared" si="4"/>
        <v>1.2908213559139037</v>
      </c>
      <c r="F148">
        <f t="shared" si="4"/>
        <v>1.6615853969032315</v>
      </c>
      <c r="G148">
        <f t="shared" si="4"/>
        <v>1.9860863169511298</v>
      </c>
      <c r="H148">
        <f t="shared" si="4"/>
        <v>2.6303296083162864</v>
      </c>
      <c r="I148">
        <f t="shared" si="4"/>
        <v>2.8763090277753824</v>
      </c>
      <c r="J148">
        <f t="shared" si="4"/>
        <v>3.3994416239913354</v>
      </c>
    </row>
    <row r="149" spans="3:10" x14ac:dyDescent="0.45">
      <c r="C149" s="29">
        <v>93</v>
      </c>
      <c r="D149">
        <f t="shared" si="4"/>
        <v>0.67713694403127722</v>
      </c>
      <c r="E149">
        <f t="shared" si="4"/>
        <v>1.2907209562369371</v>
      </c>
      <c r="F149">
        <f t="shared" si="4"/>
        <v>1.6614036736648974</v>
      </c>
      <c r="G149">
        <f t="shared" si="4"/>
        <v>1.9858018143458216</v>
      </c>
      <c r="H149">
        <f t="shared" si="4"/>
        <v>2.6297321451428344</v>
      </c>
      <c r="I149">
        <f t="shared" si="4"/>
        <v>2.8755474224296944</v>
      </c>
      <c r="J149">
        <f t="shared" si="4"/>
        <v>3.3982361733275277</v>
      </c>
    </row>
    <row r="150" spans="3:10" x14ac:dyDescent="0.45">
      <c r="C150" s="29">
        <v>94</v>
      </c>
      <c r="D150">
        <f t="shared" si="4"/>
        <v>0.67710868580542882</v>
      </c>
      <c r="E150">
        <f t="shared" si="4"/>
        <v>1.2906227080477188</v>
      </c>
      <c r="F150">
        <f t="shared" si="4"/>
        <v>1.6612258552965111</v>
      </c>
      <c r="G150">
        <f t="shared" si="4"/>
        <v>1.9855234418666059</v>
      </c>
      <c r="H150">
        <f t="shared" si="4"/>
        <v>2.6291476382617032</v>
      </c>
      <c r="I150">
        <f t="shared" si="4"/>
        <v>2.8748023791091826</v>
      </c>
      <c r="J150">
        <f t="shared" si="4"/>
        <v>3.3970571087545349</v>
      </c>
    </row>
    <row r="151" spans="3:10" x14ac:dyDescent="0.45">
      <c r="C151" s="29">
        <v>95</v>
      </c>
      <c r="D151">
        <f t="shared" si="4"/>
        <v>0.67708102450015506</v>
      </c>
      <c r="E151">
        <f t="shared" si="4"/>
        <v>1.2905265429234298</v>
      </c>
      <c r="F151">
        <f t="shared" si="4"/>
        <v>1.6610518172772404</v>
      </c>
      <c r="G151">
        <f t="shared" si="4"/>
        <v>1.9852510035054973</v>
      </c>
      <c r="H151">
        <f t="shared" si="4"/>
        <v>2.6285756707827428</v>
      </c>
      <c r="I151">
        <f t="shared" si="4"/>
        <v>2.8740733634422471</v>
      </c>
      <c r="J151">
        <f t="shared" si="4"/>
        <v>3.3959035734680061</v>
      </c>
    </row>
    <row r="152" spans="3:10" x14ac:dyDescent="0.45">
      <c r="C152" s="29">
        <v>96</v>
      </c>
      <c r="D152">
        <f t="shared" si="4"/>
        <v>0.67705394139952546</v>
      </c>
      <c r="E152">
        <f t="shared" si="4"/>
        <v>1.290432395312135</v>
      </c>
      <c r="F152">
        <f t="shared" si="4"/>
        <v>1.6608814403248366</v>
      </c>
      <c r="G152">
        <f t="shared" si="4"/>
        <v>1.9849843115224561</v>
      </c>
      <c r="H152">
        <f t="shared" si="4"/>
        <v>2.628015843510068</v>
      </c>
      <c r="I152">
        <f t="shared" si="4"/>
        <v>2.8733598637988305</v>
      </c>
      <c r="J152">
        <f t="shared" si="4"/>
        <v>3.3947747473556018</v>
      </c>
    </row>
    <row r="153" spans="3:10" x14ac:dyDescent="0.45">
      <c r="C153" s="29">
        <v>97</v>
      </c>
      <c r="D153">
        <f t="shared" si="4"/>
        <v>0.67702741856199578</v>
      </c>
      <c r="E153">
        <f t="shared" si="4"/>
        <v>1.2903402023837507</v>
      </c>
      <c r="F153">
        <f t="shared" si="4"/>
        <v>1.6607146101230255</v>
      </c>
      <c r="G153">
        <f t="shared" si="4"/>
        <v>1.9847231860139838</v>
      </c>
      <c r="H153">
        <f t="shared" si="4"/>
        <v>2.6274677740132515</v>
      </c>
      <c r="I153">
        <f t="shared" si="4"/>
        <v>2.8726613900934614</v>
      </c>
      <c r="J153">
        <f t="shared" si="4"/>
        <v>3.3936698450540255</v>
      </c>
    </row>
    <row r="154" spans="3:10" x14ac:dyDescent="0.45">
      <c r="C154" s="29">
        <v>98</v>
      </c>
      <c r="D154">
        <f t="shared" ref="D154:J176" si="5">TINV(D$56,$C154)</f>
        <v>0.6770014387806923</v>
      </c>
      <c r="E154">
        <f t="shared" si="5"/>
        <v>1.2902499038902864</v>
      </c>
      <c r="F154">
        <f t="shared" si="5"/>
        <v>1.6605512170657302</v>
      </c>
      <c r="G154">
        <f t="shared" si="5"/>
        <v>1.9844674545084788</v>
      </c>
      <c r="H154">
        <f t="shared" si="5"/>
        <v>2.6269310957563716</v>
      </c>
      <c r="I154">
        <f t="shared" si="5"/>
        <v>2.8719774726631746</v>
      </c>
      <c r="J154">
        <f t="shared" si="5"/>
        <v>3.3925881141281873</v>
      </c>
    </row>
    <row r="155" spans="3:10" x14ac:dyDescent="0.45">
      <c r="C155" s="29">
        <v>99</v>
      </c>
      <c r="D155">
        <f t="shared" si="5"/>
        <v>0.67697598554615868</v>
      </c>
      <c r="E155">
        <f t="shared" si="5"/>
        <v>1.290161442034484</v>
      </c>
      <c r="F155">
        <f t="shared" si="5"/>
        <v>1.6603911560169928</v>
      </c>
      <c r="G155">
        <f t="shared" si="5"/>
        <v>1.9842169515864165</v>
      </c>
      <c r="H155">
        <f t="shared" si="5"/>
        <v>2.626405457280828</v>
      </c>
      <c r="I155">
        <f t="shared" si="5"/>
        <v>2.871307661214765</v>
      </c>
      <c r="J155">
        <f t="shared" si="5"/>
        <v>3.3915288333636497</v>
      </c>
    </row>
    <row r="156" spans="3:10" x14ac:dyDescent="0.45">
      <c r="C156" s="29">
        <v>100</v>
      </c>
      <c r="D156">
        <f t="shared" si="5"/>
        <v>0.67695104301146958</v>
      </c>
      <c r="E156">
        <f t="shared" si="5"/>
        <v>1.2900747613465169</v>
      </c>
      <c r="F156">
        <f t="shared" si="5"/>
        <v>1.6602343260853425</v>
      </c>
      <c r="G156">
        <f t="shared" si="5"/>
        <v>1.9839715185235556</v>
      </c>
      <c r="H156">
        <f t="shared" si="5"/>
        <v>2.6258905214380182</v>
      </c>
      <c r="I156">
        <f t="shared" si="5"/>
        <v>2.8706515238365373</v>
      </c>
      <c r="J156">
        <f t="shared" si="5"/>
        <v>3.3904913111642285</v>
      </c>
    </row>
    <row r="157" spans="3:10" x14ac:dyDescent="0.45">
      <c r="C157" s="29">
        <v>101</v>
      </c>
      <c r="D157">
        <f t="shared" si="5"/>
        <v>0.67692659595928051</v>
      </c>
      <c r="E157">
        <f t="shared" si="5"/>
        <v>1.2899898085679691</v>
      </c>
      <c r="F157">
        <f t="shared" si="5"/>
        <v>1.660080630411789</v>
      </c>
      <c r="G157">
        <f t="shared" si="5"/>
        <v>1.9837310029556046</v>
      </c>
      <c r="H157">
        <f t="shared" si="5"/>
        <v>2.6253859646684394</v>
      </c>
      <c r="I157">
        <f t="shared" si="5"/>
        <v>2.8700086460699143</v>
      </c>
      <c r="J157">
        <f t="shared" si="5"/>
        <v>3.3894748840472722</v>
      </c>
    </row>
    <row r="158" spans="3:10" x14ac:dyDescent="0.45">
      <c r="C158" s="29">
        <v>102</v>
      </c>
      <c r="D158">
        <f t="shared" si="5"/>
        <v>0.67690262977086535</v>
      </c>
      <c r="E158">
        <f t="shared" si="5"/>
        <v>1.2899065325427479</v>
      </c>
      <c r="F158">
        <f t="shared" si="5"/>
        <v>1.6599299759703381</v>
      </c>
      <c r="G158">
        <f t="shared" si="5"/>
        <v>1.9834952585628811</v>
      </c>
      <c r="H158">
        <f t="shared" si="5"/>
        <v>2.6248914763239122</v>
      </c>
      <c r="I158">
        <f t="shared" si="5"/>
        <v>2.8693786300367581</v>
      </c>
      <c r="J158">
        <f t="shared" si="5"/>
        <v>3.3884789152297241</v>
      </c>
    </row>
    <row r="159" spans="3:10" x14ac:dyDescent="0.45">
      <c r="C159" s="29">
        <v>103</v>
      </c>
      <c r="D159">
        <f t="shared" si="5"/>
        <v>0.6768791303969427</v>
      </c>
      <c r="E159">
        <f t="shared" si="5"/>
        <v>1.2898248841143414</v>
      </c>
      <c r="F159">
        <f t="shared" si="5"/>
        <v>1.6597822733802527</v>
      </c>
      <c r="G159">
        <f t="shared" si="5"/>
        <v>1.9832641447734605</v>
      </c>
      <c r="H159">
        <f t="shared" si="5"/>
        <v>2.6244067580299557</v>
      </c>
      <c r="I159">
        <f t="shared" si="5"/>
        <v>2.8687610936185406</v>
      </c>
      <c r="J159">
        <f t="shared" si="5"/>
        <v>3.387502793298681</v>
      </c>
    </row>
    <row r="160" spans="3:10" x14ac:dyDescent="0.45">
      <c r="C160" s="29">
        <v>104</v>
      </c>
      <c r="D160">
        <f t="shared" si="5"/>
        <v>0.67685608433028699</v>
      </c>
      <c r="E160">
        <f t="shared" si="5"/>
        <v>1.2897448160290867</v>
      </c>
      <c r="F160">
        <f t="shared" si="5"/>
        <v>1.6596374367292375</v>
      </c>
      <c r="G160">
        <f t="shared" si="5"/>
        <v>1.9830375264837292</v>
      </c>
      <c r="H160">
        <f t="shared" si="5"/>
        <v>2.6239315230856071</v>
      </c>
      <c r="I160">
        <f t="shared" si="5"/>
        <v>2.868155669683774</v>
      </c>
      <c r="J160">
        <f t="shared" si="5"/>
        <v>3.3865459309605601</v>
      </c>
    </row>
    <row r="161" spans="3:10" x14ac:dyDescent="0.45">
      <c r="C161" s="29">
        <v>105</v>
      </c>
      <c r="D161">
        <f t="shared" si="5"/>
        <v>0.67683347857977127</v>
      </c>
      <c r="E161">
        <f t="shared" si="5"/>
        <v>1.2896662828449672</v>
      </c>
      <c r="F161">
        <f t="shared" si="5"/>
        <v>1.6594953834068058</v>
      </c>
      <c r="G161">
        <f t="shared" si="5"/>
        <v>1.9828152737950464</v>
      </c>
      <c r="H161">
        <f t="shared" si="5"/>
        <v>2.6234654958980856</v>
      </c>
      <c r="I161">
        <f t="shared" si="5"/>
        <v>2.8675620053604489</v>
      </c>
      <c r="J161">
        <f t="shared" si="5"/>
        <v>3.3856077638635655</v>
      </c>
    </row>
    <row r="162" spans="3:10" x14ac:dyDescent="0.45">
      <c r="C162" s="29">
        <v>106</v>
      </c>
      <c r="D162">
        <f t="shared" si="5"/>
        <v>0.67681130064595885</v>
      </c>
      <c r="E162">
        <f t="shared" si="5"/>
        <v>1.2895892408456322</v>
      </c>
      <c r="F162">
        <f t="shared" si="5"/>
        <v>1.6593560339471876</v>
      </c>
      <c r="G162">
        <f t="shared" si="5"/>
        <v>1.9825972617654992</v>
      </c>
      <c r="H162">
        <f t="shared" si="5"/>
        <v>2.6230084114500185</v>
      </c>
      <c r="I162">
        <f t="shared" si="5"/>
        <v>2.8669797613504597</v>
      </c>
      <c r="J162">
        <f t="shared" si="5"/>
        <v>3.3846877494884473</v>
      </c>
    </row>
    <row r="163" spans="3:10" x14ac:dyDescent="0.45">
      <c r="C163" s="29">
        <v>107</v>
      </c>
      <c r="D163">
        <f t="shared" si="5"/>
        <v>0.67678953849811974</v>
      </c>
      <c r="E163">
        <f t="shared" si="5"/>
        <v>1.2895136479592184</v>
      </c>
      <c r="F163">
        <f t="shared" si="5"/>
        <v>1.6592193118810985</v>
      </c>
      <c r="G163">
        <f t="shared" si="5"/>
        <v>1.9823833701756892</v>
      </c>
      <c r="H163">
        <f t="shared" si="5"/>
        <v>2.6225600147970343</v>
      </c>
      <c r="I163">
        <f t="shared" si="5"/>
        <v>2.8664086112831875</v>
      </c>
      <c r="J163">
        <f t="shared" si="5"/>
        <v>3.3837853661030053</v>
      </c>
    </row>
    <row r="164" spans="3:10" x14ac:dyDescent="0.45">
      <c r="C164" s="29">
        <v>108</v>
      </c>
      <c r="D164">
        <f t="shared" si="5"/>
        <v>0.67676818055240484</v>
      </c>
      <c r="E164">
        <f t="shared" si="5"/>
        <v>1.2894394636817965</v>
      </c>
      <c r="F164">
        <f t="shared" si="5"/>
        <v>1.6590851435958269</v>
      </c>
      <c r="G164">
        <f t="shared" si="5"/>
        <v>1.982173483307728</v>
      </c>
      <c r="H164">
        <f t="shared" si="5"/>
        <v>2.6221200605936885</v>
      </c>
      <c r="I164">
        <f t="shared" si="5"/>
        <v>2.8658482411056827</v>
      </c>
      <c r="J164">
        <f t="shared" si="5"/>
        <v>3.382900111776074</v>
      </c>
    </row>
    <row r="165" spans="3:10" x14ac:dyDescent="0.45">
      <c r="C165" s="29">
        <v>109</v>
      </c>
      <c r="D165">
        <f t="shared" si="5"/>
        <v>0.67674721565130658</v>
      </c>
      <c r="E165">
        <f t="shared" si="5"/>
        <v>1.2893666490049474</v>
      </c>
      <c r="F165">
        <f t="shared" si="5"/>
        <v>1.6589534582030776</v>
      </c>
      <c r="G165">
        <f t="shared" si="5"/>
        <v>1.9819674897364858</v>
      </c>
      <c r="H165">
        <f t="shared" si="5"/>
        <v>2.621688312645976</v>
      </c>
      <c r="I165">
        <f t="shared" si="5"/>
        <v>2.8652983485070282</v>
      </c>
      <c r="J165">
        <f t="shared" si="5"/>
        <v>3.3820315034471213</v>
      </c>
    </row>
    <row r="166" spans="3:10" x14ac:dyDescent="0.45">
      <c r="C166" s="29">
        <v>110</v>
      </c>
      <c r="D166">
        <f t="shared" si="5"/>
        <v>0.67672663304417002</v>
      </c>
      <c r="E166">
        <f t="shared" si="5"/>
        <v>1.2892951663474244</v>
      </c>
      <c r="F166">
        <f t="shared" si="5"/>
        <v>1.6588241874140928</v>
      </c>
      <c r="G166">
        <f t="shared" si="5"/>
        <v>1.9817652821323735</v>
      </c>
      <c r="H166">
        <f t="shared" si="5"/>
        <v>2.6212645434885942</v>
      </c>
      <c r="I166">
        <f t="shared" si="5"/>
        <v>2.864758642374698</v>
      </c>
      <c r="J166">
        <f t="shared" si="5"/>
        <v>3.3811790760477991</v>
      </c>
    </row>
    <row r="167" spans="3:10" x14ac:dyDescent="0.45">
      <c r="C167" s="29">
        <v>111</v>
      </c>
      <c r="D167">
        <f t="shared" si="5"/>
        <v>0.6767064223689564</v>
      </c>
      <c r="E167">
        <f t="shared" si="5"/>
        <v>1.2892249794904438</v>
      </c>
      <c r="F167">
        <f t="shared" si="5"/>
        <v>1.6586972654215832</v>
      </c>
      <c r="G167">
        <f t="shared" si="5"/>
        <v>1.9815667570749009</v>
      </c>
      <c r="H167">
        <f t="shared" si="5"/>
        <v>2.6208485339854359</v>
      </c>
      <c r="I167">
        <f t="shared" si="5"/>
        <v>2.8642288422808377</v>
      </c>
      <c r="J167">
        <f t="shared" si="5"/>
        <v>3.3803423816720963</v>
      </c>
    </row>
    <row r="168" spans="3:10" x14ac:dyDescent="0.45">
      <c r="C168" s="29">
        <v>112</v>
      </c>
      <c r="D168">
        <f t="shared" si="5"/>
        <v>0.67668657363467399</v>
      </c>
      <c r="E168">
        <f t="shared" si="5"/>
        <v>1.2891560535165116</v>
      </c>
      <c r="F168">
        <f t="shared" si="5"/>
        <v>1.6585726287880238</v>
      </c>
      <c r="G168">
        <f t="shared" si="5"/>
        <v>1.9813718148763031</v>
      </c>
      <c r="H168">
        <f t="shared" si="5"/>
        <v>2.6204400729518436</v>
      </c>
      <c r="I168">
        <f t="shared" si="5"/>
        <v>2.8637086779965553</v>
      </c>
      <c r="J168">
        <f t="shared" si="5"/>
        <v>3.3795209887920259</v>
      </c>
    </row>
    <row r="169" spans="3:10" x14ac:dyDescent="0.45">
      <c r="C169" s="29">
        <v>113</v>
      </c>
      <c r="D169">
        <f t="shared" si="5"/>
        <v>0.67666707720505548</v>
      </c>
      <c r="E169">
        <f t="shared" si="5"/>
        <v>1.2890883547514773</v>
      </c>
      <c r="F169">
        <f t="shared" si="5"/>
        <v>1.6584502163399364</v>
      </c>
      <c r="G169">
        <f t="shared" si="5"/>
        <v>1.9811803594146622</v>
      </c>
      <c r="H169">
        <f t="shared" si="5"/>
        <v>2.6200389567971949</v>
      </c>
      <c r="I169">
        <f t="shared" si="5"/>
        <v>2.8631978890324721</v>
      </c>
      <c r="J169">
        <f t="shared" si="5"/>
        <v>3.3787144815158996</v>
      </c>
    </row>
    <row r="170" spans="3:10" x14ac:dyDescent="0.45">
      <c r="C170" s="29">
        <v>114</v>
      </c>
      <c r="D170">
        <f t="shared" si="5"/>
        <v>0.67664792378283645</v>
      </c>
      <c r="E170">
        <f t="shared" si="5"/>
        <v>1.2890218507097286</v>
      </c>
      <c r="F170">
        <f t="shared" si="5"/>
        <v>1.6583299690677951</v>
      </c>
      <c r="G170">
        <f t="shared" si="5"/>
        <v>1.9809922979758596</v>
      </c>
      <c r="H170">
        <f t="shared" si="5"/>
        <v>2.619644989186654</v>
      </c>
      <c r="I170">
        <f t="shared" si="5"/>
        <v>2.862696224203888</v>
      </c>
      <c r="J170">
        <f t="shared" si="5"/>
        <v>3.3779224588865455</v>
      </c>
    </row>
    <row r="171" spans="3:10" x14ac:dyDescent="0.45">
      <c r="C171" s="29">
        <v>115</v>
      </c>
      <c r="D171">
        <f t="shared" si="5"/>
        <v>0.67662910439509216</v>
      </c>
      <c r="E171">
        <f t="shared" si="5"/>
        <v>1.2889565100421754</v>
      </c>
      <c r="F171">
        <f t="shared" si="5"/>
        <v>1.658211830031149</v>
      </c>
      <c r="G171">
        <f t="shared" si="5"/>
        <v>1.9808075411039101</v>
      </c>
      <c r="H171">
        <f t="shared" si="5"/>
        <v>2.6192579807207728</v>
      </c>
      <c r="I171">
        <f t="shared" si="5"/>
        <v>2.8622034412190427</v>
      </c>
      <c r="J171">
        <f t="shared" si="5"/>
        <v>3.3771445342170181</v>
      </c>
    </row>
    <row r="172" spans="3:10" x14ac:dyDescent="0.45">
      <c r="C172" s="29">
        <v>116</v>
      </c>
      <c r="D172">
        <f t="shared" si="5"/>
        <v>0.67661061037911385</v>
      </c>
      <c r="E172">
        <f t="shared" si="5"/>
        <v>1.2888923024869843</v>
      </c>
      <c r="F172">
        <f t="shared" si="5"/>
        <v>1.6580957442687665</v>
      </c>
      <c r="G172">
        <f t="shared" si="5"/>
        <v>1.98062600245909</v>
      </c>
      <c r="H172">
        <f t="shared" si="5"/>
        <v>2.6188777486319674</v>
      </c>
      <c r="I172">
        <f t="shared" si="5"/>
        <v>2.8617193062890269</v>
      </c>
      <c r="J172">
        <f t="shared" si="5"/>
        <v>3.3763803344613872</v>
      </c>
    </row>
    <row r="173" spans="3:10" x14ac:dyDescent="0.45">
      <c r="C173" s="29">
        <v>117</v>
      </c>
      <c r="D173">
        <f t="shared" si="5"/>
        <v>0.67659243336918984</v>
      </c>
      <c r="E173">
        <f t="shared" si="5"/>
        <v>1.2888291988228651</v>
      </c>
      <c r="F173">
        <f t="shared" si="5"/>
        <v>1.6579816587133522</v>
      </c>
      <c r="G173">
        <f t="shared" si="5"/>
        <v>1.9804475986834036</v>
      </c>
      <c r="H173">
        <f t="shared" si="5"/>
        <v>2.6185041164968004</v>
      </c>
      <c r="I173">
        <f t="shared" si="5"/>
        <v>2.8612435937580836</v>
      </c>
      <c r="J173">
        <f t="shared" si="5"/>
        <v>3.37562949961859</v>
      </c>
    </row>
    <row r="174" spans="3:10" x14ac:dyDescent="0.45">
      <c r="C174" s="29">
        <v>118</v>
      </c>
      <c r="D174">
        <f t="shared" si="5"/>
        <v>0.6765745652839551</v>
      </c>
      <c r="E174">
        <f t="shared" si="5"/>
        <v>1.2887671708247093</v>
      </c>
      <c r="F174">
        <f t="shared" si="5"/>
        <v>1.6578695221106927</v>
      </c>
      <c r="G174">
        <f t="shared" si="5"/>
        <v>1.9802722492729716</v>
      </c>
      <c r="H174">
        <f t="shared" si="5"/>
        <v>2.6181369139630566</v>
      </c>
      <c r="I174">
        <f t="shared" si="5"/>
        <v>2.8607760857529678</v>
      </c>
      <c r="J174">
        <f t="shared" si="5"/>
        <v>3.3748916821672221</v>
      </c>
    </row>
    <row r="175" spans="3:10" x14ac:dyDescent="0.45">
      <c r="C175" s="29">
        <v>119</v>
      </c>
      <c r="D175">
        <f t="shared" si="5"/>
        <v>0.6765569983143862</v>
      </c>
      <c r="E175">
        <f t="shared" si="5"/>
        <v>1.2887061912215023</v>
      </c>
      <c r="F175">
        <f t="shared" si="5"/>
        <v>1.6577592849428349</v>
      </c>
      <c r="G175">
        <f t="shared" si="5"/>
        <v>1.9800998764569426</v>
      </c>
      <c r="H175">
        <f t="shared" si="5"/>
        <v>2.6177759764908615</v>
      </c>
      <c r="I175">
        <f t="shared" si="5"/>
        <v>2.8603165718503787</v>
      </c>
      <c r="J175">
        <f t="shared" si="5"/>
        <v>3.3741665465294783</v>
      </c>
    </row>
    <row r="176" spans="3:10" x14ac:dyDescent="0.45">
      <c r="C176" s="29">
        <v>120</v>
      </c>
      <c r="D176">
        <f t="shared" si="5"/>
        <v>0.67653972491251135</v>
      </c>
      <c r="E176">
        <f t="shared" si="5"/>
        <v>1.2886462336563809</v>
      </c>
      <c r="F176">
        <f t="shared" si="5"/>
        <v>1.6576508993552355</v>
      </c>
      <c r="G176">
        <f t="shared" si="5"/>
        <v>1.9799304050824413</v>
      </c>
      <c r="H176">
        <f t="shared" si="5"/>
        <v>2.617421145106865</v>
      </c>
      <c r="I176">
        <f t="shared" si="5"/>
        <v>2.8598648487612008</v>
      </c>
      <c r="J176">
        <f t="shared" si="5"/>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113"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 t="shared" ref="DL268:EQ268" si="2">SUM(DL265:DL267)</f>
        <v>0</v>
      </c>
      <c r="DM268">
        <f t="shared" si="2"/>
        <v>0</v>
      </c>
      <c r="DN268">
        <f t="shared" si="2"/>
        <v>0</v>
      </c>
      <c r="DO268">
        <f t="shared" si="2"/>
        <v>0</v>
      </c>
      <c r="DP268">
        <f t="shared" si="2"/>
        <v>0</v>
      </c>
      <c r="DQ268">
        <f t="shared" si="2"/>
        <v>0</v>
      </c>
      <c r="DR268">
        <f t="shared" si="2"/>
        <v>0</v>
      </c>
      <c r="DS268">
        <f t="shared" si="2"/>
        <v>0</v>
      </c>
      <c r="DT268">
        <f t="shared" si="2"/>
        <v>0</v>
      </c>
      <c r="DU268">
        <f t="shared" si="2"/>
        <v>0</v>
      </c>
      <c r="DV268">
        <f t="shared" si="2"/>
        <v>0</v>
      </c>
      <c r="DW268">
        <f t="shared" si="2"/>
        <v>0</v>
      </c>
      <c r="DX268">
        <f t="shared" si="2"/>
        <v>0</v>
      </c>
      <c r="DY268">
        <f t="shared" si="2"/>
        <v>0</v>
      </c>
      <c r="DZ268">
        <f t="shared" si="2"/>
        <v>0</v>
      </c>
      <c r="EA268">
        <f t="shared" si="2"/>
        <v>0</v>
      </c>
      <c r="EB268">
        <f t="shared" si="2"/>
        <v>0</v>
      </c>
      <c r="EC268">
        <f t="shared" si="2"/>
        <v>0</v>
      </c>
      <c r="ED268">
        <f t="shared" si="2"/>
        <v>0</v>
      </c>
      <c r="EE268">
        <f t="shared" si="2"/>
        <v>0</v>
      </c>
      <c r="EF268">
        <f t="shared" si="2"/>
        <v>0</v>
      </c>
      <c r="EG268">
        <f t="shared" si="2"/>
        <v>0</v>
      </c>
      <c r="EH268">
        <f t="shared" si="2"/>
        <v>0</v>
      </c>
      <c r="EI268">
        <f t="shared" si="2"/>
        <v>0</v>
      </c>
      <c r="EJ268">
        <f t="shared" si="2"/>
        <v>0</v>
      </c>
      <c r="EK268">
        <f t="shared" si="2"/>
        <v>0</v>
      </c>
      <c r="EL268">
        <f t="shared" si="2"/>
        <v>0</v>
      </c>
      <c r="EM268">
        <f t="shared" si="2"/>
        <v>0</v>
      </c>
      <c r="EN268">
        <f t="shared" si="2"/>
        <v>261</v>
      </c>
      <c r="EO268">
        <f t="shared" si="2"/>
        <v>0</v>
      </c>
      <c r="EP268">
        <f t="shared" si="2"/>
        <v>0</v>
      </c>
      <c r="EQ268">
        <f t="shared" si="2"/>
        <v>0</v>
      </c>
      <c r="ER268">
        <f t="shared" ref="ER268:FW268" si="3">SUM(ER265:ER267)</f>
        <v>0</v>
      </c>
      <c r="ES268">
        <f t="shared" si="3"/>
        <v>0</v>
      </c>
      <c r="ET268">
        <f t="shared" si="3"/>
        <v>0</v>
      </c>
      <c r="EU268">
        <f t="shared" si="3"/>
        <v>0</v>
      </c>
      <c r="EV268">
        <f t="shared" si="3"/>
        <v>0</v>
      </c>
      <c r="EW268">
        <f t="shared" si="3"/>
        <v>0</v>
      </c>
      <c r="EX268">
        <f t="shared" si="3"/>
        <v>0</v>
      </c>
      <c r="EY268">
        <f t="shared" si="3"/>
        <v>0</v>
      </c>
      <c r="EZ268">
        <f t="shared" si="3"/>
        <v>0</v>
      </c>
      <c r="FA268">
        <f t="shared" si="3"/>
        <v>0</v>
      </c>
      <c r="FB268">
        <f t="shared" si="3"/>
        <v>0</v>
      </c>
      <c r="FC268">
        <f t="shared" si="3"/>
        <v>0</v>
      </c>
      <c r="FD268">
        <f t="shared" si="3"/>
        <v>0</v>
      </c>
      <c r="FE268">
        <f t="shared" si="3"/>
        <v>0</v>
      </c>
      <c r="FF268">
        <f t="shared" si="3"/>
        <v>0</v>
      </c>
      <c r="FG268">
        <f t="shared" si="3"/>
        <v>0</v>
      </c>
      <c r="FH268">
        <f t="shared" si="3"/>
        <v>0</v>
      </c>
      <c r="FI268">
        <f t="shared" si="3"/>
        <v>0</v>
      </c>
      <c r="FJ268">
        <f t="shared" si="3"/>
        <v>0</v>
      </c>
      <c r="FK268">
        <f t="shared" si="3"/>
        <v>0</v>
      </c>
      <c r="FL268">
        <f t="shared" si="3"/>
        <v>0</v>
      </c>
      <c r="FM268">
        <f t="shared" si="3"/>
        <v>0</v>
      </c>
      <c r="FN268">
        <f t="shared" si="3"/>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112"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71"/>
  <sheetViews>
    <sheetView topLeftCell="A646" workbookViewId="0">
      <selection activeCell="A667" sqref="A667:B667"/>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10</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 t="shared" ref="C46:C51" si="2">A46/$A$52</f>
        <v>#REF!</v>
      </c>
    </row>
    <row r="47" spans="1:3" x14ac:dyDescent="0.45">
      <c r="A47" t="e">
        <f>COUNTIFS(AnalizaCzyste[Z jakiej wielkości miejscowości pochodzisz? (dotyczy miejscowości, w której się wychowałaś/eś],B47,#REF!,"*"&amp;"Tak"&amp;"*")</f>
        <v>#REF!</v>
      </c>
      <c r="B47" t="s">
        <v>398</v>
      </c>
      <c r="C47" s="33" t="e">
        <f t="shared" si="2"/>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8.3333333333333329E-2</v>
      </c>
      <c r="B65" s="34">
        <f>COUNTIFS(AnalizaCzyste[Czy jesteś przedstawicielem firmy, w której są zatrudniani absolwenci uczelni wyższych (tytuł licencjata, magistra lub wyższy)?],"*"&amp;"Tak"&amp;"*",AnalizaCzyste[Czy jesteś absolwentem uczelni wyższej?],"*"&amp;"Tak"&amp;"*")</f>
        <v>10</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0.40833333333333333</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14</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1</v>
      </c>
      <c r="B105" s="28" t="s">
        <v>1472</v>
      </c>
    </row>
    <row r="106" spans="1:2" x14ac:dyDescent="0.45">
      <c r="A106">
        <f>COUNTIFS(AnalizaCzyste[Jak się nazywa uczelnia którą ukończyłeś? (proszę o wybranie jednej uczelni podlegającej ocenie)],B106,AnalizaCzyste[Czy jesteś absolwentem uczelni wyższej?],"*"&amp;"Tak"&amp;"*")</f>
        <v>10</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33</v>
      </c>
    </row>
    <row r="119" spans="1:3" x14ac:dyDescent="0.45">
      <c r="A119" s="29" t="s">
        <v>2327</v>
      </c>
      <c r="B119" s="29" t="s">
        <v>2326</v>
      </c>
      <c r="C119" s="29" t="s">
        <v>2333</v>
      </c>
    </row>
    <row r="120" spans="1:3" x14ac:dyDescent="0.45">
      <c r="A120">
        <f>COUNTIFS(AnalizaCzyste[KategoriaUczelni],B120,AnalizaCzyste[Czy jesteś absolwentem uczelni wyższej?],"*"&amp;"Tak"&amp;"*")</f>
        <v>32</v>
      </c>
      <c r="B120" s="20" t="s">
        <v>2321</v>
      </c>
      <c r="C120" s="30">
        <f>A120/$A$123</f>
        <v>0.96969696969696972</v>
      </c>
    </row>
    <row r="121" spans="1:3" x14ac:dyDescent="0.45">
      <c r="A121">
        <f>COUNTIFS(AnalizaCzyste[KategoriaUczelni],B121,AnalizaCzyste[Czy jesteś absolwentem uczelni wyższej?],"*"&amp;"Tak"&amp;"*")</f>
        <v>1</v>
      </c>
      <c r="B121" s="20" t="s">
        <v>2323</v>
      </c>
      <c r="C121" s="30">
        <f>A121/$A$123</f>
        <v>3.0303030303030304E-2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33</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9"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 t="shared" si="7"/>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 t="shared" ref="J173:J178" si="22">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3">PRODUCT(A174,C174)</f>
        <v>60</v>
      </c>
      <c r="E174" s="44">
        <f t="shared" ref="E174:E179" si="24">(A174-$D$181)^2</f>
        <v>0.32653061224489766</v>
      </c>
      <c r="F174">
        <f t="shared" ref="F174:F179" si="25">PRODUCT(C174,E174)</f>
        <v>3.2653061224489766</v>
      </c>
      <c r="G174" s="44">
        <f>VLOOKUP(A174,TabeleGrup!$C$45:$D$51,2,0)</f>
        <v>6.1428571428571423</v>
      </c>
      <c r="H174">
        <f t="shared" ref="H174:H179" si="26">(G174-$D$181)/$F$182</f>
        <v>0.47577110977166287</v>
      </c>
      <c r="I174">
        <f t="shared" ref="I174:I179" si="27">NORMDIST(H174,0,1,1)</f>
        <v>0.68288127294234324</v>
      </c>
      <c r="J174">
        <f t="shared" si="22"/>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3"/>
        <v>25</v>
      </c>
      <c r="E175" s="44">
        <f t="shared" si="24"/>
        <v>0.18367346938775531</v>
      </c>
      <c r="F175">
        <f t="shared" si="25"/>
        <v>0.91836734693877653</v>
      </c>
      <c r="G175" s="44">
        <f>VLOOKUP(A175,TabeleGrup!$C$45:$D$51,2,0)</f>
        <v>5.2857142857142856</v>
      </c>
      <c r="H175">
        <f t="shared" si="26"/>
        <v>-9.5154221954332929E-2</v>
      </c>
      <c r="I175">
        <f t="shared" si="27"/>
        <v>0.46209616526066499</v>
      </c>
      <c r="J175">
        <f t="shared" si="22"/>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3"/>
        <v>8</v>
      </c>
      <c r="E176" s="44">
        <f t="shared" si="24"/>
        <v>2.0408163265306132</v>
      </c>
      <c r="F176">
        <f t="shared" si="25"/>
        <v>4.0816326530612264</v>
      </c>
      <c r="G176" s="44">
        <f>VLOOKUP(A176,TabeleGrup!$C$45:$D$51,2,0)</f>
        <v>4.4285714285714288</v>
      </c>
      <c r="H176">
        <f t="shared" si="26"/>
        <v>-0.66607955368032867</v>
      </c>
      <c r="I176">
        <f t="shared" si="27"/>
        <v>0.25268012631818859</v>
      </c>
      <c r="J176">
        <f t="shared" si="22"/>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3"/>
        <v>6</v>
      </c>
      <c r="E177" s="44">
        <f t="shared" si="24"/>
        <v>5.8979591836734704</v>
      </c>
      <c r="F177">
        <f t="shared" si="25"/>
        <v>11.795918367346941</v>
      </c>
      <c r="G177" s="44">
        <f>VLOOKUP(A177,TabeleGrup!$C$45:$D$51,2,0)</f>
        <v>3.5714285714285716</v>
      </c>
      <c r="H177">
        <f t="shared" si="26"/>
        <v>-1.2370048854063249</v>
      </c>
      <c r="I177">
        <f t="shared" si="27"/>
        <v>0.10804263445957447</v>
      </c>
      <c r="J177">
        <f t="shared" si="22"/>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3"/>
        <v>4</v>
      </c>
      <c r="E178" s="44">
        <f t="shared" si="24"/>
        <v>11.755102040816329</v>
      </c>
      <c r="F178">
        <f t="shared" si="25"/>
        <v>23.510204081632658</v>
      </c>
      <c r="G178" s="44">
        <f>VLOOKUP(A178,TabeleGrup!$C$45:$D$51,2,0)</f>
        <v>2.7142857142857144</v>
      </c>
      <c r="H178">
        <f t="shared" si="26"/>
        <v>-1.8079302171323208</v>
      </c>
      <c r="I178">
        <f t="shared" si="27"/>
        <v>3.5308681061354492E-2</v>
      </c>
      <c r="J178">
        <f t="shared" si="22"/>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3"/>
        <v>0</v>
      </c>
      <c r="E179" s="44">
        <f t="shared" si="24"/>
        <v>19.612244897959187</v>
      </c>
      <c r="F179">
        <f t="shared" si="25"/>
        <v>0</v>
      </c>
      <c r="G179" s="44">
        <f>VLOOKUP(A179,TabeleGrup!$C$45:$D$51,2,0)</f>
        <v>1.8571428571428572</v>
      </c>
      <c r="H179">
        <f t="shared" si="26"/>
        <v>-2.3788555488583172</v>
      </c>
      <c r="I179">
        <f t="shared" si="27"/>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3"/>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PRODUCT($A210,D210)</f>
        <v>7</v>
      </c>
      <c r="I210">
        <f>PRODUCT($A210,E210)</f>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8">SUM(C211:E211)</f>
        <v>6</v>
      </c>
      <c r="G211">
        <f t="shared" ref="G211:G217" si="39">PRODUCT($A211,C211)</f>
        <v>24</v>
      </c>
      <c r="H211">
        <f t="shared" ref="H211:H217" si="40">PRODUCT($A211,D211)</f>
        <v>12</v>
      </c>
      <c r="I211">
        <f t="shared" ref="I211:I217" si="41">PRODUCT($A211,E211)</f>
        <v>0</v>
      </c>
      <c r="J211">
        <f t="shared" ref="J211:J217" si="42">SUM(G211:I211)</f>
        <v>36</v>
      </c>
      <c r="K211" s="44">
        <f t="shared" ref="K211:K216" si="43">(A211-$J$218)^2</f>
        <v>3.0864197530863979E-3</v>
      </c>
      <c r="L211">
        <f t="shared" ref="L211:L216" si="44">PRODUCT(F211,K211)</f>
        <v>1.8518518518518386E-2</v>
      </c>
      <c r="M211" s="44">
        <f>VLOOKUP(A211,TabeleGrup!$C$45:$D$51,2,0)</f>
        <v>6.1428571428571423</v>
      </c>
      <c r="N211">
        <f t="shared" ref="N211:N216" si="45">(M211-$J$218)/$L$219</f>
        <v>0.17875553643386358</v>
      </c>
      <c r="O211">
        <f t="shared" ref="O211:O216" si="46">NORMDIST(N211,0,1,1)</f>
        <v>0.57093517018177131</v>
      </c>
      <c r="P211">
        <f t="shared" ref="P211:P216" si="47">O211-O212</f>
        <v>0.29450130140226677</v>
      </c>
      <c r="Q211">
        <f t="shared" ref="Q211:Q216" si="48">$C$219*P211</f>
        <v>3.2395143154249344</v>
      </c>
      <c r="R211">
        <f t="shared" ref="R211:R216" si="49">C211-Q211</f>
        <v>0.7604856845750656</v>
      </c>
      <c r="S211">
        <f t="shared" ref="S211:S216" si="50">R211^2</f>
        <v>0.57833847644360614</v>
      </c>
      <c r="T211">
        <f t="shared" ref="T211:T216" si="51">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8"/>
        <v>2</v>
      </c>
      <c r="G212">
        <f t="shared" si="39"/>
        <v>5</v>
      </c>
      <c r="H212">
        <f t="shared" si="40"/>
        <v>5</v>
      </c>
      <c r="I212">
        <f t="shared" si="41"/>
        <v>0</v>
      </c>
      <c r="J212">
        <f t="shared" si="42"/>
        <v>10</v>
      </c>
      <c r="K212" s="44">
        <f t="shared" si="43"/>
        <v>0.89197530864197572</v>
      </c>
      <c r="L212">
        <f t="shared" si="44"/>
        <v>1.7839506172839514</v>
      </c>
      <c r="M212" s="44">
        <f>VLOOKUP(A212,TabeleGrup!$C$45:$D$51,2,0)</f>
        <v>5.2857142857142856</v>
      </c>
      <c r="N212">
        <f t="shared" si="45"/>
        <v>-0.59346838096042953</v>
      </c>
      <c r="O212">
        <f t="shared" si="46"/>
        <v>0.27643386877950454</v>
      </c>
      <c r="P212">
        <f t="shared" si="47"/>
        <v>0.19041608743769695</v>
      </c>
      <c r="Q212">
        <f t="shared" si="48"/>
        <v>2.0945769618146666</v>
      </c>
      <c r="R212">
        <f t="shared" si="49"/>
        <v>-1.0945769618146666</v>
      </c>
      <c r="S212">
        <f t="shared" si="50"/>
        <v>1.1980987253354261</v>
      </c>
      <c r="T212">
        <f t="shared" si="51"/>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8"/>
        <v>3</v>
      </c>
      <c r="G213">
        <f t="shared" si="39"/>
        <v>4</v>
      </c>
      <c r="H213">
        <f t="shared" si="40"/>
        <v>4</v>
      </c>
      <c r="I213">
        <f t="shared" si="41"/>
        <v>4</v>
      </c>
      <c r="J213">
        <f t="shared" si="42"/>
        <v>12</v>
      </c>
      <c r="K213" s="44">
        <f t="shared" si="43"/>
        <v>3.7808641975308648</v>
      </c>
      <c r="L213">
        <f t="shared" si="44"/>
        <v>11.342592592592595</v>
      </c>
      <c r="M213" s="44">
        <f>VLOOKUP(A213,TabeleGrup!$C$45:$D$51,2,0)</f>
        <v>4.4285714285714288</v>
      </c>
      <c r="N213">
        <f t="shared" si="45"/>
        <v>-1.3656922983547226</v>
      </c>
      <c r="O213">
        <f t="shared" si="46"/>
        <v>8.6017781341807598E-2</v>
      </c>
      <c r="P213">
        <f t="shared" si="47"/>
        <v>6.9756009389074003E-2</v>
      </c>
      <c r="Q213">
        <f t="shared" si="48"/>
        <v>0.76731610327981403</v>
      </c>
      <c r="R213">
        <f t="shared" si="49"/>
        <v>0.23268389672018597</v>
      </c>
      <c r="S213">
        <f t="shared" si="50"/>
        <v>5.414179579289017E-2</v>
      </c>
      <c r="T213">
        <f t="shared" si="51"/>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8"/>
        <v>0</v>
      </c>
      <c r="G214">
        <f t="shared" si="39"/>
        <v>0</v>
      </c>
      <c r="H214">
        <f t="shared" si="40"/>
        <v>0</v>
      </c>
      <c r="I214">
        <f t="shared" si="41"/>
        <v>0</v>
      </c>
      <c r="J214">
        <f t="shared" si="42"/>
        <v>0</v>
      </c>
      <c r="K214" s="44">
        <f t="shared" si="43"/>
        <v>8.669753086419755</v>
      </c>
      <c r="L214">
        <f t="shared" si="44"/>
        <v>0</v>
      </c>
      <c r="M214" s="44">
        <f>VLOOKUP(A214,TabeleGrup!$C$45:$D$51,2,0)</f>
        <v>3.5714285714285716</v>
      </c>
      <c r="N214">
        <f t="shared" si="45"/>
        <v>-2.1379162157490161</v>
      </c>
      <c r="O214">
        <f t="shared" si="46"/>
        <v>1.6261771952733588E-2</v>
      </c>
      <c r="P214">
        <f t="shared" si="47"/>
        <v>1.4455438270431059E-2</v>
      </c>
      <c r="Q214">
        <f t="shared" si="48"/>
        <v>0.15900982097474164</v>
      </c>
      <c r="R214">
        <f t="shared" si="49"/>
        <v>-0.15900982097474164</v>
      </c>
      <c r="S214">
        <f t="shared" si="50"/>
        <v>2.5284123166419387E-2</v>
      </c>
      <c r="T214">
        <f t="shared" si="51"/>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8"/>
        <v>0</v>
      </c>
      <c r="G215">
        <f t="shared" si="39"/>
        <v>0</v>
      </c>
      <c r="H215">
        <f t="shared" si="40"/>
        <v>0</v>
      </c>
      <c r="I215">
        <f t="shared" si="41"/>
        <v>0</v>
      </c>
      <c r="J215">
        <f t="shared" si="42"/>
        <v>0</v>
      </c>
      <c r="K215" s="44">
        <f t="shared" si="43"/>
        <v>15.558641975308644</v>
      </c>
      <c r="L215">
        <f t="shared" si="44"/>
        <v>0</v>
      </c>
      <c r="M215" s="44">
        <f>VLOOKUP(A215,TabeleGrup!$C$45:$D$51,2,0)</f>
        <v>2.7142857142857144</v>
      </c>
      <c r="N215">
        <f t="shared" si="45"/>
        <v>-2.9101401331433094</v>
      </c>
      <c r="O215">
        <f t="shared" si="46"/>
        <v>1.8063336823025287E-3</v>
      </c>
      <c r="P215">
        <f t="shared" si="47"/>
        <v>1.6907931307337106E-3</v>
      </c>
      <c r="Q215">
        <f t="shared" si="48"/>
        <v>1.8598724438070816E-2</v>
      </c>
      <c r="R215">
        <f t="shared" si="49"/>
        <v>-1.8598724438070816E-2</v>
      </c>
      <c r="S215">
        <f t="shared" si="50"/>
        <v>3.4591255072329258E-4</v>
      </c>
      <c r="T215">
        <f t="shared" si="51"/>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8"/>
        <v>0</v>
      </c>
      <c r="G216">
        <f t="shared" si="39"/>
        <v>0</v>
      </c>
      <c r="H216">
        <f t="shared" si="40"/>
        <v>0</v>
      </c>
      <c r="I216">
        <f t="shared" si="41"/>
        <v>0</v>
      </c>
      <c r="J216">
        <f t="shared" si="42"/>
        <v>0</v>
      </c>
      <c r="K216" s="44">
        <f t="shared" si="43"/>
        <v>24.447530864197532</v>
      </c>
      <c r="L216">
        <f t="shared" si="44"/>
        <v>0</v>
      </c>
      <c r="M216" s="44">
        <f>VLOOKUP(A216,TabeleGrup!$C$45:$D$51,2,0)</f>
        <v>1.8571428571428572</v>
      </c>
      <c r="N216">
        <f t="shared" si="45"/>
        <v>-3.6823640505376027</v>
      </c>
      <c r="O216">
        <f t="shared" si="46"/>
        <v>1.1554055156881805E-4</v>
      </c>
      <c r="P216">
        <f t="shared" si="47"/>
        <v>1.1554055156881805E-4</v>
      </c>
      <c r="Q216">
        <f t="shared" si="48"/>
        <v>1.2709460672569986E-3</v>
      </c>
      <c r="R216">
        <f t="shared" si="49"/>
        <v>-1.2709460672569986E-3</v>
      </c>
      <c r="S216">
        <f t="shared" si="50"/>
        <v>1.6153039058760312E-6</v>
      </c>
      <c r="T216">
        <f t="shared" si="51"/>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8"/>
        <v>1</v>
      </c>
      <c r="G217">
        <f t="shared" si="39"/>
        <v>1</v>
      </c>
      <c r="H217">
        <f t="shared" si="40"/>
        <v>0</v>
      </c>
      <c r="I217">
        <f t="shared" si="41"/>
        <v>0</v>
      </c>
      <c r="J217">
        <f t="shared" si="42"/>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8"/>
        <v>19</v>
      </c>
      <c r="G218" s="44">
        <f>SUM(G210:G217)/$C219</f>
        <v>6.2727272727272725</v>
      </c>
      <c r="H218" s="44">
        <f>SUM(H210:H217)/$C219</f>
        <v>2.5454545454545454</v>
      </c>
      <c r="I218" s="44">
        <f>SUM(I210:I217)/$C219</f>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8"/>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2">PRODUCT($A223,D223)</f>
        <v>14</v>
      </c>
      <c r="I223">
        <f t="shared" ref="I223:I230" si="53">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4">SUM(C224:E224)</f>
        <v>6</v>
      </c>
      <c r="G224">
        <f t="shared" ref="G224:G230" si="55">PRODUCT($A224,C224)</f>
        <v>24</v>
      </c>
      <c r="H224">
        <f t="shared" si="52"/>
        <v>12</v>
      </c>
      <c r="I224">
        <f t="shared" si="53"/>
        <v>0</v>
      </c>
      <c r="J224">
        <f t="shared" ref="J224:J230" si="56">SUM(G224:I224)</f>
        <v>36</v>
      </c>
      <c r="K224" s="44">
        <f t="shared" ref="K224:K229" si="57">(A224-$J$231)^2</f>
        <v>3.0864197530863979E-3</v>
      </c>
      <c r="L224">
        <f t="shared" ref="L224:L229" si="58">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4"/>
        <v>2</v>
      </c>
      <c r="G225">
        <f t="shared" si="55"/>
        <v>5</v>
      </c>
      <c r="H225">
        <f t="shared" si="52"/>
        <v>0</v>
      </c>
      <c r="I225">
        <f t="shared" si="53"/>
        <v>5</v>
      </c>
      <c r="J225">
        <f t="shared" si="56"/>
        <v>10</v>
      </c>
      <c r="K225" s="44">
        <f t="shared" si="57"/>
        <v>1.1141975308641971</v>
      </c>
      <c r="L225">
        <f t="shared" si="58"/>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4"/>
        <v>1</v>
      </c>
      <c r="G226">
        <f t="shared" si="55"/>
        <v>4</v>
      </c>
      <c r="H226">
        <f t="shared" si="52"/>
        <v>0</v>
      </c>
      <c r="I226">
        <f t="shared" si="53"/>
        <v>0</v>
      </c>
      <c r="J226">
        <f t="shared" si="56"/>
        <v>4</v>
      </c>
      <c r="K226" s="44">
        <f t="shared" si="57"/>
        <v>4.2253086419753076</v>
      </c>
      <c r="L226">
        <f t="shared" si="58"/>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4"/>
        <v>1</v>
      </c>
      <c r="G227">
        <f t="shared" si="55"/>
        <v>0</v>
      </c>
      <c r="H227">
        <f t="shared" si="52"/>
        <v>3</v>
      </c>
      <c r="I227">
        <f t="shared" si="53"/>
        <v>0</v>
      </c>
      <c r="J227">
        <f t="shared" si="56"/>
        <v>3</v>
      </c>
      <c r="K227" s="44">
        <f t="shared" si="57"/>
        <v>9.3364197530864192</v>
      </c>
      <c r="L227">
        <f t="shared" si="58"/>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4"/>
        <v>0</v>
      </c>
      <c r="G228">
        <f t="shared" si="55"/>
        <v>0</v>
      </c>
      <c r="H228">
        <f t="shared" si="52"/>
        <v>0</v>
      </c>
      <c r="I228">
        <f t="shared" si="53"/>
        <v>0</v>
      </c>
      <c r="J228">
        <f t="shared" si="56"/>
        <v>0</v>
      </c>
      <c r="K228" s="44">
        <f t="shared" si="57"/>
        <v>16.447530864197528</v>
      </c>
      <c r="L228">
        <f t="shared" si="58"/>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4"/>
        <v>0</v>
      </c>
      <c r="G229">
        <f t="shared" si="55"/>
        <v>0</v>
      </c>
      <c r="H229">
        <f t="shared" si="52"/>
        <v>0</v>
      </c>
      <c r="I229">
        <f t="shared" si="53"/>
        <v>0</v>
      </c>
      <c r="J229">
        <f t="shared" si="56"/>
        <v>0</v>
      </c>
      <c r="K229" s="44">
        <f t="shared" si="57"/>
        <v>25.558641975308639</v>
      </c>
      <c r="L229">
        <f t="shared" si="58"/>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4"/>
        <v>1</v>
      </c>
      <c r="G230">
        <f t="shared" si="55"/>
        <v>1</v>
      </c>
      <c r="H230">
        <f t="shared" si="52"/>
        <v>0</v>
      </c>
      <c r="I230">
        <f t="shared" si="53"/>
        <v>0</v>
      </c>
      <c r="J230">
        <f t="shared" si="56"/>
        <v>1</v>
      </c>
    </row>
    <row r="231" spans="1:13" x14ac:dyDescent="0.45">
      <c r="B231" s="20" t="s">
        <v>2351</v>
      </c>
      <c r="C231" s="29">
        <f>SUM(C223:C230)</f>
        <v>12</v>
      </c>
      <c r="D231" s="29">
        <f>SUM(D223:D230)</f>
        <v>5</v>
      </c>
      <c r="E231" s="29">
        <f>SUM(E223:E230)</f>
        <v>2</v>
      </c>
      <c r="F231" s="29">
        <f t="shared" si="54"/>
        <v>19</v>
      </c>
      <c r="G231" s="44">
        <f>SUM(G223:G230)/$C232</f>
        <v>6.2727272727272725</v>
      </c>
      <c r="H231" s="44">
        <f>SUM(H223:H230)/$C232</f>
        <v>2.6363636363636362</v>
      </c>
      <c r="I231" s="44">
        <f>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4"/>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59">PRODUCT($A235,D235)</f>
        <v>7</v>
      </c>
      <c r="I235">
        <f t="shared" ref="I235:I242" si="60">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1">SUM(C236:E236)</f>
        <v>5</v>
      </c>
      <c r="G236">
        <f t="shared" ref="G236:G242" si="62">PRODUCT($A236,C236)</f>
        <v>12</v>
      </c>
      <c r="H236">
        <f t="shared" si="59"/>
        <v>12</v>
      </c>
      <c r="I236">
        <f t="shared" si="60"/>
        <v>6</v>
      </c>
      <c r="J236">
        <f t="shared" ref="J236:J242" si="63">SUM(G236:I236)</f>
        <v>30</v>
      </c>
      <c r="K236" s="44">
        <f t="shared" ref="K236:K241" si="64">(A236-$J$243)^2</f>
        <v>3.0864197530863979E-3</v>
      </c>
      <c r="L236">
        <f t="shared" ref="L236:L241" si="65">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1"/>
        <v>1</v>
      </c>
      <c r="G237">
        <f t="shared" si="62"/>
        <v>0</v>
      </c>
      <c r="H237">
        <f t="shared" si="59"/>
        <v>5</v>
      </c>
      <c r="I237">
        <f t="shared" si="60"/>
        <v>0</v>
      </c>
      <c r="J237">
        <f t="shared" si="63"/>
        <v>5</v>
      </c>
      <c r="K237" s="44">
        <f t="shared" si="64"/>
        <v>0.89197530864197572</v>
      </c>
      <c r="L237">
        <f t="shared" si="65"/>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1"/>
        <v>1</v>
      </c>
      <c r="G238">
        <f t="shared" si="62"/>
        <v>4</v>
      </c>
      <c r="H238">
        <f t="shared" si="59"/>
        <v>0</v>
      </c>
      <c r="I238">
        <f t="shared" si="60"/>
        <v>0</v>
      </c>
      <c r="J238">
        <f t="shared" si="63"/>
        <v>4</v>
      </c>
      <c r="K238" s="44">
        <f t="shared" si="64"/>
        <v>3.7808641975308648</v>
      </c>
      <c r="L238">
        <f t="shared" si="65"/>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1"/>
        <v>1</v>
      </c>
      <c r="G239">
        <f t="shared" si="62"/>
        <v>3</v>
      </c>
      <c r="H239">
        <f t="shared" si="59"/>
        <v>0</v>
      </c>
      <c r="I239">
        <f t="shared" si="60"/>
        <v>0</v>
      </c>
      <c r="J239">
        <f t="shared" si="63"/>
        <v>3</v>
      </c>
      <c r="K239" s="44">
        <f t="shared" si="64"/>
        <v>8.669753086419755</v>
      </c>
      <c r="L239">
        <f t="shared" si="65"/>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1"/>
        <v>1</v>
      </c>
      <c r="G240">
        <f t="shared" si="62"/>
        <v>0</v>
      </c>
      <c r="H240">
        <f t="shared" si="59"/>
        <v>2</v>
      </c>
      <c r="I240">
        <f t="shared" si="60"/>
        <v>0</v>
      </c>
      <c r="J240">
        <f t="shared" si="63"/>
        <v>2</v>
      </c>
      <c r="K240" s="44">
        <f t="shared" si="64"/>
        <v>15.558641975308644</v>
      </c>
      <c r="L240">
        <f t="shared" si="65"/>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1"/>
        <v>0</v>
      </c>
      <c r="G241">
        <f t="shared" si="62"/>
        <v>0</v>
      </c>
      <c r="H241">
        <f t="shared" si="59"/>
        <v>0</v>
      </c>
      <c r="I241">
        <f t="shared" si="60"/>
        <v>0</v>
      </c>
      <c r="J241">
        <f t="shared" si="63"/>
        <v>0</v>
      </c>
      <c r="K241" s="44">
        <f t="shared" si="64"/>
        <v>24.447530864197532</v>
      </c>
      <c r="L241">
        <f t="shared" si="65"/>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1"/>
        <v>1</v>
      </c>
      <c r="G242">
        <f t="shared" si="62"/>
        <v>1</v>
      </c>
      <c r="H242">
        <f t="shared" si="59"/>
        <v>0</v>
      </c>
      <c r="I242">
        <f t="shared" si="60"/>
        <v>0</v>
      </c>
      <c r="J242">
        <f t="shared" si="63"/>
        <v>1</v>
      </c>
    </row>
    <row r="243" spans="1:13" x14ac:dyDescent="0.45">
      <c r="B243" s="20" t="s">
        <v>2351</v>
      </c>
      <c r="C243" s="29">
        <f>SUM(C235:C242)</f>
        <v>12</v>
      </c>
      <c r="D243" s="29">
        <f>SUM(D235:D242)</f>
        <v>5</v>
      </c>
      <c r="E243" s="29">
        <f>SUM(E235:E242)</f>
        <v>2</v>
      </c>
      <c r="F243" s="29">
        <f t="shared" si="61"/>
        <v>19</v>
      </c>
      <c r="G243" s="44">
        <f>SUM(G235:G242)/$C244</f>
        <v>6.2727272727272725</v>
      </c>
      <c r="H243" s="44">
        <f>SUM(H235:H242)/$C244</f>
        <v>2.3636363636363638</v>
      </c>
      <c r="I243" s="44">
        <f>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1"/>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66">PRODUCT(A251,C251)</f>
        <v>6</v>
      </c>
      <c r="E251" s="44">
        <f t="shared" ref="E251:E256" si="67">(A251-$D$258)^2</f>
        <v>0.5625</v>
      </c>
      <c r="F251">
        <f t="shared" ref="F251:F256" si="68">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66"/>
        <v>0</v>
      </c>
      <c r="E252" s="44">
        <f t="shared" si="67"/>
        <v>3.0625</v>
      </c>
      <c r="F252">
        <f t="shared" si="68"/>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66"/>
        <v>0</v>
      </c>
      <c r="E253" s="44">
        <f t="shared" si="67"/>
        <v>7.5625</v>
      </c>
      <c r="F253">
        <f t="shared" si="68"/>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66"/>
        <v>0</v>
      </c>
      <c r="E254" s="44">
        <f t="shared" si="67"/>
        <v>14.0625</v>
      </c>
      <c r="F254">
        <f t="shared" si="68"/>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66"/>
        <v>0</v>
      </c>
      <c r="E255" s="44">
        <f t="shared" si="67"/>
        <v>22.5625</v>
      </c>
      <c r="F255">
        <f t="shared" si="68"/>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66"/>
        <v>0</v>
      </c>
      <c r="E256" s="44">
        <f t="shared" si="67"/>
        <v>33.0625</v>
      </c>
      <c r="F256">
        <f t="shared" si="68"/>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66"/>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69">PRODUCT(A264,C264)</f>
        <v>6</v>
      </c>
      <c r="E264" s="44">
        <f t="shared" ref="E264:E269" si="70">(A264-$D$271)^2</f>
        <v>6.25E-2</v>
      </c>
      <c r="F264">
        <f t="shared" ref="F264:F269" si="71">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69"/>
        <v>5</v>
      </c>
      <c r="E265" s="44">
        <f t="shared" si="70"/>
        <v>1.5625</v>
      </c>
      <c r="F265">
        <f t="shared" si="71"/>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69"/>
        <v>0</v>
      </c>
      <c r="E266" s="44">
        <f t="shared" si="70"/>
        <v>5.0625</v>
      </c>
      <c r="F266">
        <f t="shared" si="71"/>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69"/>
        <v>0</v>
      </c>
      <c r="E267" s="44">
        <f t="shared" si="70"/>
        <v>10.5625</v>
      </c>
      <c r="F267">
        <f t="shared" si="71"/>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69"/>
        <v>0</v>
      </c>
      <c r="E268" s="44">
        <f t="shared" si="70"/>
        <v>18.0625</v>
      </c>
      <c r="F268">
        <f t="shared" si="71"/>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69"/>
        <v>0</v>
      </c>
      <c r="E269" s="44">
        <f t="shared" si="70"/>
        <v>27.5625</v>
      </c>
      <c r="F269">
        <f t="shared" si="71"/>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69"/>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2">PRODUCT(A276,C276)</f>
        <v>0</v>
      </c>
      <c r="E276" s="44">
        <f t="shared" ref="E276:E281" si="73">(A276-$D$283)^2</f>
        <v>0</v>
      </c>
      <c r="F276">
        <f t="shared" ref="F276:F281" si="74">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2"/>
        <v>0</v>
      </c>
      <c r="E277" s="44">
        <f t="shared" si="73"/>
        <v>1</v>
      </c>
      <c r="F277">
        <f t="shared" si="74"/>
        <v>0</v>
      </c>
    </row>
    <row r="278" spans="1:7" x14ac:dyDescent="0.45">
      <c r="A278">
        <v>4</v>
      </c>
      <c r="B278" t="s">
        <v>151</v>
      </c>
      <c r="C278">
        <f>COUNTIFS(AnalizaCzyste[Moje zarobki są satysfakcjonujące.],B278,AnalizaCzyste[Czy jesteś aktualnie pracownikiem administracyjnym uczelni wyższej?],"*"&amp;"Tak"&amp;"*")</f>
        <v>0</v>
      </c>
      <c r="D278">
        <f t="shared" si="72"/>
        <v>0</v>
      </c>
      <c r="E278" s="44">
        <f t="shared" si="73"/>
        <v>4</v>
      </c>
      <c r="F278">
        <f t="shared" si="74"/>
        <v>0</v>
      </c>
    </row>
    <row r="279" spans="1:7" x14ac:dyDescent="0.45">
      <c r="A279">
        <v>3</v>
      </c>
      <c r="B279" t="s">
        <v>128</v>
      </c>
      <c r="C279">
        <f>COUNTIFS(AnalizaCzyste[Moje zarobki są satysfakcjonujące.],B279,AnalizaCzyste[Czy jesteś aktualnie pracownikiem administracyjnym uczelni wyższej?],"*"&amp;"Tak"&amp;"*")</f>
        <v>1</v>
      </c>
      <c r="D279">
        <f t="shared" si="72"/>
        <v>3</v>
      </c>
      <c r="E279" s="44">
        <f t="shared" si="73"/>
        <v>9</v>
      </c>
      <c r="F279">
        <f t="shared" si="74"/>
        <v>9</v>
      </c>
    </row>
    <row r="280" spans="1:7" x14ac:dyDescent="0.45">
      <c r="A280">
        <v>2</v>
      </c>
      <c r="B280" t="s">
        <v>236</v>
      </c>
      <c r="C280">
        <f>COUNTIFS(AnalizaCzyste[Moje zarobki są satysfakcjonujące.],B280,AnalizaCzyste[Czy jesteś aktualnie pracownikiem administracyjnym uczelni wyższej?],"*"&amp;"Tak"&amp;"*")</f>
        <v>0</v>
      </c>
      <c r="D280">
        <f t="shared" si="72"/>
        <v>0</v>
      </c>
      <c r="E280" s="44">
        <f t="shared" si="73"/>
        <v>16</v>
      </c>
      <c r="F280">
        <f t="shared" si="74"/>
        <v>0</v>
      </c>
    </row>
    <row r="281" spans="1:7" x14ac:dyDescent="0.45">
      <c r="A281">
        <v>1</v>
      </c>
      <c r="B281" t="s">
        <v>129</v>
      </c>
      <c r="C281">
        <f>COUNTIFS(AnalizaCzyste[Moje zarobki są satysfakcjonujące.],B281,AnalizaCzyste[Czy jesteś aktualnie pracownikiem administracyjnym uczelni wyższej?],"*"&amp;"Tak"&amp;"*")</f>
        <v>0</v>
      </c>
      <c r="D281">
        <f t="shared" si="72"/>
        <v>0</v>
      </c>
      <c r="E281" s="44">
        <f t="shared" si="73"/>
        <v>25</v>
      </c>
      <c r="F281">
        <f t="shared" si="74"/>
        <v>0</v>
      </c>
    </row>
    <row r="282" spans="1:7" x14ac:dyDescent="0.45">
      <c r="A282" t="s">
        <v>2329</v>
      </c>
      <c r="B282" t="s">
        <v>132</v>
      </c>
      <c r="C282">
        <f>COUNTIFS(AnalizaCzyste[Moje zarobki są satysfakcjonujące.],B282,AnalizaCzyste[Czy jesteś aktualnie pracownikiem administracyjnym uczelni wyższej?],"*"&amp;"Tak"&amp;"*")</f>
        <v>0</v>
      </c>
      <c r="D282">
        <f t="shared" si="72"/>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75">PRODUCT(A288,C288)</f>
        <v>6</v>
      </c>
      <c r="E288" s="44">
        <f t="shared" ref="E288:E293" si="76">(A288-$D$295)^2</f>
        <v>0.5625</v>
      </c>
      <c r="F288">
        <f t="shared" ref="F288:F293" si="77">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75"/>
        <v>0</v>
      </c>
      <c r="E289" s="44">
        <f t="shared" si="76"/>
        <v>3.0625</v>
      </c>
      <c r="F289">
        <f t="shared" si="77"/>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75"/>
        <v>0</v>
      </c>
      <c r="E290" s="44">
        <f t="shared" si="76"/>
        <v>7.5625</v>
      </c>
      <c r="F290">
        <f t="shared" si="77"/>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75"/>
        <v>0</v>
      </c>
      <c r="E291" s="44">
        <f t="shared" si="76"/>
        <v>14.0625</v>
      </c>
      <c r="F291">
        <f t="shared" si="77"/>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75"/>
        <v>0</v>
      </c>
      <c r="E292" s="44">
        <f t="shared" si="76"/>
        <v>22.5625</v>
      </c>
      <c r="F292">
        <f t="shared" si="77"/>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75"/>
        <v>0</v>
      </c>
      <c r="E293" s="44">
        <f t="shared" si="76"/>
        <v>33.0625</v>
      </c>
      <c r="F293">
        <f t="shared" si="77"/>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75"/>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78">PRODUCT(A300,C300)</f>
        <v>12</v>
      </c>
      <c r="E300" s="44">
        <f t="shared" ref="E300:E305" si="79">(A300-$D$307)^2</f>
        <v>0.25</v>
      </c>
      <c r="F300">
        <f t="shared" ref="F300:F305" si="80">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78"/>
        <v>0</v>
      </c>
      <c r="E301" s="44">
        <f t="shared" si="79"/>
        <v>2.25</v>
      </c>
      <c r="F301">
        <f t="shared" si="80"/>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78"/>
        <v>0</v>
      </c>
      <c r="E302" s="44">
        <f t="shared" si="79"/>
        <v>6.25</v>
      </c>
      <c r="F302">
        <f t="shared" si="80"/>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78"/>
        <v>0</v>
      </c>
      <c r="E303" s="44">
        <f t="shared" si="79"/>
        <v>12.25</v>
      </c>
      <c r="F303">
        <f t="shared" si="80"/>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78"/>
        <v>0</v>
      </c>
      <c r="E304" s="44">
        <f t="shared" si="79"/>
        <v>20.25</v>
      </c>
      <c r="F304">
        <f t="shared" si="80"/>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78"/>
        <v>0</v>
      </c>
      <c r="E305" s="44">
        <f t="shared" si="79"/>
        <v>30.25</v>
      </c>
      <c r="F305">
        <f t="shared" si="80"/>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78"/>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1">PRODUCT(A312,C312)</f>
        <v>12</v>
      </c>
      <c r="E312" s="44">
        <f t="shared" ref="E312:E317" si="82">(A312-$D$319)^2</f>
        <v>0.25</v>
      </c>
      <c r="F312">
        <f t="shared" ref="F312:F317" si="83">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1"/>
        <v>0</v>
      </c>
      <c r="E313" s="44">
        <f t="shared" si="82"/>
        <v>2.25</v>
      </c>
      <c r="F313">
        <f t="shared" si="83"/>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1"/>
        <v>0</v>
      </c>
      <c r="E314" s="44">
        <f t="shared" si="82"/>
        <v>6.25</v>
      </c>
      <c r="F314">
        <f t="shared" si="83"/>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1"/>
        <v>0</v>
      </c>
      <c r="E315" s="44">
        <f t="shared" si="82"/>
        <v>12.25</v>
      </c>
      <c r="F315">
        <f t="shared" si="83"/>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1"/>
        <v>0</v>
      </c>
      <c r="E316" s="44">
        <f t="shared" si="82"/>
        <v>20.25</v>
      </c>
      <c r="F316">
        <f t="shared" si="83"/>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1"/>
        <v>0</v>
      </c>
      <c r="E317" s="44">
        <f t="shared" si="82"/>
        <v>30.25</v>
      </c>
      <c r="F317">
        <f t="shared" si="83"/>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1"/>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84">PRODUCT(A324,C324)</f>
        <v>18</v>
      </c>
      <c r="E324" s="44">
        <f t="shared" ref="E324:E329" si="85">(A324-$D$331)^2</f>
        <v>8.99999999999999E-2</v>
      </c>
      <c r="F324">
        <f t="shared" ref="F324:F329" si="86">PRODUCT(C324,E324)</f>
        <v>0.26999999999999968</v>
      </c>
      <c r="G324" s="44">
        <f>VLOOKUP(A324,TabeleGrup!$C$45:$D$51,2,0)</f>
        <v>6.1428571428571423</v>
      </c>
      <c r="H324" s="44">
        <f t="shared" ref="H324:H329" si="87">(G324-$D$331)/$F$332</f>
        <v>-0.19087584925645917</v>
      </c>
      <c r="I324" s="44">
        <f t="shared" ref="I324:I329" si="88">NORMDIST(H324,0,1,1)</f>
        <v>0.42431143089206114</v>
      </c>
      <c r="J324" s="44">
        <f t="shared" ref="J324:J329" si="89">I324-I325</f>
        <v>0.31534003506177699</v>
      </c>
      <c r="K324" s="44">
        <f t="shared" ref="K324:K329" si="90">$C$332*J324</f>
        <v>3.1534003506177699</v>
      </c>
      <c r="L324" s="44">
        <f t="shared" ref="L324:L329" si="91">C324-K324</f>
        <v>-0.15340035061776991</v>
      </c>
      <c r="M324" s="44">
        <f t="shared" ref="M324:M329" si="92">L324^2</f>
        <v>2.3531667569654743E-2</v>
      </c>
      <c r="N324" s="44">
        <f t="shared" ref="N324:N329" si="93">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84"/>
        <v>10</v>
      </c>
      <c r="E325" s="44">
        <f t="shared" si="85"/>
        <v>1.6899999999999995</v>
      </c>
      <c r="F325">
        <f t="shared" si="86"/>
        <v>3.379999999999999</v>
      </c>
      <c r="G325" s="44">
        <f>VLOOKUP(A325,TabeleGrup!$C$45:$D$51,2,0)</f>
        <v>5.2857142857142856</v>
      </c>
      <c r="H325" s="44">
        <f t="shared" si="87"/>
        <v>-1.2320168452007794</v>
      </c>
      <c r="I325" s="44">
        <f t="shared" si="88"/>
        <v>0.10897139583028417</v>
      </c>
      <c r="J325" s="44">
        <f t="shared" si="89"/>
        <v>9.7463060908031821E-2</v>
      </c>
      <c r="K325" s="44">
        <f t="shared" si="90"/>
        <v>0.97463060908031818</v>
      </c>
      <c r="L325" s="44">
        <f t="shared" si="91"/>
        <v>1.0253693909196819</v>
      </c>
      <c r="M325" s="44">
        <f t="shared" si="92"/>
        <v>1.0513823878349995</v>
      </c>
      <c r="N325" s="44">
        <f t="shared" si="93"/>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84"/>
        <v>0</v>
      </c>
      <c r="E326" s="44">
        <f t="shared" si="85"/>
        <v>5.2899999999999991</v>
      </c>
      <c r="F326">
        <f t="shared" si="86"/>
        <v>0</v>
      </c>
      <c r="G326" s="44">
        <f>VLOOKUP(A326,TabeleGrup!$C$45:$D$51,2,0)</f>
        <v>4.4285714285714288</v>
      </c>
      <c r="H326" s="44">
        <f t="shared" si="87"/>
        <v>-2.2731578411450992</v>
      </c>
      <c r="I326" s="44">
        <f t="shared" si="88"/>
        <v>1.1508334922252355E-2</v>
      </c>
      <c r="J326" s="44">
        <f t="shared" si="89"/>
        <v>1.104896862086366E-2</v>
      </c>
      <c r="K326" s="44">
        <f t="shared" si="90"/>
        <v>0.1104896862086366</v>
      </c>
      <c r="L326" s="44">
        <f t="shared" si="91"/>
        <v>-0.1104896862086366</v>
      </c>
      <c r="M326" s="44">
        <f t="shared" si="92"/>
        <v>1.220797075848298E-2</v>
      </c>
      <c r="N326" s="44">
        <f t="shared" si="93"/>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84"/>
        <v>0</v>
      </c>
      <c r="E327" s="44">
        <f t="shared" si="85"/>
        <v>10.889999999999999</v>
      </c>
      <c r="F327">
        <f t="shared" si="86"/>
        <v>0</v>
      </c>
      <c r="G327" s="44">
        <f>VLOOKUP(A327,TabeleGrup!$C$45:$D$51,2,0)</f>
        <v>3.5714285714285716</v>
      </c>
      <c r="H327" s="44">
        <f t="shared" si="87"/>
        <v>-3.31429883708942</v>
      </c>
      <c r="I327" s="44">
        <f t="shared" si="88"/>
        <v>4.593663013886945E-4</v>
      </c>
      <c r="J327" s="44">
        <f t="shared" si="89"/>
        <v>4.5272630181776986E-4</v>
      </c>
      <c r="K327" s="44">
        <f t="shared" si="90"/>
        <v>4.527263018177699E-3</v>
      </c>
      <c r="L327" s="44">
        <f t="shared" si="91"/>
        <v>-4.527263018177699E-3</v>
      </c>
      <c r="M327" s="44">
        <f t="shared" si="92"/>
        <v>2.049611043575945E-5</v>
      </c>
      <c r="N327" s="44">
        <f t="shared" si="93"/>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84"/>
        <v>0</v>
      </c>
      <c r="E328" s="44">
        <f t="shared" si="85"/>
        <v>18.489999999999998</v>
      </c>
      <c r="F328">
        <f t="shared" si="86"/>
        <v>0</v>
      </c>
      <c r="G328" s="44">
        <f>VLOOKUP(A328,TabeleGrup!$C$45:$D$51,2,0)</f>
        <v>2.7142857142857144</v>
      </c>
      <c r="H328" s="44">
        <f t="shared" si="87"/>
        <v>-4.3554398330337412</v>
      </c>
      <c r="I328" s="44">
        <f t="shared" si="88"/>
        <v>6.6399995709246278E-6</v>
      </c>
      <c r="J328" s="44">
        <f t="shared" si="89"/>
        <v>6.6060381609071658E-6</v>
      </c>
      <c r="K328" s="44">
        <f t="shared" si="90"/>
        <v>6.6060381609071655E-5</v>
      </c>
      <c r="L328" s="44">
        <f t="shared" si="91"/>
        <v>-6.6060381609071655E-5</v>
      </c>
      <c r="M328" s="44">
        <f t="shared" si="92"/>
        <v>4.3639740183361724E-9</v>
      </c>
      <c r="N328" s="44">
        <f t="shared" si="93"/>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84"/>
        <v>0</v>
      </c>
      <c r="E329" s="44">
        <f t="shared" si="85"/>
        <v>28.09</v>
      </c>
      <c r="F329">
        <f t="shared" si="86"/>
        <v>0</v>
      </c>
      <c r="G329" s="44">
        <f>VLOOKUP(A329,TabeleGrup!$C$45:$D$51,2,0)</f>
        <v>1.8571428571428572</v>
      </c>
      <c r="H329" s="44">
        <f t="shared" si="87"/>
        <v>-5.3965808289780623</v>
      </c>
      <c r="I329" s="44">
        <f t="shared" si="88"/>
        <v>3.3961410017462233E-8</v>
      </c>
      <c r="J329" s="44">
        <f t="shared" si="89"/>
        <v>3.3961410017462233E-8</v>
      </c>
      <c r="K329" s="44">
        <f t="shared" si="90"/>
        <v>3.3961410017462231E-7</v>
      </c>
      <c r="L329" s="44">
        <f t="shared" si="91"/>
        <v>-3.3961410017462231E-7</v>
      </c>
      <c r="M329" s="44">
        <f t="shared" si="92"/>
        <v>1.153377370374184E-13</v>
      </c>
      <c r="N329" s="44">
        <f t="shared" si="93"/>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84"/>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94">PRODUCT(A337,C337)</f>
        <v>18</v>
      </c>
      <c r="E337" s="44">
        <f t="shared" ref="E337:E342" si="95">(A337-$D$344)^2</f>
        <v>9.9999999999999291E-3</v>
      </c>
      <c r="F337">
        <f t="shared" ref="F337:F342" si="96">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94"/>
        <v>20</v>
      </c>
      <c r="E338" s="44">
        <f t="shared" si="95"/>
        <v>0.81000000000000061</v>
      </c>
      <c r="F338">
        <f t="shared" si="96"/>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94"/>
        <v>0</v>
      </c>
      <c r="E339" s="44">
        <f t="shared" si="95"/>
        <v>3.6100000000000012</v>
      </c>
      <c r="F339">
        <f t="shared" si="96"/>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94"/>
        <v>0</v>
      </c>
      <c r="E340" s="44">
        <f t="shared" si="95"/>
        <v>8.4100000000000019</v>
      </c>
      <c r="F340">
        <f t="shared" si="96"/>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94"/>
        <v>0</v>
      </c>
      <c r="E341" s="44">
        <f t="shared" si="95"/>
        <v>15.210000000000003</v>
      </c>
      <c r="F341">
        <f t="shared" si="96"/>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94"/>
        <v>0</v>
      </c>
      <c r="E342" s="44">
        <f t="shared" si="95"/>
        <v>24.010000000000005</v>
      </c>
      <c r="F342">
        <f t="shared" si="96"/>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94"/>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97">PRODUCT(A349,C349)</f>
        <v>24</v>
      </c>
      <c r="E349" s="44">
        <f t="shared" ref="E349:E354" si="98">(A349-$D$356)^2</f>
        <v>8.99999999999999E-2</v>
      </c>
      <c r="F349">
        <f t="shared" ref="F349:F354" si="99">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97"/>
        <v>5</v>
      </c>
      <c r="E350" s="44">
        <f t="shared" si="98"/>
        <v>0.49000000000000027</v>
      </c>
      <c r="F350">
        <f t="shared" si="99"/>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97"/>
        <v>4</v>
      </c>
      <c r="E351" s="44">
        <f t="shared" si="98"/>
        <v>2.8900000000000006</v>
      </c>
      <c r="F351">
        <f t="shared" si="99"/>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97"/>
        <v>3</v>
      </c>
      <c r="E352" s="44">
        <f t="shared" si="98"/>
        <v>7.2900000000000009</v>
      </c>
      <c r="F352">
        <f t="shared" si="99"/>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97"/>
        <v>0</v>
      </c>
      <c r="E353" s="44">
        <f t="shared" si="98"/>
        <v>13.690000000000001</v>
      </c>
      <c r="F353">
        <f t="shared" si="99"/>
        <v>0</v>
      </c>
    </row>
    <row r="354" spans="1:7" x14ac:dyDescent="0.45">
      <c r="A354">
        <v>1</v>
      </c>
      <c r="B354" t="s">
        <v>129</v>
      </c>
      <c r="C354">
        <f>COUNTIFS(AnalizaCzyste[Moje zarobki są satysfakcjonujące.44],B354,AnalizaCzyste[Czy jesteś aktualnie pracownikiem naukowym lub dydaktycznym uczelni wyższej?],"*"&amp;"Tak"&amp;"*")</f>
        <v>0</v>
      </c>
      <c r="D354">
        <f t="shared" si="97"/>
        <v>0</v>
      </c>
      <c r="E354" s="44">
        <f t="shared" si="98"/>
        <v>22.090000000000003</v>
      </c>
      <c r="F354">
        <f t="shared" si="99"/>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97"/>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0">PRODUCT(A361,C361)</f>
        <v>24</v>
      </c>
      <c r="E361" s="44">
        <f t="shared" ref="E361:E366" si="101">(A361-$D$368)^2</f>
        <v>9.9999999999999291E-3</v>
      </c>
      <c r="F361">
        <f t="shared" ref="F361:F366" si="102">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0"/>
        <v>5</v>
      </c>
      <c r="E362" s="44">
        <f t="shared" si="101"/>
        <v>1.2099999999999993</v>
      </c>
      <c r="F362">
        <f t="shared" si="102"/>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0"/>
        <v>4</v>
      </c>
      <c r="E363" s="44">
        <f t="shared" si="101"/>
        <v>4.4099999999999984</v>
      </c>
      <c r="F363">
        <f t="shared" si="102"/>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0"/>
        <v>0</v>
      </c>
      <c r="E364" s="44">
        <f t="shared" si="101"/>
        <v>9.6099999999999977</v>
      </c>
      <c r="F364">
        <f t="shared" si="102"/>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0"/>
        <v>0</v>
      </c>
      <c r="E365" s="44">
        <f t="shared" si="101"/>
        <v>16.809999999999999</v>
      </c>
      <c r="F365">
        <f t="shared" si="102"/>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0"/>
        <v>0</v>
      </c>
      <c r="E366" s="44">
        <f t="shared" si="101"/>
        <v>26.009999999999998</v>
      </c>
      <c r="F366">
        <f t="shared" si="102"/>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0"/>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3">PRODUCT(A373,C373)</f>
        <v>24</v>
      </c>
      <c r="E373" s="44">
        <f t="shared" ref="E373:E378" si="104">(A373-$D$380)^2</f>
        <v>8.99999999999999E-2</v>
      </c>
      <c r="F373">
        <f t="shared" ref="F373:F378" si="105">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3"/>
        <v>5</v>
      </c>
      <c r="E374" s="44">
        <f t="shared" si="104"/>
        <v>0.49000000000000027</v>
      </c>
      <c r="F374">
        <f t="shared" si="105"/>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3"/>
        <v>4</v>
      </c>
      <c r="E375" s="44">
        <f t="shared" si="104"/>
        <v>2.8900000000000006</v>
      </c>
      <c r="F375">
        <f t="shared" si="105"/>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3"/>
        <v>3</v>
      </c>
      <c r="E376" s="44">
        <f t="shared" si="104"/>
        <v>7.2900000000000009</v>
      </c>
      <c r="F376">
        <f t="shared" si="105"/>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3"/>
        <v>0</v>
      </c>
      <c r="E377" s="44">
        <f t="shared" si="104"/>
        <v>13.690000000000001</v>
      </c>
      <c r="F377">
        <f t="shared" si="105"/>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3"/>
        <v>0</v>
      </c>
      <c r="E378" s="44">
        <f t="shared" si="104"/>
        <v>22.090000000000003</v>
      </c>
      <c r="F378">
        <f t="shared" si="105"/>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3"/>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06">PRODUCT(A385,C385)</f>
        <v>18</v>
      </c>
      <c r="E385" s="44">
        <f t="shared" ref="E385:E390" si="107">(A385-$D$392)^2</f>
        <v>0.16000000000000028</v>
      </c>
      <c r="F385">
        <f t="shared" ref="F385:F390" si="108">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06"/>
        <v>10</v>
      </c>
      <c r="E386" s="44">
        <f t="shared" si="107"/>
        <v>0.3599999999999996</v>
      </c>
      <c r="F386">
        <f t="shared" si="108"/>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06"/>
        <v>4</v>
      </c>
      <c r="E387" s="44">
        <f t="shared" si="107"/>
        <v>2.5599999999999987</v>
      </c>
      <c r="F387">
        <f t="shared" si="108"/>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06"/>
        <v>3</v>
      </c>
      <c r="E388" s="44">
        <f t="shared" si="107"/>
        <v>6.759999999999998</v>
      </c>
      <c r="F388">
        <f t="shared" si="108"/>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06"/>
        <v>0</v>
      </c>
      <c r="E389" s="44">
        <f t="shared" si="107"/>
        <v>12.959999999999997</v>
      </c>
      <c r="F389">
        <f t="shared" si="108"/>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06"/>
        <v>0</v>
      </c>
      <c r="E390" s="44">
        <f t="shared" si="107"/>
        <v>21.159999999999997</v>
      </c>
      <c r="F390">
        <f t="shared" si="108"/>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06"/>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09">PRODUCT(A397,C397)</f>
        <v>12</v>
      </c>
      <c r="E397" s="44">
        <f t="shared" ref="E397:E402" si="110">(A397-$D$404)^2</f>
        <v>4.000000000000007E-2</v>
      </c>
      <c r="F397">
        <f t="shared" ref="F397:F402" si="111">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09"/>
        <v>10</v>
      </c>
      <c r="E398" s="44">
        <f t="shared" si="110"/>
        <v>0.63999999999999968</v>
      </c>
      <c r="F398">
        <f t="shared" si="111"/>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09"/>
        <v>0</v>
      </c>
      <c r="E399" s="44">
        <f t="shared" si="110"/>
        <v>3.2399999999999993</v>
      </c>
      <c r="F399">
        <f t="shared" si="111"/>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09"/>
        <v>0</v>
      </c>
      <c r="E400" s="44">
        <f t="shared" si="110"/>
        <v>7.839999999999999</v>
      </c>
      <c r="F400">
        <f t="shared" si="111"/>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09"/>
        <v>0</v>
      </c>
      <c r="E401" s="44">
        <f t="shared" si="110"/>
        <v>14.44</v>
      </c>
      <c r="F401">
        <f t="shared" si="111"/>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09"/>
        <v>0</v>
      </c>
      <c r="E402" s="44">
        <f t="shared" si="110"/>
        <v>23.04</v>
      </c>
      <c r="F402">
        <f t="shared" si="111"/>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09"/>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2">PRODUCT(A410,C410)</f>
        <v>12</v>
      </c>
      <c r="E410" s="44">
        <f t="shared" ref="E410:E415" si="113">(A410-$D$417)^2</f>
        <v>4.000000000000007E-2</v>
      </c>
      <c r="F410">
        <f t="shared" ref="F410:F415" si="114">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2"/>
        <v>10</v>
      </c>
      <c r="E411" s="44">
        <f t="shared" si="113"/>
        <v>0.63999999999999968</v>
      </c>
      <c r="F411">
        <f t="shared" si="114"/>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2"/>
        <v>0</v>
      </c>
      <c r="E412" s="44">
        <f t="shared" si="113"/>
        <v>3.2399999999999993</v>
      </c>
      <c r="F412">
        <f t="shared" si="114"/>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2"/>
        <v>0</v>
      </c>
      <c r="E413" s="44">
        <f t="shared" si="113"/>
        <v>7.839999999999999</v>
      </c>
      <c r="F413">
        <f t="shared" si="114"/>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2"/>
        <v>0</v>
      </c>
      <c r="E414" s="44">
        <f t="shared" si="113"/>
        <v>14.44</v>
      </c>
      <c r="F414">
        <f t="shared" si="114"/>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2"/>
        <v>0</v>
      </c>
      <c r="E415" s="44">
        <f t="shared" si="113"/>
        <v>23.04</v>
      </c>
      <c r="F415">
        <f t="shared" si="114"/>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2"/>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15">PRODUCT(A422,C422)</f>
        <v>18</v>
      </c>
      <c r="E422" s="44">
        <f t="shared" ref="E422:E427" si="116">(A422-$D$429)^2</f>
        <v>0</v>
      </c>
      <c r="F422">
        <f t="shared" ref="F422:F427" si="117">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15"/>
        <v>5</v>
      </c>
      <c r="E423" s="44">
        <f t="shared" si="116"/>
        <v>1</v>
      </c>
      <c r="F423">
        <f t="shared" si="117"/>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15"/>
        <v>0</v>
      </c>
      <c r="E424" s="44">
        <f t="shared" si="116"/>
        <v>4</v>
      </c>
      <c r="F424">
        <f t="shared" si="117"/>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15"/>
        <v>0</v>
      </c>
      <c r="E425" s="44">
        <f t="shared" si="116"/>
        <v>9</v>
      </c>
      <c r="F425">
        <f t="shared" si="117"/>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15"/>
        <v>0</v>
      </c>
      <c r="E426" s="44">
        <f t="shared" si="116"/>
        <v>16</v>
      </c>
      <c r="F426">
        <f t="shared" si="117"/>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15"/>
        <v>0</v>
      </c>
      <c r="E427" s="44">
        <f t="shared" si="116"/>
        <v>25</v>
      </c>
      <c r="F427">
        <f t="shared" si="117"/>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15"/>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18">PRODUCT(A434,C434)</f>
        <v>12</v>
      </c>
      <c r="E434" s="44">
        <f t="shared" ref="E434:E439" si="119">(A434-$D$441)^2</f>
        <v>0.16000000000000028</v>
      </c>
      <c r="F434">
        <f t="shared" ref="F434:F439" si="120">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18"/>
        <v>5</v>
      </c>
      <c r="E435" s="44">
        <f t="shared" si="119"/>
        <v>0.3599999999999996</v>
      </c>
      <c r="F435">
        <f t="shared" si="120"/>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18"/>
        <v>4</v>
      </c>
      <c r="E436" s="44">
        <f t="shared" si="119"/>
        <v>2.5599999999999987</v>
      </c>
      <c r="F436">
        <f t="shared" si="120"/>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18"/>
        <v>0</v>
      </c>
      <c r="E437" s="44">
        <f t="shared" si="119"/>
        <v>6.759999999999998</v>
      </c>
      <c r="F437">
        <f t="shared" si="120"/>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18"/>
        <v>0</v>
      </c>
      <c r="E438" s="44">
        <f t="shared" si="119"/>
        <v>12.959999999999997</v>
      </c>
      <c r="F438">
        <f t="shared" si="120"/>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18"/>
        <v>0</v>
      </c>
      <c r="E439" s="44">
        <f t="shared" si="119"/>
        <v>21.159999999999997</v>
      </c>
      <c r="F439">
        <f t="shared" si="120"/>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18"/>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1">PRODUCT(A446,C446)</f>
        <v>12</v>
      </c>
      <c r="E446" s="44">
        <f t="shared" ref="E446:E451" si="122">(A446-$D$453)^2</f>
        <v>6.25E-2</v>
      </c>
      <c r="F446">
        <f t="shared" ref="F446:F451" si="123">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1"/>
        <v>0</v>
      </c>
      <c r="E447" s="44">
        <f t="shared" si="122"/>
        <v>0.5625</v>
      </c>
      <c r="F447">
        <f t="shared" si="123"/>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1"/>
        <v>4</v>
      </c>
      <c r="E448" s="44">
        <f t="shared" si="122"/>
        <v>3.0625</v>
      </c>
      <c r="F448">
        <f t="shared" si="123"/>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1"/>
        <v>0</v>
      </c>
      <c r="E449" s="44">
        <f t="shared" si="122"/>
        <v>7.5625</v>
      </c>
      <c r="F449">
        <f t="shared" si="123"/>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1"/>
        <v>0</v>
      </c>
      <c r="E450" s="44">
        <f t="shared" si="122"/>
        <v>14.0625</v>
      </c>
      <c r="F450">
        <f t="shared" si="123"/>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1"/>
        <v>0</v>
      </c>
      <c r="E451" s="44">
        <f t="shared" si="122"/>
        <v>22.5625</v>
      </c>
      <c r="F451">
        <f t="shared" si="123"/>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1"/>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24">PRODUCT(A458,C458)</f>
        <v>6</v>
      </c>
      <c r="E458" s="44">
        <f t="shared" ref="E458:E463" si="125">(A458-$D$465)^2</f>
        <v>6.25E-2</v>
      </c>
      <c r="F458">
        <f t="shared" ref="F458:F463" si="126">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24"/>
        <v>10</v>
      </c>
      <c r="E459" s="44">
        <f t="shared" si="125"/>
        <v>0.5625</v>
      </c>
      <c r="F459">
        <f t="shared" si="126"/>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24"/>
        <v>0</v>
      </c>
      <c r="E460" s="44">
        <f t="shared" si="125"/>
        <v>3.0625</v>
      </c>
      <c r="F460">
        <f t="shared" si="126"/>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24"/>
        <v>0</v>
      </c>
      <c r="E461" s="44">
        <f t="shared" si="125"/>
        <v>7.5625</v>
      </c>
      <c r="F461">
        <f t="shared" si="126"/>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24"/>
        <v>0</v>
      </c>
      <c r="E462" s="44">
        <f t="shared" si="125"/>
        <v>14.0625</v>
      </c>
      <c r="F462">
        <f t="shared" si="126"/>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24"/>
        <v>0</v>
      </c>
      <c r="E463" s="44">
        <f t="shared" si="125"/>
        <v>22.5625</v>
      </c>
      <c r="F463">
        <f t="shared" si="126"/>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24"/>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27">PRODUCT(A470,C470)</f>
        <v>0</v>
      </c>
      <c r="E470" s="44">
        <f t="shared" ref="E470:E475" si="128">(A470-$D$477)^2</f>
        <v>0</v>
      </c>
      <c r="F470">
        <f t="shared" ref="F470:F475" si="129">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27"/>
        <v>10</v>
      </c>
      <c r="E471" s="44">
        <f t="shared" si="128"/>
        <v>1</v>
      </c>
      <c r="F471">
        <f t="shared" si="129"/>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27"/>
        <v>0</v>
      </c>
      <c r="E472" s="44">
        <f t="shared" si="128"/>
        <v>4</v>
      </c>
      <c r="F472">
        <f t="shared" si="129"/>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27"/>
        <v>0</v>
      </c>
      <c r="E473" s="44">
        <f t="shared" si="128"/>
        <v>9</v>
      </c>
      <c r="F473">
        <f t="shared" si="129"/>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27"/>
        <v>0</v>
      </c>
      <c r="E474" s="44">
        <f t="shared" si="128"/>
        <v>16</v>
      </c>
      <c r="F474">
        <f t="shared" si="129"/>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27"/>
        <v>0</v>
      </c>
      <c r="E475" s="44">
        <f t="shared" si="128"/>
        <v>25</v>
      </c>
      <c r="F475">
        <f t="shared" si="129"/>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27"/>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0">PRODUCT(A482,C482)</f>
        <v>6</v>
      </c>
      <c r="E482" s="44">
        <f t="shared" ref="E482:E487" si="131">(A482-$D$489)^2</f>
        <v>0.19753086419753105</v>
      </c>
      <c r="F482">
        <f t="shared" ref="F482:F487" si="132">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0"/>
        <v>15</v>
      </c>
      <c r="E483" s="44">
        <f t="shared" si="131"/>
        <v>0.30864197530864174</v>
      </c>
      <c r="F483">
        <f t="shared" si="132"/>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0"/>
        <v>8</v>
      </c>
      <c r="E484" s="44">
        <f t="shared" si="131"/>
        <v>2.4197530864197523</v>
      </c>
      <c r="F484">
        <f t="shared" si="132"/>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0"/>
        <v>0</v>
      </c>
      <c r="E485" s="44">
        <f t="shared" si="131"/>
        <v>6.530864197530863</v>
      </c>
      <c r="F485">
        <f t="shared" si="132"/>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0"/>
        <v>0</v>
      </c>
      <c r="E486" s="44">
        <f t="shared" si="131"/>
        <v>12.641975308641975</v>
      </c>
      <c r="F486">
        <f t="shared" si="132"/>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0"/>
        <v>0</v>
      </c>
      <c r="E487" s="44">
        <f t="shared" si="131"/>
        <v>20.753086419753085</v>
      </c>
      <c r="F487">
        <f t="shared" si="132"/>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0"/>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3">PRODUCT($A493,C493)</f>
        <v>21</v>
      </c>
      <c r="H493">
        <f t="shared" si="133"/>
        <v>0</v>
      </c>
      <c r="I493">
        <f t="shared" si="133"/>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34">SUM(C494:E494)</f>
        <v>1</v>
      </c>
      <c r="G494">
        <f t="shared" si="133"/>
        <v>6</v>
      </c>
      <c r="H494">
        <f t="shared" si="133"/>
        <v>0</v>
      </c>
      <c r="I494">
        <f t="shared" si="133"/>
        <v>0</v>
      </c>
      <c r="J494">
        <f t="shared" ref="J494:J500" si="135">SUM(G494:I494)</f>
        <v>6</v>
      </c>
      <c r="K494" s="44">
        <f t="shared" ref="K494:K499" si="136">(A494-$J$501)^2</f>
        <v>0.52892561983471109</v>
      </c>
      <c r="L494">
        <f t="shared" ref="L494:L499" si="137">PRODUCT(F494,K494)</f>
        <v>0.52892561983471109</v>
      </c>
      <c r="M494" s="44">
        <f>VLOOKUP(A494,TabeleGrup!$C$45:$D$51,2,0)</f>
        <v>6.1428571428571423</v>
      </c>
      <c r="N494">
        <f t="shared" ref="N494:N499" si="138">(M494-$J$501)/$L$502</f>
        <v>0.64530558264338855</v>
      </c>
      <c r="O494">
        <f t="shared" ref="O494:O499" si="139">NORMDIST(N494,0,1,1)</f>
        <v>0.7406354121758153</v>
      </c>
      <c r="P494">
        <f t="shared" ref="P494:P499" si="140">O494-O495</f>
        <v>0.23679308828707524</v>
      </c>
      <c r="Q494">
        <f t="shared" ref="Q494:Q499" si="141">$C$502*P494</f>
        <v>2.1311377945836769</v>
      </c>
      <c r="R494">
        <f t="shared" ref="R494:R499" si="142">C494-Q494</f>
        <v>-1.1311377945836769</v>
      </c>
      <c r="S494">
        <f t="shared" ref="S494:S499" si="143">R494^2</f>
        <v>1.2794727103356245</v>
      </c>
      <c r="T494">
        <f t="shared" ref="T494:T499" si="144">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34"/>
        <v>4</v>
      </c>
      <c r="G495">
        <f t="shared" si="133"/>
        <v>15</v>
      </c>
      <c r="H495">
        <f t="shared" si="133"/>
        <v>5</v>
      </c>
      <c r="I495">
        <f t="shared" si="133"/>
        <v>0</v>
      </c>
      <c r="J495">
        <f t="shared" si="135"/>
        <v>20</v>
      </c>
      <c r="K495" s="44">
        <f t="shared" si="136"/>
        <v>7.4380165289256062E-2</v>
      </c>
      <c r="L495">
        <f t="shared" si="137"/>
        <v>0.29752066115702425</v>
      </c>
      <c r="M495" s="44">
        <f>VLOOKUP(A495,TabeleGrup!$C$45:$D$51,2,0)</f>
        <v>5.2857142857142856</v>
      </c>
      <c r="N495">
        <f t="shared" si="138"/>
        <v>9.6314266066178291E-3</v>
      </c>
      <c r="O495">
        <f t="shared" si="139"/>
        <v>0.50384232388874006</v>
      </c>
      <c r="P495">
        <f t="shared" si="140"/>
        <v>0.23819886640064303</v>
      </c>
      <c r="Q495">
        <f t="shared" si="141"/>
        <v>2.1437897976057871</v>
      </c>
      <c r="R495">
        <f t="shared" si="142"/>
        <v>0.85621020239421286</v>
      </c>
      <c r="S495">
        <f t="shared" si="143"/>
        <v>0.73309591068393898</v>
      </c>
      <c r="T495">
        <f t="shared" si="144"/>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34"/>
        <v>2</v>
      </c>
      <c r="G496">
        <f t="shared" si="133"/>
        <v>8</v>
      </c>
      <c r="H496">
        <f t="shared" si="133"/>
        <v>0</v>
      </c>
      <c r="I496">
        <f t="shared" si="133"/>
        <v>0</v>
      </c>
      <c r="J496">
        <f t="shared" si="135"/>
        <v>8</v>
      </c>
      <c r="K496" s="44">
        <f t="shared" si="136"/>
        <v>1.6198347107438011</v>
      </c>
      <c r="L496">
        <f t="shared" si="137"/>
        <v>3.2396694214876023</v>
      </c>
      <c r="M496" s="44">
        <f>VLOOKUP(A496,TabeleGrup!$C$45:$D$51,2,0)</f>
        <v>4.4285714285714288</v>
      </c>
      <c r="N496">
        <f t="shared" si="138"/>
        <v>-0.62604272943015293</v>
      </c>
      <c r="O496">
        <f t="shared" si="139"/>
        <v>0.26564345748809703</v>
      </c>
      <c r="P496">
        <f t="shared" si="140"/>
        <v>0.16211811812714513</v>
      </c>
      <c r="Q496">
        <f t="shared" si="141"/>
        <v>1.4590630631443062</v>
      </c>
      <c r="R496">
        <f t="shared" si="142"/>
        <v>0.54093693685569377</v>
      </c>
      <c r="S496">
        <f t="shared" si="143"/>
        <v>0.29261276965482086</v>
      </c>
      <c r="T496">
        <f t="shared" si="144"/>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34"/>
        <v>1</v>
      </c>
      <c r="G497">
        <f t="shared" si="133"/>
        <v>0</v>
      </c>
      <c r="H497">
        <f t="shared" si="133"/>
        <v>3</v>
      </c>
      <c r="I497">
        <f t="shared" si="133"/>
        <v>0</v>
      </c>
      <c r="J497">
        <f t="shared" si="135"/>
        <v>3</v>
      </c>
      <c r="K497" s="44">
        <f t="shared" si="136"/>
        <v>5.1652892561983457</v>
      </c>
      <c r="L497">
        <f t="shared" si="137"/>
        <v>5.1652892561983457</v>
      </c>
      <c r="M497" s="44">
        <f>VLOOKUP(A497,TabeleGrup!$C$45:$D$51,2,0)</f>
        <v>3.5714285714285716</v>
      </c>
      <c r="N497">
        <f t="shared" si="138"/>
        <v>-1.2617168854669241</v>
      </c>
      <c r="O497">
        <f t="shared" si="139"/>
        <v>0.1035253393609519</v>
      </c>
      <c r="P497">
        <f t="shared" si="140"/>
        <v>7.4637165806890976E-2</v>
      </c>
      <c r="Q497">
        <f t="shared" si="141"/>
        <v>0.67173449226201876</v>
      </c>
      <c r="R497">
        <f t="shared" si="142"/>
        <v>-0.67173449226201876</v>
      </c>
      <c r="S497">
        <f t="shared" si="143"/>
        <v>0.45122722809451216</v>
      </c>
      <c r="T497">
        <f t="shared" si="144"/>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34"/>
        <v>0</v>
      </c>
      <c r="G498">
        <f t="shared" si="133"/>
        <v>0</v>
      </c>
      <c r="H498">
        <f t="shared" si="133"/>
        <v>0</v>
      </c>
      <c r="I498">
        <f t="shared" si="133"/>
        <v>0</v>
      </c>
      <c r="J498">
        <f t="shared" si="135"/>
        <v>0</v>
      </c>
      <c r="K498" s="44">
        <f t="shared" si="136"/>
        <v>10.710743801652891</v>
      </c>
      <c r="L498">
        <f t="shared" si="137"/>
        <v>0</v>
      </c>
      <c r="M498" s="44">
        <f>VLOOKUP(A498,TabeleGrup!$C$45:$D$51,2,0)</f>
        <v>2.7142857142857144</v>
      </c>
      <c r="N498">
        <f t="shared" si="138"/>
        <v>-1.8973910415036952</v>
      </c>
      <c r="O498">
        <f t="shared" si="139"/>
        <v>2.8888173554060932E-2</v>
      </c>
      <c r="P498">
        <f t="shared" si="140"/>
        <v>2.3234677555713269E-2</v>
      </c>
      <c r="Q498">
        <f t="shared" si="141"/>
        <v>0.20911209800141942</v>
      </c>
      <c r="R498">
        <f t="shared" si="142"/>
        <v>-0.20911209800141942</v>
      </c>
      <c r="S498">
        <f t="shared" si="143"/>
        <v>4.3727869530555241E-2</v>
      </c>
      <c r="T498">
        <f t="shared" si="144"/>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34"/>
        <v>0</v>
      </c>
      <c r="G499">
        <f t="shared" si="133"/>
        <v>0</v>
      </c>
      <c r="H499">
        <f t="shared" si="133"/>
        <v>0</v>
      </c>
      <c r="I499">
        <f t="shared" si="133"/>
        <v>0</v>
      </c>
      <c r="J499">
        <f t="shared" si="135"/>
        <v>0</v>
      </c>
      <c r="K499" s="44">
        <f t="shared" si="136"/>
        <v>18.256198347107436</v>
      </c>
      <c r="L499">
        <f t="shared" si="137"/>
        <v>0</v>
      </c>
      <c r="M499" s="44">
        <f>VLOOKUP(A499,TabeleGrup!$C$45:$D$51,2,0)</f>
        <v>1.8571428571428572</v>
      </c>
      <c r="N499">
        <f t="shared" si="138"/>
        <v>-2.5330651975404663</v>
      </c>
      <c r="O499">
        <f t="shared" si="139"/>
        <v>5.6534959983476638E-3</v>
      </c>
      <c r="P499">
        <f t="shared" si="140"/>
        <v>5.6534959983476638E-3</v>
      </c>
      <c r="Q499">
        <f t="shared" si="141"/>
        <v>5.0881463985128973E-2</v>
      </c>
      <c r="R499">
        <f t="shared" si="142"/>
        <v>-5.0881463985128973E-2</v>
      </c>
      <c r="S499">
        <f t="shared" si="143"/>
        <v>2.5889233772699769E-3</v>
      </c>
      <c r="T499">
        <f t="shared" si="144"/>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34"/>
        <v>0</v>
      </c>
      <c r="G500">
        <f t="shared" si="133"/>
        <v>0</v>
      </c>
      <c r="H500">
        <f t="shared" si="133"/>
        <v>0</v>
      </c>
      <c r="I500">
        <f t="shared" si="133"/>
        <v>0</v>
      </c>
      <c r="J500">
        <f t="shared" si="135"/>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34"/>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34"/>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45">PRODUCT($A506,C506)</f>
        <v>21</v>
      </c>
      <c r="H506">
        <f t="shared" si="145"/>
        <v>0</v>
      </c>
      <c r="I506">
        <f t="shared" si="145"/>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46">SUM(C507:E507)</f>
        <v>2</v>
      </c>
      <c r="G507">
        <f t="shared" si="145"/>
        <v>12</v>
      </c>
      <c r="H507">
        <f t="shared" si="145"/>
        <v>0</v>
      </c>
      <c r="I507">
        <f t="shared" si="145"/>
        <v>0</v>
      </c>
      <c r="J507">
        <f t="shared" ref="J507:J513" si="147">SUM(G507:I507)</f>
        <v>12</v>
      </c>
      <c r="K507" s="44">
        <f t="shared" ref="K507:K512" si="148">(A507-$J$514)^2</f>
        <v>0.52892561983471109</v>
      </c>
      <c r="L507">
        <f t="shared" ref="L507:L512" si="149">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46"/>
        <v>3</v>
      </c>
      <c r="G508">
        <f t="shared" si="145"/>
        <v>10</v>
      </c>
      <c r="H508">
        <f t="shared" si="145"/>
        <v>5</v>
      </c>
      <c r="I508">
        <f t="shared" si="145"/>
        <v>0</v>
      </c>
      <c r="J508">
        <f t="shared" si="147"/>
        <v>15</v>
      </c>
      <c r="K508" s="44">
        <f t="shared" si="148"/>
        <v>7.4380165289256062E-2</v>
      </c>
      <c r="L508">
        <f t="shared" si="149"/>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46"/>
        <v>2</v>
      </c>
      <c r="G509">
        <f t="shared" si="145"/>
        <v>8</v>
      </c>
      <c r="H509">
        <f t="shared" si="145"/>
        <v>0</v>
      </c>
      <c r="I509">
        <f t="shared" si="145"/>
        <v>0</v>
      </c>
      <c r="J509">
        <f t="shared" si="147"/>
        <v>8</v>
      </c>
      <c r="K509" s="44">
        <f t="shared" si="148"/>
        <v>1.6198347107438011</v>
      </c>
      <c r="L509">
        <f t="shared" si="149"/>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46"/>
        <v>0</v>
      </c>
      <c r="G510">
        <f t="shared" si="145"/>
        <v>0</v>
      </c>
      <c r="H510">
        <f t="shared" si="145"/>
        <v>0</v>
      </c>
      <c r="I510">
        <f t="shared" si="145"/>
        <v>0</v>
      </c>
      <c r="J510">
        <f t="shared" si="147"/>
        <v>0</v>
      </c>
      <c r="K510" s="44">
        <f t="shared" si="148"/>
        <v>5.1652892561983457</v>
      </c>
      <c r="L510">
        <f t="shared" si="149"/>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46"/>
        <v>1</v>
      </c>
      <c r="G511">
        <f t="shared" si="145"/>
        <v>0</v>
      </c>
      <c r="H511">
        <f t="shared" si="145"/>
        <v>2</v>
      </c>
      <c r="I511">
        <f t="shared" si="145"/>
        <v>0</v>
      </c>
      <c r="J511">
        <f t="shared" si="147"/>
        <v>2</v>
      </c>
      <c r="K511" s="44">
        <f t="shared" si="148"/>
        <v>10.710743801652891</v>
      </c>
      <c r="L511">
        <f t="shared" si="149"/>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46"/>
        <v>0</v>
      </c>
      <c r="G512">
        <f t="shared" si="145"/>
        <v>0</v>
      </c>
      <c r="H512">
        <f t="shared" si="145"/>
        <v>0</v>
      </c>
      <c r="I512">
        <f t="shared" si="145"/>
        <v>0</v>
      </c>
      <c r="J512">
        <f t="shared" si="147"/>
        <v>0</v>
      </c>
      <c r="K512" s="44">
        <f t="shared" si="148"/>
        <v>18.256198347107436</v>
      </c>
      <c r="L512">
        <f t="shared" si="149"/>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46"/>
        <v>0</v>
      </c>
      <c r="G513">
        <f t="shared" si="145"/>
        <v>0</v>
      </c>
      <c r="H513">
        <f t="shared" si="145"/>
        <v>0</v>
      </c>
      <c r="I513">
        <f t="shared" si="145"/>
        <v>0</v>
      </c>
      <c r="J513">
        <f t="shared" si="147"/>
        <v>0</v>
      </c>
    </row>
    <row r="514" spans="1:13" x14ac:dyDescent="0.45">
      <c r="B514" s="20" t="s">
        <v>2351</v>
      </c>
      <c r="C514" s="29">
        <f>SUM(C506:C513)</f>
        <v>9</v>
      </c>
      <c r="D514" s="29">
        <f>SUM(D506:D513)</f>
        <v>2</v>
      </c>
      <c r="E514" s="29">
        <f>SUM(E506:E513)</f>
        <v>0</v>
      </c>
      <c r="F514" s="29">
        <f t="shared" si="146"/>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46"/>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0">PRODUCT($A518,C518)</f>
        <v>7</v>
      </c>
      <c r="H518">
        <f t="shared" si="150"/>
        <v>0</v>
      </c>
      <c r="I518">
        <f t="shared" si="150"/>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1">SUM(C519:E519)</f>
        <v>0</v>
      </c>
      <c r="G519">
        <f t="shared" si="150"/>
        <v>0</v>
      </c>
      <c r="H519">
        <f t="shared" si="150"/>
        <v>0</v>
      </c>
      <c r="I519">
        <f t="shared" si="150"/>
        <v>0</v>
      </c>
      <c r="J519">
        <f t="shared" ref="J519:J525" si="152">SUM(G519:I519)</f>
        <v>0</v>
      </c>
      <c r="K519" s="44">
        <f t="shared" ref="K519:K524" si="153">(A519-$J$526)^2</f>
        <v>6.4793388429752063</v>
      </c>
      <c r="L519">
        <f t="shared" ref="L519:L524" si="154">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1"/>
        <v>0</v>
      </c>
      <c r="G520">
        <f t="shared" si="150"/>
        <v>0</v>
      </c>
      <c r="H520">
        <f t="shared" si="150"/>
        <v>0</v>
      </c>
      <c r="I520">
        <f t="shared" si="150"/>
        <v>0</v>
      </c>
      <c r="J520">
        <f t="shared" si="152"/>
        <v>0</v>
      </c>
      <c r="K520" s="44">
        <f t="shared" si="153"/>
        <v>2.3884297520661155</v>
      </c>
      <c r="L520">
        <f t="shared" si="154"/>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1"/>
        <v>5</v>
      </c>
      <c r="G521">
        <f t="shared" si="150"/>
        <v>16</v>
      </c>
      <c r="H521">
        <f t="shared" si="150"/>
        <v>4</v>
      </c>
      <c r="I521">
        <f t="shared" si="150"/>
        <v>0</v>
      </c>
      <c r="J521">
        <f t="shared" si="152"/>
        <v>20</v>
      </c>
      <c r="K521" s="44">
        <f t="shared" si="153"/>
        <v>0.29752066115702475</v>
      </c>
      <c r="L521">
        <f t="shared" si="154"/>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1"/>
        <v>2</v>
      </c>
      <c r="G522">
        <f t="shared" si="150"/>
        <v>6</v>
      </c>
      <c r="H522">
        <f t="shared" si="150"/>
        <v>0</v>
      </c>
      <c r="I522">
        <f t="shared" si="150"/>
        <v>0</v>
      </c>
      <c r="J522">
        <f t="shared" si="152"/>
        <v>6</v>
      </c>
      <c r="K522" s="44">
        <f t="shared" si="153"/>
        <v>0.20661157024793392</v>
      </c>
      <c r="L522">
        <f t="shared" si="154"/>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1"/>
        <v>2</v>
      </c>
      <c r="G523">
        <f t="shared" si="150"/>
        <v>4</v>
      </c>
      <c r="H523">
        <f t="shared" si="150"/>
        <v>0</v>
      </c>
      <c r="I523">
        <f t="shared" si="150"/>
        <v>0</v>
      </c>
      <c r="J523">
        <f t="shared" si="152"/>
        <v>4</v>
      </c>
      <c r="K523" s="44">
        <f t="shared" si="153"/>
        <v>2.115702479338843</v>
      </c>
      <c r="L523">
        <f t="shared" si="154"/>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1"/>
        <v>1</v>
      </c>
      <c r="G524">
        <f t="shared" si="150"/>
        <v>0</v>
      </c>
      <c r="H524">
        <f t="shared" si="150"/>
        <v>1</v>
      </c>
      <c r="I524">
        <f t="shared" si="150"/>
        <v>0</v>
      </c>
      <c r="J524">
        <f t="shared" si="152"/>
        <v>1</v>
      </c>
      <c r="K524" s="44">
        <f t="shared" si="153"/>
        <v>6.0247933884297522</v>
      </c>
      <c r="L524">
        <f t="shared" si="154"/>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1"/>
        <v>0</v>
      </c>
      <c r="G525">
        <f t="shared" si="150"/>
        <v>0</v>
      </c>
      <c r="H525">
        <f t="shared" si="150"/>
        <v>0</v>
      </c>
      <c r="I525">
        <f t="shared" si="150"/>
        <v>0</v>
      </c>
      <c r="J525">
        <f t="shared" si="152"/>
        <v>0</v>
      </c>
    </row>
    <row r="526" spans="1:13" x14ac:dyDescent="0.45">
      <c r="B526" s="20" t="s">
        <v>2351</v>
      </c>
      <c r="C526" s="29">
        <f>SUM(C518:C525)</f>
        <v>9</v>
      </c>
      <c r="D526" s="29">
        <f>SUM(D518:D525)</f>
        <v>2</v>
      </c>
      <c r="E526" s="29">
        <f>SUM(E518:E525)</f>
        <v>0</v>
      </c>
      <c r="F526" s="29">
        <f t="shared" si="151"/>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1"/>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55">(A530-$D$538)^2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56">PRODUCT(A531,C531)</f>
        <v>6</v>
      </c>
      <c r="E531" s="44">
        <f t="shared" si="155"/>
        <v>0.25</v>
      </c>
      <c r="F531">
        <f t="shared" ref="F531:F536" si="157">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56"/>
        <v>0</v>
      </c>
      <c r="E532" s="44">
        <f t="shared" si="155"/>
        <v>2.25</v>
      </c>
      <c r="F532">
        <f t="shared" si="157"/>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56"/>
        <v>0</v>
      </c>
      <c r="E533" s="44">
        <f t="shared" si="155"/>
        <v>6.25</v>
      </c>
      <c r="F533">
        <f t="shared" si="157"/>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56"/>
        <v>0</v>
      </c>
      <c r="E534" s="44">
        <f t="shared" si="155"/>
        <v>12.25</v>
      </c>
      <c r="F534">
        <f t="shared" si="157"/>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56"/>
        <v>0</v>
      </c>
      <c r="E535" s="44">
        <f t="shared" si="155"/>
        <v>20.25</v>
      </c>
      <c r="F535">
        <f t="shared" si="157"/>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56"/>
        <v>0</v>
      </c>
      <c r="E536" s="44">
        <f t="shared" si="155"/>
        <v>30.25</v>
      </c>
      <c r="F536">
        <f t="shared" si="157"/>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56"/>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58">PRODUCT(A545,C545)</f>
        <v>12</v>
      </c>
      <c r="E545" s="44">
        <f t="shared" ref="E545:E550" si="159">(A545-$D$552)^2</f>
        <v>0</v>
      </c>
      <c r="F545">
        <f t="shared" ref="F545:F550" si="160">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58"/>
        <v>0</v>
      </c>
      <c r="E546" s="44">
        <f t="shared" si="159"/>
        <v>1</v>
      </c>
      <c r="F546">
        <f t="shared" si="160"/>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58"/>
        <v>0</v>
      </c>
      <c r="E547" s="44">
        <f t="shared" si="159"/>
        <v>4</v>
      </c>
      <c r="F547">
        <f t="shared" si="160"/>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58"/>
        <v>0</v>
      </c>
      <c r="E548" s="44">
        <f t="shared" si="159"/>
        <v>9</v>
      </c>
      <c r="F548">
        <f t="shared" si="160"/>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58"/>
        <v>0</v>
      </c>
      <c r="E549" s="44">
        <f t="shared" si="159"/>
        <v>16</v>
      </c>
      <c r="F549">
        <f t="shared" si="160"/>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58"/>
        <v>0</v>
      </c>
      <c r="E550" s="44">
        <f t="shared" si="159"/>
        <v>25</v>
      </c>
      <c r="F550">
        <f t="shared" si="160"/>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58"/>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1">PRODUCT(A557,C557)</f>
        <v>12</v>
      </c>
      <c r="E557" s="44">
        <f t="shared" ref="E557:E562" si="162">(A557-$D$564)^2</f>
        <v>0</v>
      </c>
      <c r="F557">
        <f t="shared" ref="F557:F562" si="163">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1"/>
        <v>0</v>
      </c>
      <c r="E558" s="44">
        <f t="shared" si="162"/>
        <v>1</v>
      </c>
      <c r="F558">
        <f t="shared" si="163"/>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1"/>
        <v>0</v>
      </c>
      <c r="E559" s="44">
        <f t="shared" si="162"/>
        <v>4</v>
      </c>
      <c r="F559">
        <f t="shared" si="163"/>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1"/>
        <v>0</v>
      </c>
      <c r="E560" s="44">
        <f t="shared" si="162"/>
        <v>9</v>
      </c>
      <c r="F560">
        <f t="shared" si="163"/>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1"/>
        <v>0</v>
      </c>
      <c r="E561" s="44">
        <f t="shared" si="162"/>
        <v>16</v>
      </c>
      <c r="F561">
        <f t="shared" si="163"/>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1"/>
        <v>0</v>
      </c>
      <c r="E562" s="44">
        <f t="shared" si="162"/>
        <v>25</v>
      </c>
      <c r="F562">
        <f t="shared" si="163"/>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1"/>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64">PRODUCT(A569,C569)</f>
        <v>6</v>
      </c>
      <c r="E569" s="44">
        <f t="shared" ref="E569:E574" si="165">(A569-$D$576)^2</f>
        <v>0.25</v>
      </c>
      <c r="F569">
        <f t="shared" ref="F569:F574" si="166">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64"/>
        <v>0</v>
      </c>
      <c r="E570" s="44">
        <f t="shared" si="165"/>
        <v>2.25</v>
      </c>
      <c r="F570">
        <f t="shared" si="166"/>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64"/>
        <v>0</v>
      </c>
      <c r="E571" s="44">
        <f t="shared" si="165"/>
        <v>6.25</v>
      </c>
      <c r="F571">
        <f t="shared" si="166"/>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64"/>
        <v>0</v>
      </c>
      <c r="E572" s="44">
        <f t="shared" si="165"/>
        <v>12.25</v>
      </c>
      <c r="F572">
        <f t="shared" si="166"/>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64"/>
        <v>0</v>
      </c>
      <c r="E573" s="44">
        <f t="shared" si="165"/>
        <v>20.25</v>
      </c>
      <c r="F573">
        <f t="shared" si="166"/>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64"/>
        <v>0</v>
      </c>
      <c r="E574" s="44">
        <f t="shared" si="165"/>
        <v>30.25</v>
      </c>
      <c r="F574">
        <f t="shared" si="166"/>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64"/>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67">PRODUCT(A581,C581)</f>
        <v>6</v>
      </c>
      <c r="E581" s="44">
        <f t="shared" ref="E581:E586" si="168">(A581-$D$588)^2</f>
        <v>0.25</v>
      </c>
      <c r="F581">
        <f t="shared" ref="F581:F586" si="169">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67"/>
        <v>0</v>
      </c>
      <c r="E582" s="44">
        <f t="shared" si="168"/>
        <v>2.25</v>
      </c>
      <c r="F582">
        <f t="shared" si="169"/>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67"/>
        <v>0</v>
      </c>
      <c r="E583" s="44">
        <f t="shared" si="168"/>
        <v>6.25</v>
      </c>
      <c r="F583">
        <f t="shared" si="169"/>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67"/>
        <v>0</v>
      </c>
      <c r="E584" s="44">
        <f t="shared" si="168"/>
        <v>12.25</v>
      </c>
      <c r="F584">
        <f t="shared" si="169"/>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67"/>
        <v>0</v>
      </c>
      <c r="E585" s="44">
        <f t="shared" si="168"/>
        <v>20.25</v>
      </c>
      <c r="F585">
        <f t="shared" si="169"/>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67"/>
        <v>0</v>
      </c>
      <c r="E586" s="44">
        <f t="shared" si="168"/>
        <v>30.25</v>
      </c>
      <c r="F586">
        <f t="shared" si="169"/>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67"/>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0">PRODUCT(A593,C593)</f>
        <v>6</v>
      </c>
      <c r="E593" s="44">
        <f t="shared" ref="E593:E598" si="171">(A593-$D$600)^2</f>
        <v>0</v>
      </c>
      <c r="F593">
        <f t="shared" ref="F593:F598" si="172">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0"/>
        <v>0</v>
      </c>
      <c r="E594" s="44">
        <f t="shared" si="171"/>
        <v>1</v>
      </c>
      <c r="F594">
        <f t="shared" si="172"/>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0"/>
        <v>0</v>
      </c>
      <c r="E595" s="44">
        <f t="shared" si="171"/>
        <v>4</v>
      </c>
      <c r="F595">
        <f t="shared" si="172"/>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0"/>
        <v>0</v>
      </c>
      <c r="E596" s="44">
        <f t="shared" si="171"/>
        <v>9</v>
      </c>
      <c r="F596">
        <f t="shared" si="172"/>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0"/>
        <v>0</v>
      </c>
      <c r="E597" s="44">
        <f t="shared" si="171"/>
        <v>16</v>
      </c>
      <c r="F597">
        <f t="shared" si="172"/>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0"/>
        <v>0</v>
      </c>
      <c r="E598" s="44">
        <f t="shared" si="171"/>
        <v>25</v>
      </c>
      <c r="F598">
        <f t="shared" si="172"/>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0"/>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3">PRODUCT(A605,C605)</f>
        <v>6</v>
      </c>
      <c r="E605" s="44">
        <f t="shared" ref="E605:E610" si="174">(A605-$D$612)^2</f>
        <v>0</v>
      </c>
      <c r="F605">
        <f t="shared" ref="F605:F610" si="175">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3"/>
        <v>0</v>
      </c>
      <c r="E606" s="44">
        <f t="shared" si="174"/>
        <v>1</v>
      </c>
      <c r="F606">
        <f t="shared" si="175"/>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3"/>
        <v>0</v>
      </c>
      <c r="E607" s="44">
        <f t="shared" si="174"/>
        <v>4</v>
      </c>
      <c r="F607">
        <f t="shared" si="175"/>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3"/>
        <v>0</v>
      </c>
      <c r="E608" s="44">
        <f t="shared" si="174"/>
        <v>9</v>
      </c>
      <c r="F608">
        <f t="shared" si="175"/>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3"/>
        <v>0</v>
      </c>
      <c r="E609" s="44">
        <f t="shared" si="174"/>
        <v>16</v>
      </c>
      <c r="F609">
        <f t="shared" si="175"/>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3"/>
        <v>0</v>
      </c>
      <c r="E610" s="44">
        <f t="shared" si="174"/>
        <v>25</v>
      </c>
      <c r="F610">
        <f t="shared" si="175"/>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3"/>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76">B638*E638</f>
        <v>1.1156200000000001</v>
      </c>
    </row>
    <row r="639" spans="1:16" x14ac:dyDescent="0.45">
      <c r="A639" t="s">
        <v>2297</v>
      </c>
      <c r="B639" s="30">
        <v>0.24</v>
      </c>
      <c r="D639" s="20" t="s">
        <v>2435</v>
      </c>
      <c r="E639" s="53">
        <v>5.1929999999999996</v>
      </c>
      <c r="F639" s="44">
        <f t="shared" si="176"/>
        <v>1.2463199999999999</v>
      </c>
    </row>
    <row r="640" spans="1:16" x14ac:dyDescent="0.45">
      <c r="A640" t="s">
        <v>2298</v>
      </c>
      <c r="B640" s="30">
        <v>4.0000000000000001E-3</v>
      </c>
      <c r="D640" s="20" t="s">
        <v>2436</v>
      </c>
      <c r="E640" s="53">
        <v>5.6959999999999997</v>
      </c>
      <c r="F640" s="44">
        <f t="shared" si="176"/>
        <v>2.2783999999999999E-2</v>
      </c>
    </row>
    <row r="641" spans="1:7" x14ac:dyDescent="0.45">
      <c r="A641" t="s">
        <v>2299</v>
      </c>
      <c r="B641" s="30">
        <v>0.12</v>
      </c>
      <c r="D641" s="20" t="s">
        <v>2437</v>
      </c>
      <c r="E641" s="53">
        <v>6.75</v>
      </c>
      <c r="F641" s="44">
        <f t="shared" si="176"/>
        <v>0.80999999999999994</v>
      </c>
    </row>
    <row r="642" spans="1:7" x14ac:dyDescent="0.45">
      <c r="A642" t="s">
        <v>2300</v>
      </c>
      <c r="B642" s="30">
        <v>0.17599999999999999</v>
      </c>
      <c r="D642" s="20" t="s">
        <v>2438</v>
      </c>
      <c r="E642" s="53">
        <v>6</v>
      </c>
      <c r="F642" s="44">
        <f t="shared" si="176"/>
        <v>1.056</v>
      </c>
    </row>
    <row r="643" spans="1:7" x14ac:dyDescent="0.45">
      <c r="A643" t="s">
        <v>2301</v>
      </c>
      <c r="B643" s="30">
        <v>0</v>
      </c>
      <c r="D643" s="20" t="s">
        <v>2439</v>
      </c>
      <c r="E643" s="53">
        <v>5.8</v>
      </c>
      <c r="F643" s="44">
        <f t="shared" si="176"/>
        <v>0</v>
      </c>
    </row>
    <row r="644" spans="1:7" x14ac:dyDescent="0.45">
      <c r="A644" t="s">
        <v>2302</v>
      </c>
      <c r="B644" s="30">
        <v>0.14000000000000001</v>
      </c>
      <c r="D644" s="20" t="s">
        <v>2440</v>
      </c>
      <c r="E644" s="53">
        <v>4.8</v>
      </c>
      <c r="F644" s="44">
        <f t="shared" si="176"/>
        <v>0.67200000000000004</v>
      </c>
    </row>
    <row r="645" spans="1:7" x14ac:dyDescent="0.45">
      <c r="A645" t="s">
        <v>2303</v>
      </c>
      <c r="B645" s="30">
        <v>0.1</v>
      </c>
      <c r="D645" s="20" t="s">
        <v>2441</v>
      </c>
      <c r="E645" s="53">
        <v>6.5</v>
      </c>
      <c r="F645" s="44">
        <f t="shared" si="176"/>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77">B648*E648</f>
        <v>0.91277999999999992</v>
      </c>
      <c r="G648" s="44">
        <f>F648-F638</f>
        <v>-0.20284000000000013</v>
      </c>
    </row>
    <row r="649" spans="1:7" x14ac:dyDescent="0.45">
      <c r="A649" t="s">
        <v>2297</v>
      </c>
      <c r="B649" s="30">
        <v>0.23</v>
      </c>
      <c r="D649" s="20" t="s">
        <v>2435</v>
      </c>
      <c r="E649" s="53">
        <v>5.1929999999999996</v>
      </c>
      <c r="F649" s="44">
        <f t="shared" si="177"/>
        <v>1.1943900000000001</v>
      </c>
      <c r="G649" s="44">
        <f t="shared" ref="G649:G655" si="178">F649-F639</f>
        <v>-5.192999999999981E-2</v>
      </c>
    </row>
    <row r="650" spans="1:7" x14ac:dyDescent="0.45">
      <c r="A650" t="s">
        <v>2298</v>
      </c>
      <c r="B650" s="30">
        <v>2E-3</v>
      </c>
      <c r="D650" s="20" t="s">
        <v>2436</v>
      </c>
      <c r="E650" s="53">
        <v>5.6959999999999997</v>
      </c>
      <c r="F650" s="44">
        <f t="shared" si="177"/>
        <v>1.1391999999999999E-2</v>
      </c>
      <c r="G650" s="44">
        <f t="shared" si="178"/>
        <v>-1.1391999999999999E-2</v>
      </c>
    </row>
    <row r="651" spans="1:7" x14ac:dyDescent="0.45">
      <c r="A651" t="s">
        <v>2299</v>
      </c>
      <c r="B651" s="30">
        <v>9.8000000000000004E-2</v>
      </c>
      <c r="D651" s="20" t="s">
        <v>2437</v>
      </c>
      <c r="E651" s="53">
        <v>6.75</v>
      </c>
      <c r="F651" s="44">
        <f t="shared" si="177"/>
        <v>0.66149999999999998</v>
      </c>
      <c r="G651" s="44">
        <f t="shared" si="178"/>
        <v>-0.14849999999999997</v>
      </c>
    </row>
    <row r="652" spans="1:7" x14ac:dyDescent="0.45">
      <c r="A652" t="s">
        <v>2300</v>
      </c>
      <c r="B652" s="30">
        <v>0.25</v>
      </c>
      <c r="D652" s="20" t="s">
        <v>2438</v>
      </c>
      <c r="E652" s="53">
        <v>6</v>
      </c>
      <c r="F652" s="44">
        <f t="shared" si="177"/>
        <v>1.5</v>
      </c>
      <c r="G652" s="44">
        <f t="shared" si="178"/>
        <v>0.44399999999999995</v>
      </c>
    </row>
    <row r="653" spans="1:7" x14ac:dyDescent="0.45">
      <c r="A653" t="s">
        <v>2301</v>
      </c>
      <c r="B653" s="30">
        <v>0</v>
      </c>
      <c r="D653" s="20" t="s">
        <v>2439</v>
      </c>
      <c r="E653" s="53">
        <v>5.8</v>
      </c>
      <c r="F653" s="44">
        <f t="shared" si="177"/>
        <v>0</v>
      </c>
      <c r="G653" s="44">
        <f t="shared" si="178"/>
        <v>0</v>
      </c>
    </row>
    <row r="654" spans="1:7" x14ac:dyDescent="0.45">
      <c r="A654" t="s">
        <v>2302</v>
      </c>
      <c r="B654" s="30">
        <v>0.12</v>
      </c>
      <c r="D654" s="20" t="s">
        <v>2440</v>
      </c>
      <c r="E654" s="53">
        <v>4.8</v>
      </c>
      <c r="F654" s="44">
        <f t="shared" si="177"/>
        <v>0.57599999999999996</v>
      </c>
      <c r="G654" s="44">
        <f t="shared" si="178"/>
        <v>-9.6000000000000085E-2</v>
      </c>
    </row>
    <row r="655" spans="1:7" x14ac:dyDescent="0.45">
      <c r="A655" t="s">
        <v>2303</v>
      </c>
      <c r="B655" s="30">
        <v>0.12</v>
      </c>
      <c r="D655" s="20" t="s">
        <v>2441</v>
      </c>
      <c r="E655" s="53">
        <v>6.5</v>
      </c>
      <c r="F655" s="44">
        <f t="shared" si="177"/>
        <v>0.78</v>
      </c>
      <c r="G655" s="44">
        <f t="shared" si="178"/>
        <v>0.13</v>
      </c>
    </row>
    <row r="656" spans="1:7" x14ac:dyDescent="0.45">
      <c r="F656" s="54">
        <f>SUM(F648:F655)</f>
        <v>5.6360619999999999</v>
      </c>
    </row>
    <row r="663" spans="1:2" x14ac:dyDescent="0.45">
      <c r="A663" s="29" t="s">
        <v>2783</v>
      </c>
      <c r="B663" s="29" t="s">
        <v>2784</v>
      </c>
    </row>
    <row r="664" spans="1:2" x14ac:dyDescent="0.45">
      <c r="A664" t="s">
        <v>2296</v>
      </c>
      <c r="B664">
        <v>28</v>
      </c>
    </row>
    <row r="665" spans="1:2" x14ac:dyDescent="0.45">
      <c r="A665" t="s">
        <v>2297</v>
      </c>
      <c r="B665">
        <v>19</v>
      </c>
    </row>
    <row r="666" spans="1:2" x14ac:dyDescent="0.45">
      <c r="A666" t="s">
        <v>2782</v>
      </c>
      <c r="B666">
        <v>17</v>
      </c>
    </row>
    <row r="667" spans="1:2" x14ac:dyDescent="0.45">
      <c r="A667" t="s">
        <v>2773</v>
      </c>
      <c r="B667">
        <v>11</v>
      </c>
    </row>
    <row r="668" spans="1:2" x14ac:dyDescent="0.45">
      <c r="A668" t="s">
        <v>2775</v>
      </c>
      <c r="B668">
        <v>9</v>
      </c>
    </row>
    <row r="669" spans="1:2" x14ac:dyDescent="0.45">
      <c r="A669" t="s">
        <v>2774</v>
      </c>
      <c r="B669">
        <v>4</v>
      </c>
    </row>
    <row r="670" spans="1:2" x14ac:dyDescent="0.45">
      <c r="A670" t="s">
        <v>2776</v>
      </c>
      <c r="B670">
        <v>2</v>
      </c>
    </row>
    <row r="671" spans="1:2" x14ac:dyDescent="0.45">
      <c r="A671" t="s">
        <v>2779</v>
      </c>
      <c r="B671">
        <v>2</v>
      </c>
    </row>
  </sheetData>
  <conditionalFormatting sqref="N141">
    <cfRule type="cellIs" dxfId="111" priority="6" operator="lessThan">
      <formula>O141</formula>
    </cfRule>
  </conditionalFormatting>
  <conditionalFormatting sqref="N180">
    <cfRule type="cellIs" dxfId="110" priority="5" operator="lessThan">
      <formula>O180</formula>
    </cfRule>
  </conditionalFormatting>
  <conditionalFormatting sqref="N330">
    <cfRule type="cellIs" dxfId="109" priority="2" operator="lessThan">
      <formula>O330</formula>
    </cfRule>
  </conditionalFormatting>
  <conditionalFormatting sqref="T217">
    <cfRule type="cellIs" dxfId="108" priority="3" operator="lessThan">
      <formula>U217</formula>
    </cfRule>
  </conditionalFormatting>
  <conditionalFormatting sqref="T500">
    <cfRule type="cellIs" dxfId="107"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2023-06-19T20:19:38Z</dcterms:modified>
  <cp:category>wyniki indywidualne</cp:category>
</cp:coreProperties>
</file>