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46A319AB-CBA8-4809-8446-585DAE60DEF7}" xr6:coauthVersionLast="47" xr6:coauthVersionMax="47" xr10:uidLastSave="{00000000-0000-0000-0000-000000000000}"/>
  <bookViews>
    <workbookView xWindow="-2140" yWindow="-21710" windowWidth="37690" windowHeight="21820" activeTab="2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2" r:id="rId9"/>
    <pivotCache cacheId="3" r:id="rId10"/>
  </pivotCaches>
</workbook>
</file>

<file path=xl/calcChain.xml><?xml version="1.0" encoding="utf-8"?>
<calcChain xmlns="http://schemas.openxmlformats.org/spreadsheetml/2006/main">
  <c r="C784" i="7" l="1"/>
  <c r="C785" i="7" s="1"/>
  <c r="E718" i="7"/>
  <c r="E696" i="7"/>
  <c r="E727" i="7"/>
  <c r="E734" i="7"/>
  <c r="E733" i="7"/>
  <c r="E668" i="7"/>
  <c r="E702" i="7"/>
  <c r="E671" i="7"/>
  <c r="E680" i="7"/>
  <c r="E688" i="7"/>
  <c r="E709" i="7"/>
  <c r="E775" i="7"/>
  <c r="E670" i="7"/>
  <c r="E703" i="7"/>
  <c r="E730" i="7"/>
  <c r="E717" i="7"/>
  <c r="E689" i="7"/>
  <c r="E738" i="7"/>
  <c r="E690" i="7"/>
  <c r="E672" i="7"/>
  <c r="E729" i="7"/>
  <c r="E739" i="7"/>
  <c r="E772" i="7"/>
  <c r="E669" i="7"/>
  <c r="E704" i="7"/>
  <c r="E778" i="7"/>
  <c r="E764" i="7"/>
  <c r="E782" i="7"/>
  <c r="E740" i="7"/>
  <c r="E741" i="7"/>
  <c r="E673" i="7"/>
  <c r="E697" i="7"/>
  <c r="E698" i="7"/>
  <c r="E713" i="7"/>
  <c r="E714" i="7"/>
  <c r="E691" i="7"/>
  <c r="E770" i="7"/>
  <c r="E692" i="7"/>
  <c r="E765" i="7"/>
  <c r="E766" i="7"/>
  <c r="E715" i="7"/>
  <c r="E781" i="7"/>
  <c r="E720" i="7"/>
  <c r="E742" i="7"/>
  <c r="E674" i="7"/>
  <c r="E776" i="7"/>
  <c r="E767" i="7"/>
  <c r="E768" i="7"/>
  <c r="E681" i="7"/>
  <c r="E771" i="7"/>
  <c r="E707" i="7"/>
  <c r="E779" i="7"/>
  <c r="E777" i="7"/>
  <c r="E743" i="7"/>
  <c r="E744" i="7"/>
  <c r="E682" i="7"/>
  <c r="E683" i="7"/>
  <c r="E699" i="7"/>
  <c r="E745" i="7"/>
  <c r="E728" i="7"/>
  <c r="E769" i="7"/>
  <c r="E675" i="7"/>
  <c r="E732" i="7"/>
  <c r="E676" i="7"/>
  <c r="E684" i="7"/>
  <c r="E700" i="7"/>
  <c r="E677" i="7"/>
  <c r="E746" i="7"/>
  <c r="E747" i="7"/>
  <c r="E685" i="7"/>
  <c r="E711" i="7"/>
  <c r="E762" i="7"/>
  <c r="E708" i="7"/>
  <c r="E712" i="7"/>
  <c r="E701" i="7"/>
  <c r="E723" i="7"/>
  <c r="E748" i="7"/>
  <c r="E726" i="7"/>
  <c r="E749" i="7"/>
  <c r="E693" i="7"/>
  <c r="E780" i="7"/>
  <c r="E719" i="7"/>
  <c r="E750" i="7"/>
  <c r="E705" i="7"/>
  <c r="E721" i="7"/>
  <c r="E686" i="7"/>
  <c r="E751" i="7"/>
  <c r="E736" i="7"/>
  <c r="E752" i="7"/>
  <c r="E665" i="7"/>
  <c r="E735" i="7"/>
  <c r="E666" i="7"/>
  <c r="E731" i="7"/>
  <c r="E753" i="7"/>
  <c r="E783" i="7"/>
  <c r="E754" i="7"/>
  <c r="E722" i="7"/>
  <c r="E737" i="7"/>
  <c r="E755" i="7"/>
  <c r="E716" i="7"/>
  <c r="E687" i="7"/>
  <c r="E694" i="7"/>
  <c r="E664" i="7"/>
  <c r="C661" i="7" s="1"/>
  <c r="E756" i="7"/>
  <c r="E757" i="7"/>
  <c r="E725" i="7"/>
  <c r="E774" i="7"/>
  <c r="E724" i="7"/>
  <c r="E758" i="7"/>
  <c r="E710" i="7"/>
  <c r="E763" i="7"/>
  <c r="E773" i="7"/>
  <c r="E759" i="7"/>
  <c r="E760" i="7"/>
  <c r="E678" i="7"/>
  <c r="E706" i="7"/>
  <c r="E667" i="7"/>
  <c r="E761" i="7"/>
  <c r="E679" i="7"/>
  <c r="E695" i="7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V3" i="5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AV44" i="5"/>
  <c r="AV45" i="5"/>
  <c r="AV46" i="5"/>
  <c r="AV47" i="5"/>
  <c r="AV48" i="5"/>
  <c r="AV49" i="5"/>
  <c r="AV50" i="5"/>
  <c r="AV51" i="5"/>
  <c r="AV52" i="5"/>
  <c r="AV53" i="5"/>
  <c r="AV54" i="5"/>
  <c r="AV55" i="5"/>
  <c r="AV56" i="5"/>
  <c r="AV57" i="5"/>
  <c r="AV58" i="5"/>
  <c r="AV59" i="5"/>
  <c r="AV60" i="5"/>
  <c r="AV61" i="5"/>
  <c r="AV62" i="5"/>
  <c r="AV63" i="5"/>
  <c r="AV64" i="5"/>
  <c r="AV65" i="5"/>
  <c r="AV66" i="5"/>
  <c r="AV67" i="5"/>
  <c r="AV68" i="5"/>
  <c r="AV69" i="5"/>
  <c r="AV70" i="5"/>
  <c r="AV71" i="5"/>
  <c r="AV72" i="5"/>
  <c r="AV73" i="5"/>
  <c r="AV74" i="5"/>
  <c r="AV75" i="5"/>
  <c r="AV76" i="5"/>
  <c r="AV77" i="5"/>
  <c r="AV78" i="5"/>
  <c r="AV79" i="5"/>
  <c r="AV80" i="5"/>
  <c r="AV81" i="5"/>
  <c r="AV82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0" i="5"/>
  <c r="AV101" i="5"/>
  <c r="AV102" i="5"/>
  <c r="AV103" i="5"/>
  <c r="AV104" i="5"/>
  <c r="AV105" i="5"/>
  <c r="AV106" i="5"/>
  <c r="AV107" i="5"/>
  <c r="AV108" i="5"/>
  <c r="AV109" i="5"/>
  <c r="AV110" i="5"/>
  <c r="AV111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2" i="5"/>
  <c r="AV133" i="5"/>
  <c r="AV134" i="5"/>
  <c r="AV135" i="5"/>
  <c r="K191" i="8"/>
  <c r="J191" i="8"/>
  <c r="I187" i="8"/>
  <c r="I188" i="8"/>
  <c r="I190" i="8"/>
  <c r="I191" i="8"/>
  <c r="H187" i="8"/>
  <c r="H188" i="8"/>
  <c r="H190" i="8"/>
  <c r="H191" i="8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J190" i="8" s="1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K188" i="8" s="1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E181" i="8"/>
  <c r="E182" i="8"/>
  <c r="G182" i="8" s="1"/>
  <c r="E183" i="8"/>
  <c r="G183" i="8" s="1"/>
  <c r="E184" i="8"/>
  <c r="G184" i="8" s="1"/>
  <c r="E185" i="8"/>
  <c r="G185" i="8" s="1"/>
  <c r="E186" i="8"/>
  <c r="G186" i="8" s="1"/>
  <c r="E187" i="8"/>
  <c r="G187" i="8" s="1"/>
  <c r="E188" i="8"/>
  <c r="G188" i="8" s="1"/>
  <c r="E189" i="8"/>
  <c r="G189" i="8" s="1"/>
  <c r="E190" i="8"/>
  <c r="G190" i="8" s="1"/>
  <c r="E191" i="8"/>
  <c r="G191" i="8" s="1"/>
  <c r="E192" i="8"/>
  <c r="G192" i="8" s="1"/>
  <c r="D181" i="8"/>
  <c r="D182" i="8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B132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S141" i="5"/>
  <c r="ER141" i="5"/>
  <c r="EQ141" i="5"/>
  <c r="EP141" i="5"/>
  <c r="EO141" i="5"/>
  <c r="EN141" i="5"/>
  <c r="EM141" i="5"/>
  <c r="EK141" i="5"/>
  <c r="EJ141" i="5"/>
  <c r="EI141" i="5"/>
  <c r="EH141" i="5"/>
  <c r="EG141" i="5"/>
  <c r="EF141" i="5"/>
  <c r="EE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F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I59" i="5"/>
  <c r="AI106" i="5"/>
  <c r="AI97" i="5"/>
  <c r="AI4" i="5"/>
  <c r="AI131" i="5"/>
  <c r="AI6" i="5"/>
  <c r="AI126" i="5"/>
  <c r="AI77" i="5"/>
  <c r="AI17" i="5"/>
  <c r="AI60" i="5"/>
  <c r="AI93" i="5"/>
  <c r="AI41" i="5"/>
  <c r="AI76" i="5"/>
  <c r="AI19" i="5"/>
  <c r="AI52" i="5"/>
  <c r="AI51" i="5"/>
  <c r="AI47" i="5"/>
  <c r="AI80" i="5"/>
  <c r="AI104" i="5"/>
  <c r="AI133" i="5"/>
  <c r="AI12" i="5"/>
  <c r="AI130" i="5"/>
  <c r="AI109" i="5"/>
  <c r="AI57" i="5"/>
  <c r="AI102" i="5"/>
  <c r="AI114" i="5"/>
  <c r="AI128" i="5"/>
  <c r="AI50" i="5"/>
  <c r="AI84" i="5"/>
  <c r="AI38" i="5"/>
  <c r="AI53" i="5"/>
  <c r="AI110" i="5"/>
  <c r="AI75" i="5"/>
  <c r="AI113" i="5"/>
  <c r="AI13" i="5"/>
  <c r="AI103" i="5"/>
  <c r="AI87" i="5"/>
  <c r="AI15" i="5"/>
  <c r="AI14" i="5"/>
  <c r="AI125" i="5"/>
  <c r="AI9" i="5"/>
  <c r="AI11" i="5"/>
  <c r="AI8" i="5"/>
  <c r="AI100" i="5"/>
  <c r="AI115" i="5"/>
  <c r="AI71" i="5"/>
  <c r="AI83" i="5"/>
  <c r="AI5" i="5"/>
  <c r="AI21" i="5"/>
  <c r="AI69" i="5"/>
  <c r="AI73" i="5"/>
  <c r="AI121" i="5"/>
  <c r="AI123" i="5"/>
  <c r="AI82" i="5"/>
  <c r="AI108" i="5"/>
  <c r="AI101" i="5"/>
  <c r="AI117" i="5"/>
  <c r="AI72" i="5"/>
  <c r="AI112" i="5"/>
  <c r="AI122" i="5"/>
  <c r="AI3" i="5"/>
  <c r="AI63" i="5"/>
  <c r="AI90" i="5"/>
  <c r="AI89" i="5"/>
  <c r="AI67" i="5"/>
  <c r="AI68" i="5"/>
  <c r="AI48" i="5"/>
  <c r="AI64" i="5"/>
  <c r="AI81" i="5"/>
  <c r="AI98" i="5"/>
  <c r="AI61" i="5"/>
  <c r="AI27" i="5"/>
  <c r="AI94" i="5"/>
  <c r="AI54" i="5"/>
  <c r="AI7" i="5"/>
  <c r="AI132" i="5"/>
  <c r="AI134" i="5"/>
  <c r="AI74" i="5"/>
  <c r="AI78" i="5"/>
  <c r="AI62" i="5"/>
  <c r="AI119" i="5"/>
  <c r="AI96" i="5"/>
  <c r="AI99" i="5"/>
  <c r="AI66" i="5"/>
  <c r="AI79" i="5"/>
  <c r="AI86" i="5"/>
  <c r="AI39" i="5"/>
  <c r="AI105" i="5"/>
  <c r="AI55" i="5"/>
  <c r="AI92" i="5"/>
  <c r="AI88" i="5"/>
  <c r="AI124" i="5"/>
  <c r="AI118" i="5"/>
  <c r="AI28" i="5"/>
  <c r="AI56" i="5"/>
  <c r="AI127" i="5"/>
  <c r="AI116" i="5"/>
  <c r="AI16" i="5"/>
  <c r="AI42" i="5"/>
  <c r="AI49" i="5"/>
  <c r="AI40" i="5"/>
  <c r="AI95" i="5"/>
  <c r="AI120" i="5"/>
  <c r="AI135" i="5"/>
  <c r="AI34" i="5"/>
  <c r="AI20" i="5"/>
  <c r="AI25" i="5"/>
  <c r="AI24" i="5"/>
  <c r="AI23" i="5"/>
  <c r="AI30" i="5"/>
  <c r="AI26" i="5"/>
  <c r="AI31" i="5"/>
  <c r="AI32" i="5"/>
  <c r="AI35" i="5"/>
  <c r="AI36" i="5"/>
  <c r="AI18" i="5"/>
  <c r="AI44" i="5"/>
  <c r="AI45" i="5"/>
  <c r="AI111" i="5"/>
  <c r="AI107" i="5"/>
  <c r="AI58" i="5"/>
  <c r="AI37" i="5"/>
  <c r="AI43" i="5"/>
  <c r="AI29" i="5"/>
  <c r="AI10" i="5"/>
  <c r="AI85" i="5"/>
  <c r="AI70" i="5"/>
  <c r="AI91" i="5"/>
  <c r="AI129" i="5"/>
  <c r="AI65" i="5"/>
  <c r="AI22" i="5"/>
  <c r="AI33" i="5"/>
  <c r="AI46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H44" i="5"/>
  <c r="HH45" i="5"/>
  <c r="HH106" i="5"/>
  <c r="HH10" i="5"/>
  <c r="HH52" i="5"/>
  <c r="HH51" i="5"/>
  <c r="HH47" i="5"/>
  <c r="HH80" i="5"/>
  <c r="HH54" i="5"/>
  <c r="HH77" i="5"/>
  <c r="HH104" i="5"/>
  <c r="HH133" i="5"/>
  <c r="HH17" i="5"/>
  <c r="HH4" i="5"/>
  <c r="HH7" i="5"/>
  <c r="HH131" i="5"/>
  <c r="HH6" i="5"/>
  <c r="HH132" i="5"/>
  <c r="HH58" i="5"/>
  <c r="HH12" i="5"/>
  <c r="HH130" i="5"/>
  <c r="HH109" i="5"/>
  <c r="HH61" i="5"/>
  <c r="HH134" i="5"/>
  <c r="HH57" i="5"/>
  <c r="HH102" i="5"/>
  <c r="HH76" i="5"/>
  <c r="HH74" i="5"/>
  <c r="HH98" i="5"/>
  <c r="HH78" i="5"/>
  <c r="HH112" i="5"/>
  <c r="HH67" i="5"/>
  <c r="HH75" i="5"/>
  <c r="HH107" i="5"/>
  <c r="HH114" i="5"/>
  <c r="HH64" i="5"/>
  <c r="HH43" i="5"/>
  <c r="HH128" i="5"/>
  <c r="HH62" i="5"/>
  <c r="HH50" i="5"/>
  <c r="HH119" i="5"/>
  <c r="HH96" i="5"/>
  <c r="HH135" i="5"/>
  <c r="HH84" i="5"/>
  <c r="HH66" i="5"/>
  <c r="HH79" i="5"/>
  <c r="HH63" i="5"/>
  <c r="HH86" i="5"/>
  <c r="HH21" i="5"/>
  <c r="HH93" i="5"/>
  <c r="HH90" i="5"/>
  <c r="HH38" i="5"/>
  <c r="HH39" i="5"/>
  <c r="HH53" i="5"/>
  <c r="HH105" i="5"/>
  <c r="HH89" i="5"/>
  <c r="HH55" i="5"/>
  <c r="HH92" i="5"/>
  <c r="HH88" i="5"/>
  <c r="HH110" i="5"/>
  <c r="HH113" i="5"/>
  <c r="HH18" i="5"/>
  <c r="HH13" i="5"/>
  <c r="HH103" i="5"/>
  <c r="HH111" i="5"/>
  <c r="HH124" i="5"/>
  <c r="HH87" i="5"/>
  <c r="HH60" i="5"/>
  <c r="HH15" i="5"/>
  <c r="HH118" i="5"/>
  <c r="HH127" i="5"/>
  <c r="HH70" i="5"/>
  <c r="HH85" i="5"/>
  <c r="HH116" i="5"/>
  <c r="HH122" i="5"/>
  <c r="HH81" i="5"/>
  <c r="HH14" i="5"/>
  <c r="HH19" i="5"/>
  <c r="HH3" i="5"/>
  <c r="HH125" i="5"/>
  <c r="HH16" i="5"/>
  <c r="HH42" i="5"/>
  <c r="HH99" i="5"/>
  <c r="HH41" i="5"/>
  <c r="HH9" i="5"/>
  <c r="HH49" i="5"/>
  <c r="HH11" i="5"/>
  <c r="HH8" i="5"/>
  <c r="HH34" i="5"/>
  <c r="HH100" i="5"/>
  <c r="HH40" i="5"/>
  <c r="HH91" i="5"/>
  <c r="HH115" i="5"/>
  <c r="HH28" i="5"/>
  <c r="HH56" i="5"/>
  <c r="HH48" i="5"/>
  <c r="HH71" i="5"/>
  <c r="HH83" i="5"/>
  <c r="HH5" i="5"/>
  <c r="HH65" i="5"/>
  <c r="HH69" i="5"/>
  <c r="HH59" i="5"/>
  <c r="HH73" i="5"/>
  <c r="HH97" i="5"/>
  <c r="HH121" i="5"/>
  <c r="HH68" i="5"/>
  <c r="HH95" i="5"/>
  <c r="HH123" i="5"/>
  <c r="HH82" i="5"/>
  <c r="HH108" i="5"/>
  <c r="HH26" i="5"/>
  <c r="HH31" i="5"/>
  <c r="HH32" i="5"/>
  <c r="HH20" i="5"/>
  <c r="HH25" i="5"/>
  <c r="HH24" i="5"/>
  <c r="HH36" i="5"/>
  <c r="HH23" i="5"/>
  <c r="HH30" i="5"/>
  <c r="HH35" i="5"/>
  <c r="HH37" i="5"/>
  <c r="HH27" i="5"/>
  <c r="HH120" i="5"/>
  <c r="HH29" i="5"/>
  <c r="HH101" i="5"/>
  <c r="HH117" i="5"/>
  <c r="HH126" i="5"/>
  <c r="HH72" i="5"/>
  <c r="HH129" i="5"/>
  <c r="HH94" i="5"/>
  <c r="HH22" i="5"/>
  <c r="HH33" i="5"/>
  <c r="HH46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T140" i="5"/>
  <c r="ES140" i="5"/>
  <c r="ER140" i="5"/>
  <c r="EQ140" i="5"/>
  <c r="EP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Q140" i="5"/>
  <c r="DP140" i="5"/>
  <c r="DO140" i="5"/>
  <c r="DN140" i="5"/>
  <c r="DM140" i="5"/>
  <c r="DL140" i="5"/>
  <c r="DK140" i="5"/>
  <c r="DJ140" i="5"/>
  <c r="DI140" i="5"/>
  <c r="DG140" i="5"/>
  <c r="DF140" i="5"/>
  <c r="DE140" i="5"/>
  <c r="DD140" i="5"/>
  <c r="DC140" i="5"/>
  <c r="DB140" i="5"/>
  <c r="DA140" i="5"/>
  <c r="CZ140" i="5"/>
  <c r="CY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E140" i="5"/>
  <c r="BC140" i="5"/>
  <c r="BB140" i="5"/>
  <c r="BA140" i="5"/>
  <c r="AZ140" i="5"/>
  <c r="AY140" i="5"/>
  <c r="AW140" i="5"/>
  <c r="AU140" i="5"/>
  <c r="AT140" i="5"/>
  <c r="AS140" i="5"/>
  <c r="AR140" i="5"/>
  <c r="AQ140" i="5"/>
  <c r="AP140" i="5"/>
  <c r="AO140" i="5"/>
  <c r="AN140" i="5"/>
  <c r="AM140" i="5"/>
  <c r="AL140" i="5"/>
  <c r="AH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HI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EU139" i="5"/>
  <c r="DR139" i="5"/>
  <c r="DH139" i="5"/>
  <c r="CX139" i="5"/>
  <c r="BD139" i="5"/>
  <c r="AG139" i="5"/>
  <c r="Q139" i="5"/>
  <c r="P139" i="5"/>
  <c r="HI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EU138" i="5"/>
  <c r="DR138" i="5"/>
  <c r="DH138" i="5"/>
  <c r="CX138" i="5"/>
  <c r="BD138" i="5"/>
  <c r="AG138" i="5"/>
  <c r="Q138" i="5"/>
  <c r="P138" i="5"/>
  <c r="HI137" i="5"/>
  <c r="HG137" i="5"/>
  <c r="HF137" i="5"/>
  <c r="HE137" i="5"/>
  <c r="HD137" i="5"/>
  <c r="HC137" i="5"/>
  <c r="HB137" i="5"/>
  <c r="HA137" i="5"/>
  <c r="HA140" i="5" s="1"/>
  <c r="GZ137" i="5"/>
  <c r="GZ140" i="5" s="1"/>
  <c r="GY137" i="5"/>
  <c r="GY140" i="5" s="1"/>
  <c r="GX137" i="5"/>
  <c r="GX140" i="5" s="1"/>
  <c r="GW137" i="5"/>
  <c r="GW140" i="5" s="1"/>
  <c r="GV137" i="5"/>
  <c r="GV140" i="5" s="1"/>
  <c r="GU137" i="5"/>
  <c r="GT137" i="5"/>
  <c r="GT140" i="5" s="1"/>
  <c r="GS137" i="5"/>
  <c r="GS140" i="5" s="1"/>
  <c r="GR137" i="5"/>
  <c r="GR140" i="5" s="1"/>
  <c r="GQ137" i="5"/>
  <c r="GQ140" i="5" s="1"/>
  <c r="GP137" i="5"/>
  <c r="GO137" i="5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EU137" i="5"/>
  <c r="EU140" i="5" s="1"/>
  <c r="DR137" i="5"/>
  <c r="DH137" i="5"/>
  <c r="DH140" i="5" s="1"/>
  <c r="CX137" i="5"/>
  <c r="BD137" i="5"/>
  <c r="AG137" i="5"/>
  <c r="Q137" i="5"/>
  <c r="P137" i="5"/>
  <c r="HM136" i="5"/>
  <c r="HL136" i="5"/>
  <c r="HK136" i="5"/>
  <c r="HJ136" i="5"/>
  <c r="HI136" i="5"/>
  <c r="HG136" i="5"/>
  <c r="HF136" i="5"/>
  <c r="FU136" i="5"/>
  <c r="EU136" i="5"/>
  <c r="DR136" i="5"/>
  <c r="DH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W136" i="5"/>
  <c r="AU136" i="5"/>
  <c r="AT136" i="5"/>
  <c r="AS136" i="5"/>
  <c r="AR136" i="5"/>
  <c r="AQ136" i="5"/>
  <c r="AP136" i="5"/>
  <c r="AO136" i="5"/>
  <c r="AN136" i="5"/>
  <c r="AM136" i="5"/>
  <c r="AL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B65" i="5"/>
  <c r="B70" i="5"/>
  <c r="B91" i="5"/>
  <c r="B85" i="5"/>
  <c r="B43" i="5"/>
  <c r="B37" i="5"/>
  <c r="B58" i="5"/>
  <c r="B107" i="5"/>
  <c r="B111" i="5"/>
  <c r="B45" i="5"/>
  <c r="B44" i="5"/>
  <c r="B18" i="5"/>
  <c r="B36" i="5"/>
  <c r="B30" i="5"/>
  <c r="B35" i="5"/>
  <c r="B34" i="5"/>
  <c r="B25" i="5"/>
  <c r="B24" i="5"/>
  <c r="B23" i="5"/>
  <c r="B127" i="5"/>
  <c r="B135" i="5"/>
  <c r="B120" i="5"/>
  <c r="B119" i="5"/>
  <c r="B118" i="5"/>
  <c r="B116" i="5"/>
  <c r="B105" i="5"/>
  <c r="B96" i="5"/>
  <c r="B95" i="5"/>
  <c r="B92" i="5"/>
  <c r="B86" i="5"/>
  <c r="B79" i="5"/>
  <c r="B78" i="5"/>
  <c r="B74" i="5"/>
  <c r="B75" i="5"/>
  <c r="B66" i="5"/>
  <c r="B49" i="5"/>
  <c r="B40" i="5"/>
  <c r="B16" i="5"/>
  <c r="B51" i="5"/>
  <c r="B55" i="5"/>
  <c r="B124" i="5"/>
  <c r="B88" i="5"/>
  <c r="B62" i="5"/>
  <c r="B42" i="5"/>
  <c r="B20" i="5"/>
  <c r="B94" i="5"/>
  <c r="B27" i="5"/>
  <c r="B61" i="5"/>
  <c r="B98" i="5"/>
  <c r="B64" i="5"/>
  <c r="B81" i="5"/>
  <c r="B48" i="5"/>
  <c r="B10" i="5"/>
  <c r="B4" i="5"/>
  <c r="B68" i="5"/>
  <c r="B67" i="5"/>
  <c r="B90" i="5"/>
  <c r="B89" i="5"/>
  <c r="B63" i="5"/>
  <c r="B54" i="5"/>
  <c r="B14" i="5"/>
  <c r="B122" i="5"/>
  <c r="B112" i="5"/>
  <c r="B3" i="5"/>
  <c r="B134" i="5"/>
  <c r="B39" i="5"/>
  <c r="B128" i="5"/>
  <c r="B12" i="5"/>
  <c r="B125" i="5"/>
  <c r="B46" i="5"/>
  <c r="B123" i="5"/>
  <c r="B121" i="5"/>
  <c r="B72" i="5"/>
  <c r="B117" i="5"/>
  <c r="B115" i="5"/>
  <c r="B113" i="5"/>
  <c r="B110" i="5"/>
  <c r="B80" i="5"/>
  <c r="B108" i="5"/>
  <c r="B101" i="5"/>
  <c r="B102" i="5"/>
  <c r="B103" i="5"/>
  <c r="B87" i="5"/>
  <c r="B84" i="5"/>
  <c r="B83" i="5"/>
  <c r="B73" i="5"/>
  <c r="B99" i="5"/>
  <c r="B33" i="5"/>
  <c r="B71" i="5"/>
  <c r="B129" i="5"/>
  <c r="B32" i="5"/>
  <c r="B31" i="5"/>
  <c r="B29" i="5"/>
  <c r="B28" i="5"/>
  <c r="B69" i="5"/>
  <c r="B22" i="5"/>
  <c r="B26" i="5"/>
  <c r="B57" i="5"/>
  <c r="B53" i="5"/>
  <c r="B7" i="5"/>
  <c r="B21" i="5"/>
  <c r="B133" i="5"/>
  <c r="B50" i="5"/>
  <c r="B38" i="5"/>
  <c r="B15" i="5"/>
  <c r="B13" i="5"/>
  <c r="B56" i="5"/>
  <c r="B130" i="5"/>
  <c r="B11" i="5"/>
  <c r="B109" i="5"/>
  <c r="B9" i="5"/>
  <c r="B8" i="5"/>
  <c r="B5" i="5"/>
  <c r="B82" i="5"/>
  <c r="B52" i="5"/>
  <c r="B100" i="5"/>
  <c r="B114" i="5"/>
  <c r="B47" i="5"/>
  <c r="B104" i="5"/>
  <c r="B19" i="5"/>
  <c r="B76" i="5"/>
  <c r="B93" i="5"/>
  <c r="B41" i="5"/>
  <c r="B60" i="5"/>
  <c r="B17" i="5"/>
  <c r="B126" i="5"/>
  <c r="B131" i="5"/>
  <c r="B77" i="5"/>
  <c r="B6" i="5"/>
  <c r="B97" i="5"/>
  <c r="B106" i="5"/>
  <c r="B5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K186" i="8" l="1"/>
  <c r="J181" i="8"/>
  <c r="F661" i="7"/>
  <c r="G661" i="7"/>
  <c r="G653" i="7"/>
  <c r="G654" i="7"/>
  <c r="G655" i="7"/>
  <c r="F646" i="7"/>
  <c r="G649" i="7"/>
  <c r="G650" i="7"/>
  <c r="F656" i="7"/>
  <c r="G648" i="7"/>
  <c r="G651" i="7"/>
  <c r="G652" i="7"/>
  <c r="FV140" i="5"/>
  <c r="I186" i="8"/>
  <c r="I184" i="8"/>
  <c r="K185" i="8"/>
  <c r="K187" i="8"/>
  <c r="I185" i="8"/>
  <c r="J183" i="8"/>
  <c r="H181" i="8"/>
  <c r="J182" i="8"/>
  <c r="C11" i="5"/>
  <c r="K190" i="8"/>
  <c r="J186" i="8"/>
  <c r="H182" i="8"/>
  <c r="J189" i="8"/>
  <c r="AK136" i="5"/>
  <c r="J184" i="8"/>
  <c r="I192" i="8"/>
  <c r="H186" i="8"/>
  <c r="I183" i="8"/>
  <c r="J188" i="8"/>
  <c r="K192" i="8"/>
  <c r="K184" i="8"/>
  <c r="H185" i="8"/>
  <c r="I182" i="8"/>
  <c r="J187" i="8"/>
  <c r="K183" i="8"/>
  <c r="H192" i="8"/>
  <c r="H184" i="8"/>
  <c r="I189" i="8"/>
  <c r="I181" i="8"/>
  <c r="K182" i="8"/>
  <c r="H183" i="8"/>
  <c r="J185" i="8"/>
  <c r="K189" i="8"/>
  <c r="K181" i="8"/>
  <c r="J192" i="8"/>
  <c r="H189" i="8"/>
  <c r="C121" i="5"/>
  <c r="G193" i="8"/>
  <c r="F182" i="8"/>
  <c r="F193" i="8" s="1"/>
  <c r="C8" i="5"/>
  <c r="D194" i="8"/>
  <c r="F195" i="8" s="1"/>
  <c r="E194" i="8"/>
  <c r="G195" i="8" s="1"/>
  <c r="E193" i="8"/>
  <c r="D193" i="8"/>
  <c r="G329" i="7"/>
  <c r="M499" i="7"/>
  <c r="G179" i="7"/>
  <c r="D50" i="8"/>
  <c r="D49" i="8" s="1"/>
  <c r="G140" i="7"/>
  <c r="A81" i="7"/>
  <c r="BD140" i="5"/>
  <c r="HB140" i="5"/>
  <c r="GO140" i="5"/>
  <c r="CX140" i="5"/>
  <c r="GP140" i="5"/>
  <c r="DR140" i="5"/>
  <c r="EL141" i="5"/>
  <c r="EE142" i="5" s="1"/>
  <c r="ET141" i="5"/>
  <c r="C95" i="5"/>
  <c r="C44" i="5"/>
  <c r="C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6" i="5"/>
  <c r="C33" i="5"/>
  <c r="C29" i="5"/>
  <c r="C24" i="5"/>
  <c r="C41" i="5"/>
  <c r="C133" i="5"/>
  <c r="HF140" i="5"/>
  <c r="C122" i="5"/>
  <c r="C100" i="5"/>
  <c r="C30" i="5"/>
  <c r="C63" i="5"/>
  <c r="C19" i="5"/>
  <c r="C82" i="5"/>
  <c r="C15" i="5"/>
  <c r="C98" i="5"/>
  <c r="C130" i="5"/>
  <c r="C38" i="5"/>
  <c r="C74" i="5"/>
  <c r="J215" i="7"/>
  <c r="G226" i="7"/>
  <c r="J226" i="7" s="1"/>
  <c r="C104" i="5"/>
  <c r="C93" i="5"/>
  <c r="C28" i="5"/>
  <c r="J217" i="7"/>
  <c r="C110" i="5"/>
  <c r="C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4" i="5"/>
  <c r="C106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20" i="5"/>
  <c r="C134" i="5"/>
  <c r="C76" i="5"/>
  <c r="C71" i="5"/>
  <c r="C72" i="5"/>
  <c r="C126" i="5"/>
  <c r="C128" i="5"/>
  <c r="C131" i="5"/>
  <c r="C42" i="5"/>
  <c r="C3" i="5"/>
  <c r="C92" i="5"/>
  <c r="C54" i="5"/>
  <c r="C23" i="5"/>
  <c r="C118" i="5"/>
  <c r="C79" i="5"/>
  <c r="C46" i="5"/>
  <c r="C115" i="5"/>
  <c r="C123" i="5"/>
  <c r="C81" i="5"/>
  <c r="C84" i="5"/>
  <c r="C12" i="5"/>
  <c r="C25" i="5"/>
  <c r="C40" i="5"/>
  <c r="C99" i="5"/>
  <c r="C87" i="5"/>
  <c r="C45" i="5"/>
  <c r="GN164" i="3"/>
  <c r="GF164" i="3"/>
  <c r="FX164" i="3"/>
  <c r="FP164" i="3"/>
  <c r="HB164" i="3"/>
  <c r="A52" i="7"/>
  <c r="C46" i="7" s="1"/>
  <c r="C91" i="5"/>
  <c r="C10" i="5"/>
  <c r="C114" i="5"/>
  <c r="C16" i="5"/>
  <c r="C35" i="5"/>
  <c r="C80" i="5"/>
  <c r="GU140" i="5"/>
  <c r="C69" i="5"/>
  <c r="C113" i="5"/>
  <c r="C60" i="5"/>
  <c r="C68" i="5"/>
  <c r="C96" i="5"/>
  <c r="A35" i="7"/>
  <c r="A120" i="7"/>
  <c r="C64" i="5"/>
  <c r="A40" i="7"/>
  <c r="GA140" i="5"/>
  <c r="A39" i="7"/>
  <c r="C124" i="5"/>
  <c r="C132" i="5"/>
  <c r="A38" i="7"/>
  <c r="A37" i="7"/>
  <c r="C103" i="5"/>
  <c r="C86" i="5"/>
  <c r="C50" i="5"/>
  <c r="A31" i="7"/>
  <c r="C29" i="7" s="1"/>
  <c r="A36" i="7"/>
  <c r="A41" i="7"/>
  <c r="C4" i="5"/>
  <c r="C107" i="5"/>
  <c r="C135" i="5"/>
  <c r="C27" i="5"/>
  <c r="C125" i="5"/>
  <c r="C57" i="5"/>
  <c r="C77" i="5"/>
  <c r="GG164" i="3"/>
  <c r="DK268" i="1"/>
  <c r="C58" i="5"/>
  <c r="C116" i="5"/>
  <c r="C55" i="5"/>
  <c r="C21" i="5"/>
  <c r="C75" i="5"/>
  <c r="C102" i="5"/>
  <c r="C129" i="5"/>
  <c r="C32" i="5"/>
  <c r="C34" i="5"/>
  <c r="C119" i="5"/>
  <c r="C31" i="5"/>
  <c r="C89" i="5"/>
  <c r="C67" i="5"/>
  <c r="C26" i="5"/>
  <c r="C56" i="5"/>
  <c r="C127" i="5"/>
  <c r="C105" i="5"/>
  <c r="C62" i="5"/>
  <c r="C61" i="5"/>
  <c r="C47" i="5"/>
  <c r="C117" i="5"/>
  <c r="C59" i="5"/>
  <c r="C51" i="5"/>
  <c r="C101" i="5"/>
  <c r="C9" i="5"/>
  <c r="C17" i="5"/>
  <c r="C111" i="5"/>
  <c r="C120" i="5"/>
  <c r="C90" i="5"/>
  <c r="C83" i="5"/>
  <c r="A121" i="7"/>
  <c r="C70" i="5"/>
  <c r="A122" i="7"/>
  <c r="C108" i="5"/>
  <c r="C49" i="5"/>
  <c r="C18" i="5"/>
  <c r="C53" i="5"/>
  <c r="C78" i="5"/>
  <c r="C109" i="5"/>
  <c r="A117" i="7"/>
  <c r="C14" i="5"/>
  <c r="C39" i="5"/>
  <c r="C52" i="5"/>
  <c r="C37" i="5"/>
  <c r="C65" i="5"/>
  <c r="C85" i="5"/>
  <c r="C22" i="5"/>
  <c r="C88" i="5"/>
  <c r="C97" i="5"/>
  <c r="C48" i="5"/>
  <c r="C73" i="5"/>
  <c r="C13" i="5"/>
  <c r="C112" i="5"/>
  <c r="C7" i="5"/>
  <c r="C36" i="5"/>
  <c r="C43" i="5"/>
  <c r="A77" i="7"/>
  <c r="A82" i="7"/>
  <c r="A80" i="7"/>
  <c r="A79" i="7"/>
  <c r="A78" i="7"/>
  <c r="HD140" i="5"/>
  <c r="HG140" i="5"/>
  <c r="HI140" i="5"/>
  <c r="GF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E140" i="5"/>
  <c r="P140" i="5"/>
  <c r="AG140" i="5"/>
  <c r="HC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193" i="8" l="1"/>
  <c r="K193" i="8"/>
  <c r="H194" i="8"/>
  <c r="I194" i="8"/>
  <c r="I195" i="8" s="1"/>
  <c r="H195" i="8"/>
  <c r="K195" i="8"/>
  <c r="K194" i="8"/>
  <c r="J193" i="8"/>
  <c r="I193" i="8"/>
  <c r="J194" i="8"/>
  <c r="J195" i="8" s="1"/>
  <c r="F194" i="8"/>
  <c r="G194" i="8"/>
  <c r="M497" i="7"/>
  <c r="G327" i="7"/>
  <c r="M214" i="7"/>
  <c r="G177" i="7"/>
  <c r="F48" i="8"/>
  <c r="G139" i="7"/>
  <c r="M498" i="7"/>
  <c r="G328" i="7"/>
  <c r="M215" i="7"/>
  <c r="G178" i="7"/>
  <c r="F47" i="8"/>
  <c r="ES142" i="5"/>
  <c r="EJ142" i="5"/>
  <c r="EK142" i="5"/>
  <c r="ER142" i="5"/>
  <c r="EI142" i="5"/>
  <c r="EQ142" i="5"/>
  <c r="EH142" i="5"/>
  <c r="EP142" i="5"/>
  <c r="EF142" i="5"/>
  <c r="EL142" i="5" s="1"/>
  <c r="EM142" i="5"/>
  <c r="EO142" i="5"/>
  <c r="EG142" i="5"/>
  <c r="EN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M496" i="7" l="1"/>
  <c r="G326" i="7"/>
  <c r="M213" i="7"/>
  <c r="G176" i="7"/>
  <c r="F49" i="8"/>
  <c r="ET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D406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260" i="7" l="1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<sst xmlns="http://schemas.openxmlformats.org/spreadsheetml/2006/main" count="27513" uniqueCount="2474">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</sst>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NumberFormat="1"/>
    <xf numFmtId="168" fontId="0" fillId="0" borderId="0" xfId="0" applyNumberFormat="1"/>
    <xf numFmtId="1" fontId="7" fillId="0" borderId="0" xfId="0" applyNumberFormat="1" applyFon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43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71">
      <pivotArea type="all" dataOnly="0" outline="0" fieldPosition="0"/>
    </format>
    <format dxfId="470">
      <pivotArea outline="0" collapsedLevelsAreSubtotals="1" fieldPosition="0"/>
    </format>
    <format dxfId="469">
      <pivotArea field="105" type="button" dataOnly="0" labelOnly="1" outline="0" axis="axisRow" fieldPosition="0"/>
    </format>
    <format dxfId="468">
      <pivotArea dataOnly="0" labelOnly="1" fieldPosition="0">
        <references count="1">
          <reference field="105" count="0"/>
        </references>
      </pivotArea>
    </format>
    <format dxfId="467">
      <pivotArea dataOnly="0" labelOnly="1" grandRow="1" outline="0" fieldPosition="0"/>
    </format>
    <format dxfId="46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77">
      <pivotArea type="all" dataOnly="0" outline="0" fieldPosition="0"/>
    </format>
    <format dxfId="476">
      <pivotArea outline="0" collapsedLevelsAreSubtotals="1" fieldPosition="0"/>
    </format>
    <format dxfId="475">
      <pivotArea field="170" type="button" dataOnly="0" labelOnly="1" outline="0" axis="axisRow" fieldPosition="0"/>
    </format>
    <format dxfId="474">
      <pivotArea dataOnly="0" labelOnly="1" fieldPosition="0">
        <references count="1">
          <reference field="170" count="0"/>
        </references>
      </pivotArea>
    </format>
    <format dxfId="473">
      <pivotArea dataOnly="0" labelOnly="1" grandRow="1" outline="0" fieldPosition="0"/>
    </format>
    <format dxfId="47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82">
      <pivotArea type="all" dataOnly="0" outline="0" fieldPosition="0"/>
    </format>
    <format dxfId="481">
      <pivotArea outline="0" collapsedLevelsAreSubtotals="1" fieldPosition="0"/>
    </format>
    <format dxfId="480">
      <pivotArea field="49" type="button" dataOnly="0" labelOnly="1" outline="0" axis="axisRow" fieldPosition="0"/>
    </format>
    <format dxfId="479">
      <pivotArea dataOnly="0" labelOnly="1" grandRow="1" outline="0" fieldPosition="0"/>
    </format>
    <format dxfId="47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88">
      <pivotArea type="all" dataOnly="0" outline="0" fieldPosition="0"/>
    </format>
    <format dxfId="487">
      <pivotArea outline="0" collapsedLevelsAreSubtotals="1" fieldPosition="0"/>
    </format>
    <format dxfId="486">
      <pivotArea field="115" type="button" dataOnly="0" labelOnly="1" outline="0" axis="axisRow" fieldPosition="0"/>
    </format>
    <format dxfId="485">
      <pivotArea dataOnly="0" labelOnly="1" fieldPosition="0">
        <references count="1">
          <reference field="115" count="0"/>
        </references>
      </pivotArea>
    </format>
    <format dxfId="484">
      <pivotArea dataOnly="0" labelOnly="1" grandRow="1" outline="0" fieldPosition="0"/>
    </format>
    <format dxfId="48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94">
      <pivotArea type="all" dataOnly="0" outline="0" fieldPosition="0"/>
    </format>
    <format dxfId="493">
      <pivotArea outline="0" collapsedLevelsAreSubtotals="1" fieldPosition="0"/>
    </format>
    <format dxfId="492">
      <pivotArea field="31" type="button" dataOnly="0" labelOnly="1" outline="0" axis="axisRow" fieldPosition="0"/>
    </format>
    <format dxfId="491">
      <pivotArea dataOnly="0" labelOnly="1" fieldPosition="0">
        <references count="1">
          <reference field="31" count="0"/>
        </references>
      </pivotArea>
    </format>
    <format dxfId="490">
      <pivotArea dataOnly="0" labelOnly="1" grandRow="1" outline="0" fieldPosition="0"/>
    </format>
    <format dxfId="48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500">
      <pivotArea type="all" dataOnly="0" outline="0" fieldPosition="0"/>
    </format>
    <format dxfId="499">
      <pivotArea outline="0" collapsedLevelsAreSubtotals="1" fieldPosition="0"/>
    </format>
    <format dxfId="498">
      <pivotArea field="15" type="button" dataOnly="0" labelOnly="1" outline="0" axis="axisRow" fieldPosition="0"/>
    </format>
    <format dxfId="497">
      <pivotArea dataOnly="0" labelOnly="1" fieldPosition="0">
        <references count="1">
          <reference field="15" count="0"/>
        </references>
      </pivotArea>
    </format>
    <format dxfId="496">
      <pivotArea dataOnly="0" labelOnly="1" grandRow="1" outline="0" fieldPosition="0"/>
    </format>
    <format dxfId="49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506">
      <pivotArea type="all" dataOnly="0" outline="0" fieldPosition="0"/>
    </format>
    <format dxfId="505">
      <pivotArea outline="0" collapsedLevelsAreSubtotals="1" fieldPosition="0"/>
    </format>
    <format dxfId="504">
      <pivotArea field="95" type="button" dataOnly="0" labelOnly="1" outline="0" axis="axisRow" fieldPosition="0"/>
    </format>
    <format dxfId="503">
      <pivotArea dataOnly="0" labelOnly="1" fieldPosition="0">
        <references count="1">
          <reference field="95" count="0"/>
        </references>
      </pivotArea>
    </format>
    <format dxfId="502">
      <pivotArea dataOnly="0" labelOnly="1" grandRow="1" outline="0" fieldPosition="0"/>
    </format>
    <format dxfId="50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512">
      <pivotArea type="all" dataOnly="0" outline="0" fieldPosition="0"/>
    </format>
    <format dxfId="511">
      <pivotArea outline="0" collapsedLevelsAreSubtotals="1" fieldPosition="0"/>
    </format>
    <format dxfId="510">
      <pivotArea field="49" type="button" dataOnly="0" labelOnly="1" outline="0" axis="axisRow" fieldPosition="0"/>
    </format>
    <format dxfId="509">
      <pivotArea dataOnly="0" labelOnly="1" fieldPosition="0">
        <references count="1">
          <reference field="49" count="0"/>
        </references>
      </pivotArea>
    </format>
    <format dxfId="508">
      <pivotArea dataOnly="0" labelOnly="1" grandRow="1" outline="0" fieldPosition="0"/>
    </format>
    <format dxfId="50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518">
      <pivotArea type="all" dataOnly="0" outline="0" fieldPosition="0"/>
    </format>
    <format dxfId="517">
      <pivotArea outline="0" collapsedLevelsAreSubtotals="1" fieldPosition="0"/>
    </format>
    <format dxfId="516">
      <pivotArea field="144" type="button" dataOnly="0" labelOnly="1" outline="0" axis="axisRow" fieldPosition="0"/>
    </format>
    <format dxfId="515">
      <pivotArea dataOnly="0" labelOnly="1" fieldPosition="0">
        <references count="1">
          <reference field="144" count="0"/>
        </references>
      </pivotArea>
    </format>
    <format dxfId="514">
      <pivotArea dataOnly="0" labelOnly="1" grandRow="1" outline="0" fieldPosition="0"/>
    </format>
    <format dxfId="51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3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G784" totalsRowCount="1">
  <autoFilter ref="B663:G783" xr:uid="{594EB69A-80B8-493B-8549-F8580517F910}"/>
  <sortState xmlns:xlrd2="http://schemas.microsoft.com/office/spreadsheetml/2017/richdata2" ref="B664:G783">
    <sortCondition ref="C663:C783"/>
  </sortState>
  <tableColumns count="6">
    <tableColumn id="1" xr3:uid="{36D59C95-8F2D-4012-85B6-797E80865960}" name="CzyUczelniaTechniczna"/>
    <tableColumn id="7" xr3:uid="{63D78DE8-D0E5-4644-B25C-1ADB5FF064CB}" name="Zatrudnienie w 1 roku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9" totalsRowDxfId="0">
      <calculatedColumnFormula>IF(AbsDoKorelacji[[#This Row],[CzyUczelniaTechniczna]]="Techniczna",1,0)</calculatedColumnFormula>
    </tableColumn>
    <tableColumn id="2" xr3:uid="{94812348-4E7A-4202-A2D3-5963D89B1CEA}" name="Wartości_po1roku"/>
    <tableColumn id="4" xr3:uid="{A0309F08-BA8A-4AFD-8E90-9AE52B0C697D}" name="Wartości_po3latac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M136" totalsRowCount="1">
  <autoFilter ref="A2:HM135" xr:uid="{BC01C17C-E729-4430-9A94-BDF77386BAED}">
    <filterColumn colId="32">
      <filters>
        <filter val="Tak (kontynuowanie badania absolwentów)"/>
      </filters>
    </filterColumn>
  </autoFilter>
  <sortState xmlns:xlrd2="http://schemas.microsoft.com/office/spreadsheetml/2017/richdata2" ref="A3:HM135">
    <sortCondition ref="B2:B135"/>
  </sortState>
  <tableColumns count="221">
    <tableColumn id="1" xr3:uid="{37199E79-F22A-49C0-B1C3-8001D68B6905}" name="Lp."/>
    <tableColumn id="214" xr3:uid="{15F16F1A-B79B-4E98-AC9F-5DC850A3D9F6}" name="ID_zakończone" dataDxfId="542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41">
      <calculatedColumnFormula>COUNTA(P3:HM3)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109">
      <totalsRowFormula>COUNTA((P3:P135))</totalsRowFormula>
    </tableColumn>
    <tableColumn id="14" xr3:uid="{A75D7BB0-BDD4-4F9E-BFE1-A35FFDAA2A35}" name="Czy jesteś studentem uczelni wyższej?" totalsRowFunction="custom" dataDxfId="540" totalsRowDxfId="108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107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106">
      <totalsRowFormula>COUNTA((S3:S135))</totalsRowFormula>
    </tableColumn>
    <tableColumn id="17" xr3:uid="{C6F68B54-181D-4E6B-90DE-3758AC28643F}" name="Jak się nazywa kierunek, na którym studiujesz?" totalsRowFunction="custom" totalsRowDxfId="105">
      <totalsRowFormula>COUNTA((T3:T135))</totalsRowFormula>
    </tableColumn>
    <tableColumn id="18" xr3:uid="{4009F8D5-0845-4794-BD7B-DEDD90E1035F}" name="Moja satysfakcja z usług edukacyjnych ocenianej uczelni jest wysoka." totalsRowFunction="custom" totalsRowDxfId="104">
      <totalsRowFormula>COUNTA((U3:U135))</totalsRowFormula>
    </tableColumn>
    <tableColumn id="19" xr3:uid="{9C33E588-FD6F-4756-A796-19608D8E5787}" name="Usługi edukacyjne ocenianej uczelni mają wysoką wartość (okazja / szansa rozwoju własnego lub kariery)." totalsRowFunction="custom" totalsRowDxfId="103">
      <totalsRowFormula>COUNTA((V3:V135))</totalsRowFormula>
    </tableColumn>
    <tableColumn id="20" xr3:uid="{AD29E10C-3B61-4AC3-9DB6-E5592E85F54D}" name="Kształcenie na ocenianej uczelni ma/będzie miało pozytywny wpływ na zwiększenie moich zarobków." totalsRowFunction="custom" totalsRowDxfId="102">
      <totalsRowFormula>COUNTA((W3:W135))</totalsRowFormula>
    </tableColumn>
    <tableColumn id="21" xr3:uid="{29A03634-DD01-47E7-9082-570B2CBA75AC}" name="Kolumna1" totalsRowFunction="custom" totalsRowDxfId="101">
      <totalsRowFormula>COUNTA((X3:X135))</totalsRowFormula>
    </tableColumn>
    <tableColumn id="22" xr3:uid="{E3063293-8C09-4AD3-970A-FC723899E602}" name="w pierwszym roku po ukończeniu studiów : wybierz wartość z listy rozwijanej" totalsRowFunction="custom" totalsRowDxfId="100">
      <totalsRowFormula>COUNTA((Y3:Y135))</totalsRowFormula>
    </tableColumn>
    <tableColumn id="23" xr3:uid="{62967F23-9856-4DFD-AADC-42AC36B2CDB1}" name="w 3 lata po ukończeniu studiów : wybierz wartość z listy rozwijanej" totalsRowFunction="custom" totalsRowDxfId="99">
      <totalsRowFormula>COUNTA((Z3:Z135))</totalsRowFormula>
    </tableColumn>
    <tableColumn id="24" xr3:uid="{574DBE71-FF3A-4DA1-A563-EECF8E03B030}" name="Jakich innych (poza zarobkami) efektów kształcenia na ocenianej uczelni się spodziewasz?" totalsRowFunction="custom" totalsRowDxfId="98">
      <totalsRowFormula>COUNTA((AA3:AA135))</totalsRowFormula>
    </tableColumn>
    <tableColumn id="25" xr3:uid="{70C7E301-ECA2-4DF8-B78C-6550E2B616A1}" name="Jakie elementy lub cechy sprawiały, że Tobie studiowało się dobrze?" totalsRowFunction="custom" totalsRowDxfId="97">
      <totalsRowFormula>COUNTA((AB3:AB135))</totalsRowFormula>
    </tableColumn>
    <tableColumn id="26" xr3:uid="{86CB3A73-27F1-4FCF-B9E3-8D590DC2DB33}" name="Jakie elementy lub cechy sprawiały, że Tobie studiowało się źle?" totalsRowFunction="custom" totalsRowDxfId="96">
      <totalsRowFormula>COUNTA((AC3:AC135))</totalsRowFormula>
    </tableColumn>
    <tableColumn id="27" xr3:uid="{8DCB6BDF-C860-4D73-8953-D14EF0C8F0AA}" name="Jakiego rodzaju są Twoje studia?" totalsRowFunction="custom" totalsRowDxfId="95">
      <totalsRowFormula>COUNTA((AD3:AD135))</totalsRowFormula>
    </tableColumn>
    <tableColumn id="28" xr3:uid="{F292FE47-988D-4A95-932D-2E3B34B7BF0B}" name="Pole dodatkowe" totalsRowFunction="custom" totalsRowDxfId="94">
      <totalsRowFormula>COUNTA((AE3:AE135))</totalsRowFormula>
    </tableColumn>
    <tableColumn id="29" xr3:uid="{4225184D-873A-4CF3-B8D1-575C3D6A2435}" name="Na którym semestrze studiujesz obecnie?" totalsRowFunction="custom" totalsRowDxfId="93">
      <totalsRowFormula>COUNTA((AF3:AF135))</totalsRowFormula>
    </tableColumn>
    <tableColumn id="30" xr3:uid="{41979390-06F4-463C-ADB5-F98E8C311CBA}" name="Czy jesteś absolwentem uczelni wyższej?" totalsRowFunction="custom" dataDxfId="539" totalsRowDxfId="92">
      <totalsRowFormula>COUNTA((AG3:AG135))</totalsRowFormula>
    </tableColumn>
    <tableColumn id="31" xr3:uid="{BBF7434D-D66B-496B-B17B-27248613CC58}" name="Jak się nazywa uczelnia którą ukończyłeś? (proszę o wybranie jednej uczelni podlegającej ocenie)" totalsRowFunction="custom" totalsRowDxfId="91">
      <totalsRowFormula>COUNTA((AH3:AH135))</totalsRowFormula>
    </tableColumn>
    <tableColumn id="216" xr3:uid="{72DEEBC7-088A-46A4-9999-AE96ED74030A}" name="KategoriaUczelni" dataDxfId="538" totalsRowDxfId="90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117" totalsRowDxfId="89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116" totalsRowDxfId="88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87">
      <totalsRowFormula>COUNTA((AL3:AL135))</totalsRowFormula>
    </tableColumn>
    <tableColumn id="33" xr3:uid="{AE05B081-E180-4E09-9192-4F27CE79F7EB}" name="Czy ukończony kierunek był kierunkiem technicznym, tzn. takim, po którym uzyskałaś/eś tytuł inżyniera?" totalsRowFunction="custom" totalsRowDxfId="86">
      <totalsRowFormula>COUNTA((AM3:AM135))</totalsRowFormula>
    </tableColumn>
    <tableColumn id="34" xr3:uid="{B85DD2EE-D5F2-46D3-9E33-DA992576E185}" name="Jak się nazywa kierunek, który ukończyłaś/eś?" totalsRowFunction="custom" totalsRowDxfId="85">
      <totalsRowFormula>COUNTA((AN3:AN135))</totalsRowFormula>
    </tableColumn>
    <tableColumn id="35" xr3:uid="{4CC44F8F-616F-4095-99F6-60AF14EEC568}" name="Moja satysfakcja z (efektów) usług edukacyjnych ocenianej uczelni jest wysoka." totalsRowFunction="custom" totalsRowDxfId="84">
      <totalsRowFormula>COUNTA((AO3:AO135))</totalsRowFormula>
    </tableColumn>
    <tableColumn id="36" xr3:uid="{1C6D88CF-332B-4752-A729-93BFDD454B5A}" name="Usługi edukacyjne ocenianej uczelni mają wysoką wartość (okazja / szansa rozwoju własnego lub kariery).3" totalsRowFunction="custom" totalsRowDxfId="83">
      <totalsRowFormula>COUNTA((AP3:AP135))</totalsRowFormula>
    </tableColumn>
    <tableColumn id="37" xr3:uid="{44EB38FB-B9C9-46B4-B0FB-9985D53C385D}" name="Kształcenie na ocenianej uczelni ma/miało pozytywny wpływ na zwiększenie moich zarobków." totalsRowFunction="custom" totalsRowDxfId="82">
      <totalsRowFormula>COUNTA((AQ3:AQ135))</totalsRowFormula>
    </tableColumn>
    <tableColumn id="38" xr3:uid="{34BE9A51-E55F-4AE8-87A0-FBEC63D51E8F}" name="Moje zarobki w pierwszym roku po ukończeniu studiów były satysfakcjonujące." totalsRowFunction="custom" totalsRowDxfId="81">
      <totalsRowFormula>COUNTA((AR3:AR135))</totalsRowFormula>
    </tableColumn>
    <tableColumn id="39" xr3:uid="{4033761C-CB95-4451-B0C4-2ABCB2769F7E}" name="Moje zarobki po 3. latach po ukończeniu studiów były satysfakcjonujące." totalsRowFunction="custom" totalsRowDxfId="80">
      <totalsRowFormula>COUNTA((AS3:AS135))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79">
      <totalsRowFormula>COUNTA((AT3:AT135))</totalsRowFormula>
    </tableColumn>
    <tableColumn id="41" xr3:uid="{25DB6FAA-8A3B-408B-9262-5EDE22E06BA2}" name="w pierwszym roku po ukończeniu studiów : wybierz wartość z listy rozwijanej4" totalsRowFunction="custom" totalsRowDxfId="78">
      <totalsRowFormula>COUNTA((AU3:AU135))</totalsRowFormula>
    </tableColumn>
    <tableColumn id="220" xr3:uid="{54692C01-1A8E-48C6-834D-1A017E52E260}" name="Wartości_po1roku" dataDxfId="110" totalsRowDxfId="77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76">
      <totalsRowFormula>COUNTA((AW3:AW135))</totalsRowFormula>
    </tableColumn>
    <tableColumn id="221" xr3:uid="{B0D9CA2D-728F-4121-B4FD-C2576FA19644}" name="Wartości_po3latach" dataDxfId="10" totalsRowDxfId="75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74">
      <totalsRowFormula>COUNTA((AY3:AY135))</totalsRowFormula>
    </tableColumn>
    <tableColumn id="44" xr3:uid="{6B48263B-8F26-4FBA-9F9A-424993C5E3ED}" name="Co wpływało na twoją satysfakcję ze studiowania?_x000a_" totalsRowFunction="custom" totalsRowDxfId="73">
      <totalsRowFormula>COUNTA((AZ3:AZ135))</totalsRowFormula>
    </tableColumn>
    <tableColumn id="45" xr3:uid="{52ED1FC9-CD2D-42A5-B204-567F0483F099}" name="Kolumna6" totalsRowFunction="custom" totalsRowDxfId="72">
      <totalsRowFormula>COUNTA((BA3:BA135))</totalsRowFormula>
    </tableColumn>
    <tableColumn id="46" xr3:uid="{3D74590B-7E93-443E-BE1C-FD99ECE16017}" name="Jakiego rodzaju były Twoje studia?" totalsRowFunction="custom" totalsRowDxfId="71">
      <totalsRowFormula>COUNTA((BB3:BB135))</totalsRowFormula>
    </tableColumn>
    <tableColumn id="47" xr3:uid="{E8CA34F5-D9E4-418D-8BF9-050444C4061E}" name="Pole dodatkowe7" totalsRowFunction="custom" totalsRowDxfId="70">
      <totalsRowFormula>COUNTA((BC3:BC135))</totalsRowFormula>
    </tableColumn>
    <tableColumn id="48" xr3:uid="{A48EA897-6002-486C-94A2-3071DE7EB5AD}" name="Czy jesteś rodzicem / opiekunem absolwenta uczelni wyższej?" totalsRowFunction="custom" dataDxfId="537" totalsRowDxfId="69">
      <totalsRowFormula>COUNTA((BD3:BD135))</totalsRowFormula>
    </tableColumn>
    <tableColumn id="49" xr3:uid="{FEE5A281-6D4B-4D31-93CD-509A968E7773}" name="Uczelnie ilu podopiecznych będziesz oceniać?" totalsRowFunction="custom" totalsRowDxfId="68">
      <totalsRowFormula>COUNTA((BE3:BE135))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67">
      <totalsRowFormula>COUNTA((BF3:BF135))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66">
      <totalsRowFormula>COUNTA((BG3:BG135))</totalsRowFormula>
    </tableColumn>
    <tableColumn id="52" xr3:uid="{2D5E47C8-051A-480B-B96D-83E7709F1700}" name="Czy ukończony kierunek był kierunkiem technicznym, tzn. takim, po którym uzyskano tytuł inżyniera?" totalsRowFunction="custom" totalsRowDxfId="65">
      <totalsRowFormula>COUNTA((BH3:BH135))</totalsRowFormula>
    </tableColumn>
    <tableColumn id="53" xr3:uid="{D51D9DD7-878A-415B-B2F8-02F53EBFA22A}" name="Jak się nazywa kierunek, który ukończył/a Twoja/Twój podopieczna/podopieczny?" totalsRowFunction="custom" totalsRowDxfId="64">
      <totalsRowFormula>COUNTA((BI3:BI135))</totalsRowFormula>
    </tableColumn>
    <tableColumn id="54" xr3:uid="{D3DB1C46-F931-4289-86D2-779EC4340002}" name="Moja satysfakcja z (efektów) usług edukacyjnych ocenianej uczelni jest wysoka.8" totalsRowFunction="custom" totalsRowDxfId="63">
      <totalsRowFormula>COUNTA((BJ3:BJ135))</totalsRowFormula>
    </tableColumn>
    <tableColumn id="55" xr3:uid="{FC532F03-86AD-4521-9C9D-42FA860A53FB}" name="Usługi edukacyjne ocenianej uczelni mają wysoką wartość (okazja / szansa rozwoju własnego lub kariery).9" totalsRowFunction="custom" totalsRowDxfId="62">
      <totalsRowFormula>COUNTA((BK3:BK135))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61">
      <totalsRowFormula>COUNTA((BL3:BL135))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60">
      <totalsRowFormula>COUNTA((BM3:BM135))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59">
      <totalsRowFormula>COUNTA((BN3:BN135))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58">
      <totalsRowFormula>COUNTA((BO3:BO135))</totalsRowFormula>
    </tableColumn>
    <tableColumn id="60" xr3:uid="{847514F8-F661-4B2D-88BE-10ABFD806894}" name="Jakie inne (poza zarobkami) efekty kształcenia na ocenianej uczelni się dostrzegasz obecnie?" totalsRowFunction="custom" totalsRowDxfId="57">
      <totalsRowFormula>COUNTA((BP3:BP135))</totalsRowFormula>
    </tableColumn>
    <tableColumn id="61" xr3:uid="{8B4485AE-C106-41C7-89AC-D28DBDA4C166}" name="Jakiego rodzaju były studia, które ukończył/a Twoja/Twój podopieczna/podopieczny?" totalsRowFunction="custom" totalsRowDxfId="56">
      <totalsRowFormula>COUNTA((BQ3:BQ135))</totalsRowFormula>
    </tableColumn>
    <tableColumn id="62" xr3:uid="{F0DE0B1C-928B-4581-8D63-11188CD95233}" name="Pole dodatkowe10" totalsRowFunction="custom" totalsRowDxfId="55">
      <totalsRowFormula>COUNTA((BR3:BR135))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54">
      <totalsRowFormula>COUNTA((BS3:BS135))</totalsRowFormula>
    </tableColumn>
    <tableColumn id="64" xr3:uid="{08619068-F1EA-4298-AAE7-77A34A620074}" name="Czy będziesz oceniał uczelnię ukończoną przez drugiego podopiecznego?" totalsRowFunction="custom" totalsRowDxfId="53">
      <totalsRowFormula>COUNTA((BT3:BT135))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52">
      <totalsRowFormula>COUNTA((BU3:BU135))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51">
      <totalsRowFormula>COUNTA((BV3:BV135))</totalsRowFormula>
    </tableColumn>
    <tableColumn id="67" xr3:uid="{1C6ADC27-9F30-4227-81CE-3C15A0D6C10C}" name="Czy ukończony kierunek był kierunkiem technicznym, tzn. takim, po którym uzyskano tytuł inżyniera?13" totalsRowFunction="custom" totalsRowDxfId="50">
      <totalsRowFormula>COUNTA((BW3:BW135))</totalsRowFormula>
    </tableColumn>
    <tableColumn id="68" xr3:uid="{94C8B518-4547-40DD-AC32-B5C834F0511E}" name="Jak się nazywa kierunek, który ukończył/a Twoja/Twój podopieczna/podopieczny?14" totalsRowFunction="custom" totalsRowDxfId="49">
      <totalsRowFormula>COUNTA((BX3:BX135))</totalsRowFormula>
    </tableColumn>
    <tableColumn id="69" xr3:uid="{00BE12AC-CBE0-47D5-8BEF-A62C47DFED23}" name="Moja satysfakcja z (efektów) usług edukacyjnych ocenianej uczelni jest wysoka.15" totalsRowFunction="custom" totalsRowDxfId="48">
      <totalsRowFormula>COUNTA((BY3:BY135))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">
      <totalsRowFormula>COUNTA((BZ3:BZ135))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6">
      <totalsRowFormula>COUNTA((CA3:CA135))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">
      <totalsRowFormula>COUNTA((CB3:CB135))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">
      <totalsRowFormula>COUNTA((CC3:CC135))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3">
      <totalsRowFormula>COUNTA((CD3:CD135))</totalsRowFormula>
    </tableColumn>
    <tableColumn id="75" xr3:uid="{54EF7743-0CB2-446D-9665-46C77C464F05}" name="Jakie inne (poza zarobkami) efekty kształcenia na ocenianej uczelni się dostrzegasz obecnie?21" totalsRowFunction="custom" totalsRowDxfId="42">
      <totalsRowFormula>COUNTA((CE3:CE135))</totalsRowFormula>
    </tableColumn>
    <tableColumn id="76" xr3:uid="{BE93B27C-1906-4695-BEC1-231FA6883C68}" name="Jakiego rodzaju były studia, które ukończył/a Twoja/Twój podopieczna/podopieczny?22" totalsRowFunction="custom" totalsRowDxfId="41">
      <totalsRowFormula>COUNTA((CF3:CF135))</totalsRowFormula>
    </tableColumn>
    <tableColumn id="77" xr3:uid="{C2670D09-B14E-48CE-8D3B-FD4F08474C2E}" name="Pole dodatkowe23" totalsRowFunction="custom" totalsRowDxfId="40">
      <totalsRowFormula>COUNTA((CG3:CG135))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9">
      <totalsRowFormula>COUNTA((CH3:CH135))</totalsRowFormula>
    </tableColumn>
    <tableColumn id="79" xr3:uid="{E97ECC9E-9FF4-4C29-9ADE-07B0EFB1798E}" name="Czy będziesz oceniał uczelnię ukończoną przez trzeciego podopiecznego?" totalsRowFunction="custom" totalsRowDxfId="38">
      <totalsRowFormula>COUNTA((CI3:CI135))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37">
      <totalsRowFormula>COUNTA((CJ3:CJ135))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36">
      <totalsRowFormula>COUNTA((CK3:CK135))</totalsRowFormula>
    </tableColumn>
    <tableColumn id="82" xr3:uid="{E402E02B-32F9-4918-AC52-1E2746EFF732}" name="Czy ukończony kierunek był kierunkiem technicznym, tzn. takim, po którym uzyskano tytuł inżyniera?27" totalsRowFunction="custom" totalsRowDxfId="35">
      <totalsRowFormula>COUNTA((CL3:CL135))</totalsRowFormula>
    </tableColumn>
    <tableColumn id="83" xr3:uid="{366FF8BB-67D0-4A1D-9E42-1C25C26E69CE}" name="Jak się nazywa kierunek, który ukończył/a Twoja/Twój podopieczna/podopieczny?28" totalsRowFunction="custom" totalsRowDxfId="34">
      <totalsRowFormula>COUNTA((CM3:CM135))</totalsRowFormula>
    </tableColumn>
    <tableColumn id="84" xr3:uid="{32321BD9-57CD-47D0-BD7D-B2AFCC1C3078}" name="Moja satysfakcja z (efektów) usług edukacyjnych ocenianej uczelni jest wysoka.29" totalsRowFunction="custom" totalsRowDxfId="33">
      <totalsRowFormula>COUNTA((CN3:CN135))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32">
      <totalsRowFormula>COUNTA((CO3:CO135))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31">
      <totalsRowFormula>COUNTA((CP3:CP135))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30">
      <totalsRowFormula>COUNTA((CQ3:CQ135))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29">
      <totalsRowFormula>COUNTA((CR3:CR135))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8">
      <totalsRowFormula>COUNTA((CS3:CS135))</totalsRowFormula>
    </tableColumn>
    <tableColumn id="90" xr3:uid="{5F53B8F1-FD09-4B74-AA23-7EDED9615A73}" name="Jakie inne (poza zarobkami) efekty kształcenia na ocenianej uczelni się dostrzegasz obecnie?35" totalsRowFunction="custom" totalsRowDxfId="27">
      <totalsRowFormula>COUNTA((CT3:CT135))</totalsRowFormula>
    </tableColumn>
    <tableColumn id="91" xr3:uid="{0049B607-BD4D-49EA-B5EE-E8E785ACDC34}" name="Jakiego rodzaju były studia, które ukończył/a Twoja/Twój podopieczna/podopieczny?36" totalsRowFunction="custom" totalsRowDxfId="26">
      <totalsRowFormula>COUNTA((CU3:CU135))</totalsRowFormula>
    </tableColumn>
    <tableColumn id="92" xr3:uid="{86B9680A-4D70-4DFA-8189-827F813E4B73}" name="Pole dodatkowe37" totalsRowFunction="custom" totalsRowDxfId="25">
      <totalsRowFormula>COUNTA((CV3:CV135))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24">
      <totalsRowFormula>COUNTA((CW3:CW135))</totalsRowFormula>
    </tableColumn>
    <tableColumn id="94" xr3:uid="{BA461F2C-93E1-4AB3-B06B-BCD05B9B9AA2}" name="Czy jesteś aktualnie pracownikiem administracyjnym uczelni wyższej?" totalsRowFunction="custom" dataDxfId="536" totalsRowDxfId="23">
      <totalsRowFormula>COUNTA((CX3:CX135))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535" totalsRowDxfId="22">
      <totalsRowFormula>COUNTA((DH3:DH135))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534" totalsRowDxfId="21">
      <totalsRowFormula>COUNTA((DR3:DR135))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533" totalsRowDxfId="20">
      <totalsRowFormula>COUNTA((EU3:EU135))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532" totalsRowDxfId="19">
      <totalsRowFormula>COUNTA((FU3:FU135))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18">
      <totalsRowFormula>COUNTA((HF3:HF135))</totalsRowFormula>
    </tableColumn>
    <tableColumn id="207" xr3:uid="{2B31368C-8BB4-45F5-A368-4A4E1AFFFE2E}" name="Rok urodzenia" totalsRowFunction="custom" totalsRowDxfId="17">
      <totalsRowFormula>COUNTA((HG3:HG135))</totalsRowFormula>
    </tableColumn>
    <tableColumn id="215" xr3:uid="{0DA27BC3-BCA7-4CF6-A54C-77E28EA17827}" name="GrupaWiekowa" dataDxfId="531" totalsRowDxfId="16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15">
      <totalsRowFormula>COUNTA((HI3:HI135))</totalsRowFormula>
    </tableColumn>
    <tableColumn id="209" xr3:uid="{40C0F4A2-88CA-4804-AB61-0C883C5C9CF7}" name="Pole dodatkowe52" totalsRowFunction="custom" totalsRowDxfId="14">
      <totalsRowFormula>COUNTA((HJ3:HJ135))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13">
      <totalsRowFormula>COUNTA((HK3:HK135))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12">
      <totalsRowFormula>COUNTA((HL3:HL135))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1">
      <totalsRowFormula>COUNTA((HM3:HM135))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30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5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528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527"/>
    <tableColumn id="2" xr3:uid="{011F8DAE-7C60-444B-B4A2-78D05A325532}" name="Kategoria uczelni" dataDxfId="526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525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524">
      <calculatedColumnFormula>1+6/7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523">
  <autoFilter ref="C56:J176" xr:uid="{5D26DE38-F7A2-4F97-87CE-56F2D813A5B5}"/>
  <tableColumns count="8">
    <tableColumn id="1" xr3:uid="{87EDC6F7-8950-491A-8CAF-CF6610BCA33B}" name="Poziom istotności / _x000a_stopnie swobody" dataDxfId="522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521">
  <autoFilter ref="F44:G51" xr:uid="{0B0D128A-46C3-497C-A070-B19EDC90314A}"/>
  <tableColumns count="2">
    <tableColumn id="1" xr3:uid="{85BFDFE9-FEF0-48BD-8D34-235474A93582}" name="Wartość graniczna" dataDxfId="520"/>
    <tableColumn id="2" xr3:uid="{1807328A-696A-4241-94CB-E1EC739F6F81}" name="Interpretacja średniej" dataDxfId="51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B180:K193" totalsRowCount="1" headerRowDxfId="122">
  <autoFilter ref="B180:K192" xr:uid="{199AAF56-EFCC-40A8-9198-7B267B316F9C}"/>
  <sortState xmlns:xlrd2="http://schemas.microsoft.com/office/spreadsheetml/2017/richdata2" ref="B181:C190">
    <sortCondition ref="B180:B190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121" totalsRowDxfId="111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120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119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118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115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114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113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112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65" totalsRowDxfId="464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63" totalsRowDxfId="462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61">
      <totalsRowFormula>COUNTA((O3:O159))</totalsRowFormula>
    </tableColumn>
    <tableColumn id="14" xr3:uid="{0BD7A98F-1F10-4FB8-B054-37BDD3B56396}" name="Czy jesteś studentem uczelni wyższej?" totalsRowFunction="custom" dataDxfId="460" totalsRowDxfId="459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58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57">
      <totalsRowFormula>COUNTA((R3:R159))</totalsRowFormula>
    </tableColumn>
    <tableColumn id="17" xr3:uid="{24BCBB34-34C1-4984-962F-C53466F3EF8F}" name="Jak się nazywa kierunek, na którym studiujesz?" totalsRowFunction="custom" totalsRowDxfId="456">
      <totalsRowFormula>COUNTA((S3:S159))</totalsRowFormula>
    </tableColumn>
    <tableColumn id="18" xr3:uid="{9ADB9BCC-C1C9-4FDD-A2DF-FCC26DBEB749}" name="Moja satysfakcja z usług edukacyjnych ocenianej uczelni jest wysoka." totalsRowFunction="custom" totalsRowDxfId="455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54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53">
      <totalsRowFormula>COUNTA((V3:V159))</totalsRowFormula>
    </tableColumn>
    <tableColumn id="21" xr3:uid="{EAC188BA-5A2E-4D44-97B7-481328766AE0}" name="Kolumna1" totalsRowFunction="custom" totalsRowDxfId="452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51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50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49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48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47">
      <totalsRowFormula>COUNTA((AB3:AB159))</totalsRowFormula>
    </tableColumn>
    <tableColumn id="27" xr3:uid="{D0177BE1-4E02-4595-8669-95C494930B5B}" name="Jakiego rodzaju są Twoje studia?" totalsRowFunction="custom" totalsRowDxfId="446">
      <totalsRowFormula>COUNTA((AC3:AC159))</totalsRowFormula>
    </tableColumn>
    <tableColumn id="28" xr3:uid="{3597DDE1-E56A-406C-8EDD-22E18D515174}" name="Pole dodatkowe" totalsRowFunction="custom" totalsRowDxfId="445">
      <totalsRowFormula>COUNTA((AD3:AD159))</totalsRowFormula>
    </tableColumn>
    <tableColumn id="29" xr3:uid="{66ED4699-908F-4DD2-BD11-F0A6AA4499D4}" name="Na którym semestrze studiujesz obecnie?" totalsRowFunction="custom" totalsRowDxfId="444">
      <totalsRowFormula>COUNTA((AE3:AE159))</totalsRowFormula>
    </tableColumn>
    <tableColumn id="30" xr3:uid="{665AE932-5635-468D-B539-28624FF56492}" name="Czy jesteś absolwentem uczelni wyższej?" totalsRowFunction="custom" dataDxfId="443" totalsRowDxfId="442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41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40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39">
      <totalsRowFormula>COUNTA((AI3:AI159))</totalsRowFormula>
    </tableColumn>
    <tableColumn id="34" xr3:uid="{ADAE23AC-8F73-4453-AC5D-FE2116FA8AF9}" name="Jak się nazywa kierunek, który ukończyłaś/eś?" totalsRowFunction="custom" totalsRowDxfId="438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37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36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35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34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33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32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31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30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29">
      <totalsRowFormula>COUNTA((AS3:AS159))</totalsRowFormula>
    </tableColumn>
    <tableColumn id="44" xr3:uid="{C9AA4BEA-8991-4F56-A7E1-DA0762C2B486}" name="Co wpływało na twoją satysfakcję ze studiowania?_x000a_" totalsRowFunction="custom" totalsRowDxfId="428">
      <totalsRowFormula>COUNTA((AT3:AT159))</totalsRowFormula>
    </tableColumn>
    <tableColumn id="45" xr3:uid="{00A5350A-103D-4E86-99F7-01E1F081E96E}" name="Kolumna6" totalsRowFunction="custom" totalsRowDxfId="427">
      <totalsRowFormula>COUNTA((AU3:AU159))</totalsRowFormula>
    </tableColumn>
    <tableColumn id="46" xr3:uid="{AB30AA0A-ADAF-4A76-852B-9C6171DBA36D}" name="Jakiego rodzaju były Twoje studia?" totalsRowFunction="custom" totalsRowDxfId="426">
      <totalsRowFormula>COUNTA((AV3:AV159))</totalsRowFormula>
    </tableColumn>
    <tableColumn id="47" xr3:uid="{156EF4B8-4A3F-4406-9CDE-324D32F939BA}" name="Pole dodatkowe7" totalsRowFunction="custom" totalsRowDxfId="425">
      <totalsRowFormula>COUNTA((AW3:AW159))</totalsRowFormula>
    </tableColumn>
    <tableColumn id="48" xr3:uid="{085D3107-411D-41F8-A270-88DCB1EAF46B}" name="Czy jesteś rodzicem / opiekunem absolwenta uczelni wyższej?" totalsRowFunction="custom" dataDxfId="424" totalsRowDxfId="423">
      <totalsRowFormula>COUNTA((AX3:AX159))</totalsRowFormula>
    </tableColumn>
    <tableColumn id="49" xr3:uid="{373F08C1-1889-416C-AADD-9D721E98EE00}" name="Uczelnie ilu podopiecznych będziesz oceniać?" totalsRowFunction="custom" totalsRowDxfId="422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21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20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419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418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417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416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415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414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413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12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411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410">
      <totalsRowFormula>COUNTA((BK3:BK159))</totalsRowFormula>
    </tableColumn>
    <tableColumn id="62" xr3:uid="{D7A10314-D8C8-4D47-9939-D597680A8D89}" name="Pole dodatkowe10" totalsRowFunction="custom" totalsRowDxfId="409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408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407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406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405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404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403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402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401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400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99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98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97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96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95">
      <totalsRowFormula>COUNTA((BZ3:BZ159))</totalsRowFormula>
    </tableColumn>
    <tableColumn id="77" xr3:uid="{6FCF6001-0320-49B2-98E4-DBE8BE04E809}" name="Pole dodatkowe23" totalsRowFunction="custom" totalsRowDxfId="394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93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92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91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90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89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88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87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86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85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84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83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82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81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80">
      <totalsRowFormula>COUNTA((CO3:CO159))</totalsRowFormula>
    </tableColumn>
    <tableColumn id="92" xr3:uid="{D87D6F17-9A18-4BD2-82A2-E153AE86B37C}" name="Pole dodatkowe37" totalsRowFunction="custom" totalsRowDxfId="379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78">
      <totalsRowFormula>COUNTA((CQ3:CQ159))</totalsRowFormula>
    </tableColumn>
    <tableColumn id="94" xr3:uid="{E7DDA408-1945-4BDE-9B5A-12AAC3E05194}" name="Czy jesteś aktualnie pracownikiem administracyjnym uczelni wyższej?" totalsRowFunction="custom" dataDxfId="377" totalsRowDxfId="376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75"/>
    <tableColumn id="96" xr3:uid="{F959B9F3-C53C-4C63-A092-AF4A70D45B06}" name="Na jakim wydziale pracujesz?" totalsRowDxfId="374"/>
    <tableColumn id="97" xr3:uid="{19273B31-1872-4994-B739-304F1E7FBD34}" name="Moja satysfakcja z pracy na ocenianej uczelni jest wysoka." totalsRowDxfId="373"/>
    <tableColumn id="98" xr3:uid="{EE7C1371-E788-4978-B01E-B5870F3E97D1}" name="Atmosfera w zespole współpracowników jest dobra." totalsRowDxfId="372"/>
    <tableColumn id="99" xr3:uid="{04B25BDB-5FFA-42B5-AEBA-FC863BEDBC77}" name="Moje zarobki są satysfakcjonujące." totalsRowDxfId="371"/>
    <tableColumn id="100" xr3:uid="{DAD2DC5B-8DF9-49D3-A852-672969268131}" name="Praca na ocenianej uczelni daje mi duże szanse rozwoju." totalsRowDxfId="370"/>
    <tableColumn id="101" xr3:uid="{27C35901-3DF8-4B77-BEB2-58D43C8B6871}" name="Wartość wykształcenia zdobywanego przez studentów ocenianej uczelni jest wysoka." totalsRowDxfId="369"/>
    <tableColumn id="102" xr3:uid="{4669105C-8E5E-4FD6-97C5-3F5E1BE9CAE4}" name="Zdobyte na ocenianej uczelni wykształcenie ma pozytywny wpływ na zwiększenie zarobków absolwentów." totalsRowDxfId="368"/>
    <tableColumn id="103" xr3:uid="{C2B9909A-91DF-4FB2-B673-AACC920851EA}" name="Jakie inne (poza zarobkami) efekty kształcenia na ocenianej uczelni się dostrzegasz obecnie?39" totalsRowDxfId="367"/>
    <tableColumn id="104" xr3:uid="{1F0E0013-CC4E-4656-BDA5-9028148E569A}" name="Czy jesteś aktualnie pracownikiem naukowym lub dydaktycznym uczelni wyższej?" totalsRowFunction="custom" dataDxfId="366" totalsRowDxfId="365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64"/>
    <tableColumn id="106" xr3:uid="{FAD00E10-66DF-401D-8721-330410755C4C}" name="Na jakim wydziale pracujesz?41" totalsRowDxfId="363"/>
    <tableColumn id="107" xr3:uid="{3ED79AD9-3A2A-4796-A7F7-27B53055A7C5}" name="Moja satysfakcja z pracy na ocenianej uczelni jest wysoka.42" totalsRowDxfId="362"/>
    <tableColumn id="108" xr3:uid="{88F3FD29-277A-4D3B-9F35-812F832A00F4}" name="Atmosfera w zespole współpracowników jest dobra.43" totalsRowDxfId="361"/>
    <tableColumn id="109" xr3:uid="{DC511D2A-6FF2-4B52-B52A-324E6688C5E0}" name="Moje zarobki są satysfakcjonujące.44" totalsRowDxfId="360"/>
    <tableColumn id="110" xr3:uid="{3C031862-BB50-46FB-A01C-928A7B955B19}" name="Praca na ocenianej uczelni daje mi duże szanse rozwoju.45" totalsRowDxfId="359"/>
    <tableColumn id="111" xr3:uid="{26178753-38CF-4749-A317-A1E5F425DF12}" name="Wartość wykształcenia zdobywanego przez studentów ocenianej uczelni jest wysoka.46" totalsRowDxfId="358"/>
    <tableColumn id="112" xr3:uid="{889B113B-59F9-4196-9536-C41274799622}" name="Zdobyte na ocenianej uczelni wykształcenie ma pozytywny wpływ na zwiększenie zarobków absolwentów.47" totalsRowDxfId="357"/>
    <tableColumn id="113" xr3:uid="{018446A9-87AE-432A-96CE-C29A37692C27}" name="Jakie inne (poza zarobkami) efekty kształcenia na ocenianej uczelni dostrzegasz obecnie?48" totalsRowDxfId="356"/>
    <tableColumn id="114" xr3:uid="{D11A2879-2C85-42C1-9C08-4BA4A9592DB0}" name="Czy jesteś przedstawicielem władz uczelni z grupy rektorów, prorektorów, dziekanów, prodziekanów, członków senatu lub członków rady uczelni?" totalsRowFunction="custom" dataDxfId="355" totalsRowDxfId="354">
      <totalsRowFormula>COUNTA((DL3:DL159))</totalsRowFormula>
    </tableColumn>
    <tableColumn id="115" xr3:uid="{758B3CD0-0C56-4596-8D61-D90700A05DA1}" name="Proszę podać pełnioną funkcję" totalsRowDxfId="353"/>
    <tableColumn id="116" xr3:uid="{E904AED4-A38D-42EF-9D38-709BB163A619}" name="Kolumna3" totalsRowDxfId="352"/>
    <tableColumn id="117" xr3:uid="{AF0D4680-ECCA-4738-825E-AB146FC0FF8F}" name="Kolumna4" totalsRowDxfId="351"/>
    <tableColumn id="118" xr3:uid="{65A15536-DE99-4D16-A20B-206F127C5BFB}" name="Kolumna5" totalsRowDxfId="350"/>
    <tableColumn id="119" xr3:uid="{E05782FB-7FE9-42ED-94C4-B7F653167A0F}" name="Jak się nazywa uczelnia którą będziesz oceniać (jako przedstawiciel jej władz)?" totalsRowDxfId="349"/>
    <tableColumn id="120" xr3:uid="{1B7FA187-1663-4FBF-A3C5-EA8D6A053A25}" name="Efekty działań ocenianej uczelni na rzesz jakości edukacji są dobre" totalsRowDxfId="348"/>
    <tableColumn id="121" xr3:uid="{8A6C2138-0511-4784-9BCB-D7F056FD5756}" name="Wartość wykształcenia zdobywanego przez studentów na ocenianej uczelni jest wysoka." totalsRowDxfId="347"/>
    <tableColumn id="122" xr3:uid="{33664698-CEF8-4115-B63B-828882A6D501}" name="Zdobyte przez studentów ocenianej uczelni wykształcenie miało/ma pozytywny wpływ na ich zarobki." totalsRowDxfId="346"/>
    <tableColumn id="123" xr3:uid="{6548C317-5775-47D8-8BB5-03CE96ABFB2C}" name="Efekty działań ocenianej uczelni na rzecz jakości edukacji mają dobry wpływ na rozwój regionu." totalsRowDxfId="345"/>
    <tableColumn id="124" xr3:uid="{04271A5C-5560-4CF8-90D9-89BA9B015FBC}" name="Efekty działań ocenianej uczelni na rzecz jakości edukacji mają dobry wpływ na rozwój Polski." totalsRowDxfId="344"/>
    <tableColumn id="125" xr3:uid="{123DE0DC-02B2-4F9B-BEEB-704DB06821EE}" name="Współpraca ocenianej uczelni z biznesem ma pozytywne efekty dla rozwoju regionu / kraju." totalsRowDxfId="343"/>
    <tableColumn id="126" xr3:uid="{A0DF07F0-161A-4193-A1E6-2065A1C8B63E}" name="Ogólny poziom mojej satysfakcji z jakości usług edukacyjnych ocenianej uczelni jest wysoki." totalsRowDxfId="342"/>
    <tableColumn id="127" xr3:uid="{78D52D23-A055-4089-AEA3-0D0030CEAC4A}" name="Studenci : wybierz wartość z listy rozwijanej" totalsRowDxfId="341"/>
    <tableColumn id="128" xr3:uid="{3C88D815-7B36-4940-B457-1D4916A18A9A}" name="Absolwenci : wybierz wartość z listy rozwijanej" totalsRowDxfId="340"/>
    <tableColumn id="129" xr3:uid="{B7AADA93-8D0B-47F3-BCD2-912D3D3EFF96}" name="Rodzice absolwentów : wybierz wartość z listy rozwijanej" totalsRowDxfId="339"/>
    <tableColumn id="130" xr3:uid="{2419B54D-E941-464A-ABB8-3A728F2F5596}" name="Pracownicy administracyjni : wybierz wartość z listy rozwijanej" totalsRowDxfId="338"/>
    <tableColumn id="131" xr3:uid="{BAB27B7B-2698-4085-8E82-FA14AF164B29}" name="Pracownicy naukowi i dydaktyczni : wybierz wartość z listy rozwijanej" totalsRowDxfId="337"/>
    <tableColumn id="132" xr3:uid="{6A6F970F-B3EB-4E50-9DE6-C8C4C7CAA18A}" name="Pracodawcy : wybierz wartość z listy rozwijanej" totalsRowDxfId="336"/>
    <tableColumn id="133" xr3:uid="{09A6A719-E450-4AC4-8182-90B1F383E84C}" name="Władze samorządowe i centralne : wybierz wartość z listy rozwijanej" totalsRowDxfId="335"/>
    <tableColumn id="134" xr3:uid="{2E207BF2-E2F1-4F2B-9DAE-D3B78D867559}" name="Pole dodatkowe4" totalsRowDxfId="334"/>
    <tableColumn id="135" xr3:uid="{EEB77D73-5571-4E17-8266-02BB1710B8F0}" name="Studenci : wybierz wartość z listy rozwijanej5" totalsRowDxfId="333"/>
    <tableColumn id="136" xr3:uid="{81EA592A-292B-42BA-AA88-85A430ABBA5B}" name="Absolwenci : wybierz wartość z listy rozwijanej6" totalsRowDxfId="332"/>
    <tableColumn id="137" xr3:uid="{AC693E91-1370-42E2-8C6B-A2DEAEDAD6D8}" name="Rodzice absolwentów : wybierz wartość z listy rozwijanej7" totalsRowDxfId="331"/>
    <tableColumn id="138" xr3:uid="{C972A3A6-50AF-4CF0-9221-51F3F1B825B5}" name="Pracownicy administracyjni : wybierz wartość z listy rozwijanej8" totalsRowDxfId="330"/>
    <tableColumn id="139" xr3:uid="{8A17F47D-C5DA-4436-9144-E5A1DC2CE401}" name="Pracownicy naukowi i dydaktyczni : wybierz wartość z listy rozwijanej9" totalsRowDxfId="329"/>
    <tableColumn id="140" xr3:uid="{9C9F0784-2723-4BBD-AE36-08FD5221319D}" name="Pracodawcy : wybierz wartość z listy rozwijanej10" totalsRowDxfId="328"/>
    <tableColumn id="141" xr3:uid="{AAE33EE1-D3BE-432C-9A2D-5D55BE9F26EC}" name="Władze samorządowe i centralne : wybierz wartość z listy rozwijanej11" totalsRowDxfId="327"/>
    <tableColumn id="142" xr3:uid="{C7BCF657-B75F-43D7-A19C-E0A38F71C79A}" name="Pole dodatkowe12" totalsRowDxfId="326"/>
    <tableColumn id="143" xr3:uid="{027BA0BD-D7CE-4B61-BD34-CD9336762A59}" name="Czy jesteś przedstawicielem firmy, w której są zatrudniani absolwenci uczelni wyższych (tytuł licencjata, magistra lub wyższy)?" totalsRowFunction="custom" dataDxfId="325" totalsRowDxfId="324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23"/>
    <tableColumn id="145" xr3:uid="{A9C11981-CE44-482B-9485-624EB4CFA91B}" name="Ile uczelni będziesz oceniać?" totalsRowDxfId="322"/>
    <tableColumn id="146" xr3:uid="{822F037D-C81E-4AA1-A477-75B7599C4C4E}" name="Jak się nazywa uczelnia, którą ocenisz? " totalsRowDxfId="321"/>
    <tableColumn id="147" xr3:uid="{B879E027-4001-4F17-98A9-1FF6DD06C0F9}" name="Moja satysfakcja z (efektów) usług edukacyjnych na ocenianej uczelni jest wysoka." totalsRowDxfId="320"/>
    <tableColumn id="148" xr3:uid="{887E2640-884A-454A-B596-856E217BE2DD}" name="Kompetencje absolwentów ocenianej uczelni są wysokie." totalsRowDxfId="319"/>
    <tableColumn id="149" xr3:uid="{478F5E65-AE32-4F52-99FA-3830D9323C3C}" name="Zarobki absolwentów ocenianej uczelni zatrudnionych w mojej firmie są wyższe od zarobków absolwentów innych polskich uczelni." totalsRowDxfId="318"/>
    <tableColumn id="150" xr3:uid="{E5D4AD52-FA66-4019-983E-25DC2AF5A5A8}" name="Czy w Twojej firmie są zatrudniani absolwenci uczelni w pierwszym roku po ukończeniu studiów (do 12 miesięcy od uzyskania dyplomu)?" totalsRowDxfId="317"/>
    <tableColumn id="151" xr3:uid="{FDC480C9-E39B-4D41-9995-A191329D3555}" name="Jakie kompetencje absolwentów ocenianej uczelni są w Twojej firmie najwyżej wyceniane?" totalsRowDxfId="316"/>
    <tableColumn id="152" xr3:uid="{558E6650-0292-450C-9D81-46BC7B7FA1C9}" name="Jakiego rodzaju prace wykonują absolwenci ocenianej uczelni w Twojej firmie?" totalsRowDxfId="315"/>
    <tableColumn id="153" xr3:uid="{9E8CE1F9-05B3-4737-AC9A-FAE812FD292C}" name="Czy będziesz oceniał drugą uczelnię?" totalsRowDxfId="314"/>
    <tableColumn id="154" xr3:uid="{CEB66B10-0E60-4952-A1B0-1E5C8784E791}" name="Jak się nazywa uczelnia, którą ocenisz? 13" totalsRowDxfId="313"/>
    <tableColumn id="155" xr3:uid="{2864E703-440A-477E-8352-68DEA39F85CD}" name="Moja satysfakcja z (efektów) usług edukacyjnych na ocenianej uczelni jest wysoka.14" totalsRowDxfId="312"/>
    <tableColumn id="156" xr3:uid="{B38513D8-CC85-41E0-85A1-82AC6807323C}" name="Kompetencje absolwentów ocenianej uczelni są wysokie.15" totalsRowDxfId="311"/>
    <tableColumn id="157" xr3:uid="{204ADF47-FBCC-47A6-95D9-5D3E03854768}" name="Zarobki absolwentów ocenianej uczelni zatrudnionych w mojej firmie są wyższe od zarobków absolwentów innych polskich uczelni.16" totalsRowDxfId="310"/>
    <tableColumn id="158" xr3:uid="{7E6A13F3-C53A-4FC9-B3AE-9EA25D9CBCE6}" name="Czy w Twojej firmie są zatrudniani absolwenci uczelni w pierwszym roku po ukończeniu studiów (do 12 miesięcy od uzyskania dyplomu)?17" totalsRowDxfId="309"/>
    <tableColumn id="159" xr3:uid="{83E7A1CC-295A-477E-8CD0-1E43143ACFF6}" name="Jakie kompetencje absolwentów ocenianej uczelni są w Twojej firmie najwyżej wyceniane?18" totalsRowDxfId="308"/>
    <tableColumn id="160" xr3:uid="{C3F49389-F342-4110-8A16-536B6EC87EC2}" name="Jakiego rodzaju prace wykonują absolwenci ocenianej uczelni w Twojej firmie?19" totalsRowDxfId="307"/>
    <tableColumn id="161" xr3:uid="{2BBFB49D-5EDF-4AC5-9179-70BCC6FA0B96}" name="Czy będziesz oceniał trzecią uczelnię techniczną?" totalsRowDxfId="306"/>
    <tableColumn id="162" xr3:uid="{829F7D1E-D133-43C4-A756-6D0B7542D44F}" name="Jak się nazywa uczelnia, którą ocenisz? 20" totalsRowDxfId="305"/>
    <tableColumn id="163" xr3:uid="{8758E395-9800-4CA8-BF43-3BFBF9507549}" name="Moja satysfakcja z (efektów) usług edukacyjnych na ocenianej uczelni jest wysoka.21" totalsRowDxfId="304"/>
    <tableColumn id="164" xr3:uid="{14ABF48C-A9EC-4153-B011-421959501B3A}" name="Kompetencje absolwentów ocenianej uczelni są wysokie.22" totalsRowDxfId="303"/>
    <tableColumn id="165" xr3:uid="{E8A014C5-F146-4C5D-B50B-6E968A7F8B46}" name="Zarobki absolwentów ocenianej uczelni zatrudnionych w mojej firmie są wyższe od zarobków absolwentów innych polskich uczelni.23" totalsRowDxfId="302"/>
    <tableColumn id="166" xr3:uid="{1FF6D355-AF16-4EB9-8805-4741E5F2867E}" name="Czy w Twojej firmie są zatrudniani absolwenci uczelni w pierwszym roku po ukończeniu studiów (do 12 miesięcy od uzyskania dyplomu)?24" totalsRowDxfId="301"/>
    <tableColumn id="167" xr3:uid="{71809E9D-42EC-47FD-9E58-0596DB8FD07D}" name="Jakie kompetencje absolwentów ocenianej uczelni są w Twojej firmie najwyżej wyceniane?25" totalsRowDxfId="300"/>
    <tableColumn id="168" xr3:uid="{6CA2A8B4-3095-459E-BDF0-43522EA7E403}" name="Jakiego rodzaju prace wykonują absolwenci ocenianej uczelni są w Twojej firmie?" totalsRowDxfId="299"/>
    <tableColumn id="169" xr3:uid="{6AEC3D33-E058-4E5E-AEC6-C091FCB970C9}" name="Czy jesteś przedstawicielem władz samorządowych lub centralnych Rzeczypospolitej Polskiej?" totalsRowFunction="custom" dataDxfId="298" totalsRowDxfId="297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96">
      <totalsRowFormula>COUNTA((GZ3:GZ159))</totalsRowFormula>
    </tableColumn>
    <tableColumn id="207" xr3:uid="{17374C0D-5C50-4F2D-9998-48F1A5105C49}" name="Rok urodzenia" totalsRowFunction="custom" totalsRowDxfId="295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94">
      <totalsRowFormula>COUNTA((HB3:HB159))</totalsRowFormula>
    </tableColumn>
    <tableColumn id="209" xr3:uid="{12CD2E72-E534-4809-A75E-AF29F5F5F088}" name="Pole dodatkowe52" totalsRowFunction="custom" totalsRowDxfId="293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92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91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90">
      <totalsRowFormula>COUNTA((HF3:HF159))</totalsRow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89" totalsRowDxfId="288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87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86" totalsRowDxfId="285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84"/>
    <tableColumn id="16" xr3:uid="{AA3DBEFA-9D73-475E-A9A5-2D42522C9072}" name="Czy studiujesz na kierunku technicznym, tzn. takim, po którym uzyskasz tytuł inżyniera?" totalsRowDxfId="283"/>
    <tableColumn id="17" xr3:uid="{8AAAEBAF-D354-47D3-8A57-BF9F06131A1E}" name="Jak się nazywa kierunek, na którym studiujesz?" totalsRowDxfId="282"/>
    <tableColumn id="18" xr3:uid="{CD9C7D41-ABD7-4C41-89ED-89A659BAC655}" name="Moja satysfakcja z usług edukacyjnych ocenianej uczelni jest wysoka." totalsRowDxfId="281"/>
    <tableColumn id="19" xr3:uid="{31FED63E-2530-44F3-A0E2-6B96989E02A8}" name="Usługi edukacyjne ocenianej uczelni mają wysoką wartość (okazja / szansa rozwoju własnego lub kariery)." totalsRowDxfId="280"/>
    <tableColumn id="20" xr3:uid="{378DDC9B-58A3-4DE4-A300-A19FD721A037}" name="Kształcenie na ocenianej uczelni ma/będzie miało pozytywny wpływ na zwiększenie moich zarobków." totalsRowDxfId="279"/>
    <tableColumn id="21" xr3:uid="{C6A24480-7451-49D9-8645-BC69D7F99331}" name="Kolumna1" totalsRowDxfId="278"/>
    <tableColumn id="22" xr3:uid="{D80E567D-CCDD-4B11-B18B-072D893C7687}" name="w pierwszym roku po ukończeniu studiów : wybierz wartość z listy rozwijanej" totalsRowDxfId="277"/>
    <tableColumn id="23" xr3:uid="{CF51D676-6C20-46B0-A565-D78CD8D4C947}" name="w 3 lata po ukończeniu studiów : wybierz wartość z listy rozwijanej" totalsRowDxfId="276"/>
    <tableColumn id="24" xr3:uid="{0F1B2099-4D7F-463D-AC59-617503BC5E14}" name="Jakich innych (poza zarobkami) efektów kształcenia na ocenianej uczelni się spodziewasz?" totalsRowDxfId="275"/>
    <tableColumn id="25" xr3:uid="{35D57207-52B7-455E-A9ED-A6AD95338EC7}" name="Co wpływa na Twoją satysfakcję ze studiowania?" totalsRowDxfId="274"/>
    <tableColumn id="26" xr3:uid="{CAD83457-32FA-404F-A708-C1B3C759AC6E}" name="Kolumna2" totalsRowDxfId="273"/>
    <tableColumn id="27" xr3:uid="{ADC35906-6D65-48D1-81AC-C4B4957B05D5}" name="Jakiego rodzaju są Twoje studia?" totalsRowDxfId="272"/>
    <tableColumn id="28" xr3:uid="{E068B642-DF74-4CAA-A88E-B517DC5FC386}" name="Pole dodatkowe" totalsRowDxfId="271"/>
    <tableColumn id="29" xr3:uid="{38F90488-07A7-4B7C-882D-784B03584081}" name="Na którym semestrze studiujesz obecnie?" totalsRowDxfId="270"/>
    <tableColumn id="30" xr3:uid="{5A578F2D-0AA4-4797-8F97-B23C8F9552C7}" name="Czy jesteś absolwentem uczelni wyższej?" totalsRowFunction="custom" dataDxfId="269" totalsRowDxfId="268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67"/>
    <tableColumn id="32" xr3:uid="{E591DDF7-3A8B-45B3-9972-7C4BB854C0A9}" name="W którym roku ukończyłaś/eś studia (rok w którym uzyskano dyplom ukończenia studiów drugiego stopnia, albo pierwszego stopnia, jeśli nie uzyskano dyplomu 2. stopnia)?" totalsRowDxfId="266"/>
    <tableColumn id="33" xr3:uid="{B826B930-988D-4AF8-9D52-5EF6AF6A7F20}" name="Czy ukończony kierunek był kierunkiem technicznym, tzn. takim, po którym uzyskałaś/eś tytuł inżyniera?" totalsRowDxfId="265"/>
    <tableColumn id="34" xr3:uid="{0507FF43-58D2-4683-81A2-9CE2C2FA5844}" name="Jak się nazywa kierunek, który ukończyłaś/eś?" totalsRowDxfId="264"/>
    <tableColumn id="35" xr3:uid="{AC65CB7E-A5EF-4C79-B96D-EA85400721B9}" name="Moja satysfakcja z (efektów) usług edukacyjnych ocenianej uczelni jest wysoka." totalsRowDxfId="263"/>
    <tableColumn id="36" xr3:uid="{36BB94DA-A6A2-46AA-A0C4-3AAE4ADCC084}" name="Usługi edukacyjne ocenianej uczelni mają wysoką wartość (okazja / szansa rozwoju własnego lub kariery).3" totalsRowDxfId="262"/>
    <tableColumn id="37" xr3:uid="{46DF242C-10FA-47FE-BC6B-045B295812CA}" name="Kształcenie na ocenianej uczelni ma/miało pozytywny wpływ na zwiększenie moich zarobków." totalsRowDxfId="261"/>
    <tableColumn id="38" xr3:uid="{22DB960F-1A91-4EB9-90EA-0C8BB104EBCF}" name="Moje zarobki w pierwszym roku po ukończeniu studiów były satysfakcjonujące." totalsRowDxfId="260"/>
    <tableColumn id="39" xr3:uid="{1AC1C2EA-FD9C-42F6-8732-E88F90068CC4}" name="Moje zarobki po 3. latach po ukończeniu studiów były satysfakcjonujące." totalsRowDxfId="259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58"/>
    <tableColumn id="41" xr3:uid="{53D325CD-E5E6-4C9E-81B0-775315EF4E8E}" name="w pierwszym roku po ukończeniu studiów : wybierz wartość z listy rozwijanej4" totalsRowDxfId="257"/>
    <tableColumn id="42" xr3:uid="{A6B799C8-D5F2-4C68-B71E-F83C3A6075B7}" name="w 3 lata po ukończeniu studiów : wybierz wartość z listy rozwijanej5" totalsRowDxfId="256"/>
    <tableColumn id="43" xr3:uid="{BC589F24-9BD1-4C2F-9397-D51311E5EC39}" name="Jakie inne (poza zarobkami) efekty kształcenia na ocenianej uczelni dostrzegasz obecnie?" totalsRowDxfId="255"/>
    <tableColumn id="44" xr3:uid="{A11C2A67-EC51-4621-92CF-198235F6DDC5}" name="Co wpływało na twoją satysfakcję ze studiowania?_x000a_" totalsRowDxfId="254"/>
    <tableColumn id="45" xr3:uid="{D388932F-1A0A-4689-AB91-4A4F282D3CA9}" name="Kolumna6" totalsRowDxfId="253"/>
    <tableColumn id="46" xr3:uid="{F488CAF2-B800-439E-8332-DDBED1146AB6}" name="Jakiego rodzaju były Twoje studia?" totalsRowDxfId="252"/>
    <tableColumn id="47" xr3:uid="{00FDD7E1-EBD3-4653-98C4-D74FA980AF99}" name="Pole dodatkowe7" totalsRowDxfId="251"/>
    <tableColumn id="48" xr3:uid="{E33AE7B1-7892-48E4-9DBC-AE5EF9034B4E}" name="Czy jesteś rodzicem / opiekunem absolwenta uczelni wyższej?" totalsRowFunction="custom" dataDxfId="250" totalsRowDxfId="249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48"/>
    <tableColumn id="50" xr3:uid="{6BB0F22F-B640-446D-B936-91DFADFA81F1}" name="Jak się nazywa uczelnia, którą ukończył/a Twoja/Twój podopieczna/podopieczny? (proszę o wybranie jednej uczelni podlegającej ocenie)" totalsRowDxfId="247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46"/>
    <tableColumn id="52" xr3:uid="{26244E73-3F31-4ED7-99CC-718C75773980}" name="Czy ukończony kierunek był kierunkiem technicznym, tzn. takim, po którym uzyskano tytuł inżyniera?" totalsRowDxfId="245"/>
    <tableColumn id="53" xr3:uid="{F00033CF-BE1C-4649-B99E-A3FC496AF05C}" name="Jak się nazywa kierunek, który ukończył/a Twoja/Twój podopieczna/podopieczny?" totalsRowDxfId="244"/>
    <tableColumn id="54" xr3:uid="{8AE8E0B0-E59A-4253-8E89-6503DDEE44E9}" name="Moja satysfakcja z (efektów) usług edukacyjnych ocenianej uczelni jest wysoka.8" totalsRowDxfId="243"/>
    <tableColumn id="55" xr3:uid="{D72C8628-4CEE-4A6D-BD58-0114E59C605E}" name="Usługi edukacyjne ocenianej uczelni mają wysoką wartość (okazja / szansa rozwoju własnego lub kariery).9" totalsRowDxfId="242"/>
    <tableColumn id="56" xr3:uid="{53B5753F-3212-43BB-931D-3559FF6976DF}" name="Kształcenie na ocenianej uczelni ma/będzie miało pozytywny wpływ na zwiększenie zarobków mojej/mojego podopiecznej/podopiecznego." totalsRowDxfId="241"/>
    <tableColumn id="57" xr3:uid="{A9563BF9-19A1-46BF-9F31-4690E6A2385C}" name="Zarobki uzyskiwane przez mojego/moją podopieczną/podopiecznego w pierwszym roku po ukończeniu studiów były satysfakcjonujące (z mojego punktu widzenia)" totalsRowDxfId="240"/>
    <tableColumn id="58" xr3:uid="{BCC66B2D-86FD-4227-A5E9-2164B45893B0}" name="Zarobki uzyskiwane przez mojego/moją podopieczną/podopiecznego w 3 lata po ukończeniu studiów były satysfakcjonujące (z mojego punktu widzenia)" totalsRowDxfId="239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38"/>
    <tableColumn id="60" xr3:uid="{94345A4F-9EAB-4FE8-A337-CCC43CF7D9D3}" name="Jakie inne (poza zarobkami) efekty kształcenia na ocenianej uczelni się dostrzegasz obecnie?" totalsRowDxfId="237"/>
    <tableColumn id="61" xr3:uid="{05A46EBB-09E0-4294-881F-C45E3B66E515}" name="Jakiego rodzaju były studia, które ukończył/a Twoja/Twój podopieczna/podopieczny?" totalsRowDxfId="236"/>
    <tableColumn id="62" xr3:uid="{FE0A86D0-775F-435F-8B90-2A7B29B0B462}" name="Pole dodatkowe10" totalsRowDxfId="235"/>
    <tableColumn id="63" xr3:uid="{3C426FB0-5F3F-46C5-9E34-DD901FAA5A82}" name="Jeśli Twoja/Twój podopieczna/podopieczny ukończył/a również inne szkoły / kierunki studiów to proszę wpisz je tutaj." totalsRowDxfId="234"/>
    <tableColumn id="64" xr3:uid="{7B6238C1-79C7-4C59-B174-F693B78A54C8}" name="Czy będziesz oceniał uczelnię ukończoną przez drugiego podopiecznego?" totalsRowDxfId="233"/>
    <tableColumn id="65" xr3:uid="{72E69603-FDA8-458A-B355-C3F6177E2961}" name="Jak się nazywa uczelnia, którą ukończył/a Twoja/Twój podopieczna/podopieczny? (proszę o wybranie jednej uczelni podlegającej ocenie)11" totalsRowDxfId="232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31"/>
    <tableColumn id="67" xr3:uid="{51123307-FDE7-45CE-81D3-F8045A68CEB5}" name="Czy ukończony kierunek był kierunkiem technicznym, tzn. takim, po którym uzyskano tytuł inżyniera?13" totalsRowDxfId="230"/>
    <tableColumn id="68" xr3:uid="{E4E7F2FA-608F-4A76-95F9-FC633CF4A850}" name="Jak się nazywa kierunek, który ukończył/a Twoja/Twój podopieczna/podopieczny?14" totalsRowDxfId="229"/>
    <tableColumn id="69" xr3:uid="{2E0E2D92-CA45-4C29-AD1B-4107E60D2F5C}" name="Moja satysfakcja z (efektów) usług edukacyjnych ocenianej uczelni jest wysoka.15" totalsRowDxfId="228"/>
    <tableColumn id="70" xr3:uid="{22160B39-79EF-424B-9B2E-4205C1098DC4}" name="Usługi edukacyjne ocenianej uczelni mają wysoką wartość (okazja / szansa rozwoju własnego lub kariery).16" totalsRowDxfId="227"/>
    <tableColumn id="71" xr3:uid="{C5566328-CB9E-4672-AFA5-9A52C7FB1583}" name="Kształcenie na ocenianej uczelni ma/będzie miało pozytywny wpływ na zwiększenie zarobków mojej/mojego podopiecznej/podopiecznego.17" totalsRowDxfId="226"/>
    <tableColumn id="72" xr3:uid="{ED11287D-6F12-40C0-8EAE-0190C96B2475}" name="Zarobki uzyskiwane przez mojego/moją podopieczną/podopiecznego w pierwszym roku po ukończeniu studiów były satysfakcjonujące (z mojego punktu widzenia)18" totalsRowDxfId="225"/>
    <tableColumn id="73" xr3:uid="{5767066B-CB1E-4AC7-93CC-8721926057A1}" name="Zarobki uzyskiwane przez mojego/moją podopieczną/podopiecznego w 3 lata po ukończeniu studiów były satysfakcjonujące (z mojego punktu widzenia)19" totalsRowDxfId="224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23"/>
    <tableColumn id="75" xr3:uid="{91099E12-4AAE-4B3A-8B21-456B23B8E9C4}" name="Jakie inne (poza zarobkami) efekty kształcenia na ocenianej uczelni się dostrzegasz obecnie?21" totalsRowDxfId="222"/>
    <tableColumn id="76" xr3:uid="{F99FCD0E-141B-4162-9375-D912B829669B}" name="Jakiego rodzaju były studia, które ukończył/a Twoja/Twój podopieczna/podopieczny?22" totalsRowDxfId="221"/>
    <tableColumn id="77" xr3:uid="{9A935095-7069-4B79-9C19-ABCE05DB2953}" name="Pole dodatkowe23" totalsRowDxfId="220"/>
    <tableColumn id="78" xr3:uid="{73C50495-9837-4BA7-BE74-ED58E001D39F}" name="Jeśli Twoja/Twój podopieczna/podopieczny ukończył/a również inne szkoły / kierunki studiów to proszę wpisz je tutaj.24" totalsRowDxfId="219"/>
    <tableColumn id="79" xr3:uid="{2D9E6799-1116-4EBA-A4A6-EC67B715E65E}" name="Czy będziesz oceniał uczelnię ukończoną przez trzeciego podopiecznego?" totalsRowDxfId="218"/>
    <tableColumn id="80" xr3:uid="{98900E64-17FE-4566-98C9-57CB606D4413}" name="Jak się nazywa uczelnia, którą ukończył/a Twoja/Twój podopieczna/podopieczny? (proszę o wybranie jednej uczelni podlegającej ocenie)25" totalsRowDxfId="217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216"/>
    <tableColumn id="82" xr3:uid="{367FC414-3E67-4B03-A303-77F5139ABED4}" name="Czy ukończony kierunek był kierunkiem technicznym, tzn. takim, po którym uzyskano tytuł inżyniera?27" totalsRowDxfId="215"/>
    <tableColumn id="83" xr3:uid="{641F2969-C09A-425E-81A7-806949B38666}" name="Jak się nazywa kierunek, który ukończył/a Twoja/Twój podopieczna/podopieczny?28" totalsRowDxfId="214"/>
    <tableColumn id="84" xr3:uid="{6B2F3F5A-F4BF-41A2-85FA-BAC6E179E9A9}" name="Moja satysfakcja z (efektów) usług edukacyjnych ocenianej uczelni jest wysoka.29" totalsRowDxfId="213"/>
    <tableColumn id="85" xr3:uid="{792FE0EC-454A-47B2-9DEE-09E82A55AC5F}" name="Usługi edukacyjne ocenianej uczelni mają wysoką wartość (okazja / szansa rozwoju własnego lub kariery).30" totalsRowDxfId="212"/>
    <tableColumn id="86" xr3:uid="{4BD46113-3AB9-405D-8A53-F153B50E863D}" name="Kształcenie na ocenianej uczelni ma/będzie miało pozytywny wpływ na zwiększenie zarobków mojej/mojego podopiecznej/podopiecznego.31" totalsRowDxfId="211"/>
    <tableColumn id="87" xr3:uid="{4CA1C5A8-3427-428B-B7BA-106EBBA85C17}" name="Zarobki uzyskiwane przez mojego/moją podopieczną/podopiecznego w pierwszym roku po ukończeniu studiów były satysfakcjonujące (z mojego punktu widzenia)32" totalsRowDxfId="210"/>
    <tableColumn id="88" xr3:uid="{C37B06BC-EDB5-471E-9C95-05232AC9EACD}" name="Zarobki uzyskiwane przez mojego/moją podopieczną/podopiecznego w 3 lata po ukończeniu studiów były satysfakcjonujące (z mojego punktu widzenia)33" totalsRowDxfId="209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208"/>
    <tableColumn id="90" xr3:uid="{CEEBCBE8-4DF4-40BE-ADF0-2750A2BF2609}" name="Jakie inne (poza zarobkami) efekty kształcenia na ocenianej uczelni się dostrzegasz obecnie?35" totalsRowDxfId="207"/>
    <tableColumn id="91" xr3:uid="{F1A613DC-A59A-419D-8838-D041B4273E91}" name="Jakiego rodzaju były studia, które ukończył/a Twoja/Twój podopieczna/podopieczny?36" totalsRowDxfId="206"/>
    <tableColumn id="92" xr3:uid="{E26BB465-B221-4E80-9D41-43786B72F743}" name="Pole dodatkowe37" totalsRowDxfId="205"/>
    <tableColumn id="93" xr3:uid="{12E07FC6-6ACA-44C4-A376-689F504EB460}" name="Jeśli Twoja/Twój podopieczna/podopieczny ukończył/a również inne szkoły / kierunki studiów to proszę wpisz je tutaj.38" totalsRowDxfId="204"/>
    <tableColumn id="94" xr3:uid="{4FBA703D-33E9-44C4-BD22-B3FC7B168C76}" name="Czy jesteś aktualnie pracownikiem administracyjnym uczelni wyższej?" totalsRowFunction="custom" dataDxfId="203" totalsRowDxfId="202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201"/>
    <tableColumn id="96" xr3:uid="{43902112-5836-47AC-AA75-A65F0D4C7817}" name="Na jakim wydziale pracujesz?" totalsRowDxfId="200"/>
    <tableColumn id="97" xr3:uid="{68D4A5FB-B6F1-410C-BBCE-5D895E75D7EF}" name="Moja satysfakcja z pracy na ocenianej uczelni jest wysoka." totalsRowDxfId="199"/>
    <tableColumn id="98" xr3:uid="{097FDF01-C103-4396-9EE5-DC463D453E58}" name="Atmosfera w zespole współpracowników jest dobra." totalsRowDxfId="198"/>
    <tableColumn id="99" xr3:uid="{5B99CA3A-6D7C-4D3E-B448-2EDAF4856B42}" name="Moje zarobki są satysfakcjonujące." totalsRowDxfId="197"/>
    <tableColumn id="100" xr3:uid="{90B0699F-2BC7-4D96-9800-8B1DB165F81E}" name="Praca na ocenianej uczelni daje mi duże szanse rozwoju." totalsRowDxfId="196"/>
    <tableColumn id="101" xr3:uid="{5CB95189-87A6-4F97-B291-A05336B23F22}" name="Wartość wykształcenia zdobywanego przez studentów ocenianej uczelni jest wysoka." totalsRowDxfId="195"/>
    <tableColumn id="102" xr3:uid="{056CF7BB-B947-41A0-AC24-42A1CBCF15BD}" name="Zdobyte na ocenianej uczelni wykształcenie ma pozytywny wpływ na zwiększenie zarobków absolwentów." totalsRowDxfId="194"/>
    <tableColumn id="103" xr3:uid="{2AB65CA7-05ED-4EB7-B603-B864E6D6745F}" name="Jakie inne (poza zarobkami) efekty kształcenia na ocenianej uczelni się dostrzegasz obecnie?39" totalsRowDxfId="193"/>
    <tableColumn id="104" xr3:uid="{DC472BA3-8D88-44A6-B5C1-5BF9558627FA}" name="Czy jesteś aktualnie pracownikiem naukowym lub dydaktycznym uczelni wyższej?" totalsRowFunction="custom" dataDxfId="192" totalsRowDxfId="191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90"/>
    <tableColumn id="106" xr3:uid="{2E39D77C-CC0F-41F1-8F10-30523EA3DE78}" name="Na jakim wydziale pracujesz?41" totalsRowDxfId="189"/>
    <tableColumn id="107" xr3:uid="{B9CFBDFF-9DC1-4556-855E-D4463D760A19}" name="Moja satysfakcja z pracy na ocenianej uczelni jest wysoka.42" totalsRowDxfId="188"/>
    <tableColumn id="108" xr3:uid="{158CA86A-249B-4193-A207-D38756E887C7}" name="Atmosfera w zespole współpracowników jest dobra.43" totalsRowDxfId="187"/>
    <tableColumn id="109" xr3:uid="{AC3090A9-EC3C-4C62-8AA9-F261EAB7887F}" name="Moje zarobki są satysfakcjonujące.44" totalsRowDxfId="186"/>
    <tableColumn id="110" xr3:uid="{9E04970F-962C-490E-A570-2D0912A5E57D}" name="Praca na ocenianej uczelni daje mi duże szanse rozwoju.45" totalsRowDxfId="185"/>
    <tableColumn id="111" xr3:uid="{C148AE52-9ADC-45EF-8DBC-27F0F1F05355}" name="Wartość wykształcenia zdobywanego przez studentów ocenianej uczelni jest wysoka.46" totalsRowDxfId="184"/>
    <tableColumn id="112" xr3:uid="{63921520-0FA3-4905-ACEB-02AFFB69B471}" name="Zdobyte na ocenianej uczelni wykształcenie ma pozytywny wpływ na zwiększenie zarobków absolwentów.47" totalsRowDxfId="183"/>
    <tableColumn id="113" xr3:uid="{E32B227A-B5B2-41A4-9CEB-B75A56696D75}" name="Jakie inne (poza zarobkami) efekty kształcenia na ocenianej uczelni dostrzegasz obecnie?48" totalsRowDxfId="182"/>
    <tableColumn id="114" xr3:uid="{98E95A67-6B14-4A2E-AB34-682AE1A049DC}" name="Czy jesteś przedstawicielem władz uczelni z grupy rektorów, prorektorów, dziekanów, prodziekanów, członków senatu lub członków rady uczelni?" totalsRowFunction="custom" dataDxfId="181" totalsRowDxfId="180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79"/>
    <tableColumn id="116" xr3:uid="{55CD3327-D03D-49EA-AD7A-8A8492F8FF76}" name="Kolumna3" totalsRowDxfId="178"/>
    <tableColumn id="117" xr3:uid="{BF356D61-903B-4604-89F3-2B471880C5B8}" name="Kolumna4" totalsRowDxfId="177"/>
    <tableColumn id="118" xr3:uid="{7173EDEB-5382-4DCE-AA15-A72B322560D6}" name="Kolumna5" totalsRowDxfId="176"/>
    <tableColumn id="119" xr3:uid="{6200F07F-FA1F-4A3F-B8ED-B934678483AF}" name="Jak się nazywa uczelnia którą będziesz oceniać (jako przedstawiciel jej władz)?" totalsRowDxfId="175"/>
    <tableColumn id="120" xr3:uid="{E6250DE6-1A12-41F3-90EE-1B4F673F6E58}" name="Efekty działań ocenianej uczelni na rzesz jakości edukacji są dobre" totalsRowDxfId="174"/>
    <tableColumn id="121" xr3:uid="{8AE05FEE-B731-4F93-90B6-915E5774E346}" name="Wartość wykształcenia zdobywanego przez studentów na ocenianej uczelni jest wysoka." totalsRowDxfId="173"/>
    <tableColumn id="122" xr3:uid="{E115058D-8C9C-450E-8DA2-D64EB971F57D}" name="Zdobyte przez studentów ocenianej uczelni wykształcenie miało/ma pozytywny wpływ na ich zarobki." totalsRowDxfId="172"/>
    <tableColumn id="123" xr3:uid="{6FEBB446-227D-4EA1-B507-206156E53809}" name="Efekty działań ocenianej uczelni na rzecz jakości edukacji mają dobry wpływ na rozwój regionu." totalsRowDxfId="171"/>
    <tableColumn id="124" xr3:uid="{01E38E74-9E44-4BFF-97FF-3B0FF3F7CDD0}" name="Efekty działań ocenianej uczelni na rzecz jakości edukacji mają dobry wpływ na rozwój Polski." totalsRowDxfId="170"/>
    <tableColumn id="125" xr3:uid="{F17A6FA5-F0F2-48AD-B639-9161F59ACD49}" name="Współpraca ocenianej uczelni z biznesem ma pozytywne efekty dla rozwoju regionu / kraju." totalsRowDxfId="169"/>
    <tableColumn id="126" xr3:uid="{81D0BDE5-B5BD-41AD-AE49-0F05E206FF4F}" name="Ogólny poziom mojej satysfakcji z jakości usług edukacyjnych ocenianej uczelni jest wysoki." totalsRowDxfId="168"/>
    <tableColumn id="127" xr3:uid="{E1B74221-E8AC-4764-9FBA-17BC7A8DAB4F}" name="Studenci : wybierz wartość z listy rozwijanej" totalsRowDxfId="167"/>
    <tableColumn id="128" xr3:uid="{9521E128-6D78-41F6-9BED-3F1F3009376D}" name="Absolwenci : wybierz wartość z listy rozwijanej" totalsRowDxfId="166"/>
    <tableColumn id="129" xr3:uid="{F972B7F0-4237-45DD-B8D9-6E5F80BC382C}" name="Rodzice absolwentów : wybierz wartość z listy rozwijanej" totalsRowDxfId="165"/>
    <tableColumn id="130" xr3:uid="{D18127FA-4AAC-43F7-8718-648B089DA3AE}" name="Pracownicy administracyjni : wybierz wartość z listy rozwijanej" totalsRowDxfId="164"/>
    <tableColumn id="131" xr3:uid="{9AD30943-8FF3-4081-BC52-0A68F33FA1E6}" name="Pracownicy naukowi i dydaktyczni : wybierz wartość z listy rozwijanej" totalsRowDxfId="163"/>
    <tableColumn id="132" xr3:uid="{F15383FF-5030-41F2-B790-DA1B9ACCD614}" name="Pracodawcy : wybierz wartość z listy rozwijanej" totalsRowDxfId="162"/>
    <tableColumn id="133" xr3:uid="{A113041C-1CEA-48AE-A9F9-6427226B931F}" name="Władze samorządowe i centralne : wybierz wartość z listy rozwijanej" totalsRowDxfId="161"/>
    <tableColumn id="134" xr3:uid="{2391059C-06A8-4E9F-9A30-2923C913E592}" name="Pole dodatkowe4" totalsRowDxfId="160"/>
    <tableColumn id="135" xr3:uid="{87323607-8918-4675-942B-66DDA6ACC52D}" name="Studenci : wybierz wartość z listy rozwijanej5" totalsRowDxfId="159"/>
    <tableColumn id="136" xr3:uid="{575464E3-342E-4010-A0B5-F16E0DA7F25D}" name="Absolwenci : wybierz wartość z listy rozwijanej6" totalsRowDxfId="158"/>
    <tableColumn id="137" xr3:uid="{3C4E7A29-9534-46F7-9E09-353DAEA57455}" name="Rodzice absolwentów : wybierz wartość z listy rozwijanej7" totalsRowDxfId="157"/>
    <tableColumn id="138" xr3:uid="{5EFF4867-813D-4D19-AFD2-41795D704E9D}" name="Pracownicy administracyjni : wybierz wartość z listy rozwijanej8" totalsRowDxfId="156"/>
    <tableColumn id="139" xr3:uid="{BD3A3545-6744-40C8-B6F9-128B604A0016}" name="Pracownicy naukowi i dydaktyczni : wybierz wartość z listy rozwijanej9" totalsRowDxfId="155"/>
    <tableColumn id="140" xr3:uid="{A370427A-746A-432F-8439-DE3E0F05E90C}" name="Pracodawcy : wybierz wartość z listy rozwijanej10" totalsRowDxfId="154"/>
    <tableColumn id="141" xr3:uid="{A6D0879A-E0B6-4F9C-B8AB-CCB9C168853D}" name="Władze samorządowe i centralne : wybierz wartość z listy rozwijanej11" totalsRowDxfId="153"/>
    <tableColumn id="142" xr3:uid="{ED69D784-3A72-4212-8A94-FFF937BB5636}" name="Pole dodatkowe12" totalsRowDxfId="152"/>
    <tableColumn id="143" xr3:uid="{F9376235-C8DC-451D-B95A-275409F154F3}" name="Czy jesteś przedstawicielem firmy, w której są zatrudniani absolwenci uczelni wyższych (tytuł licencjata, magistra lub wyższy)?" totalsRowFunction="custom" dataDxfId="151" totalsRowDxfId="150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49"/>
    <tableColumn id="145" xr3:uid="{FEA12265-815B-4115-947C-C4D7389958E8}" name="Ile uczelni będziesz oceniać?" totalsRowDxfId="148"/>
    <tableColumn id="146" xr3:uid="{26F5BBF0-E63C-4FC8-A2F3-F0ADC728D5E4}" name="Jak się nazywa uczelnia, którą ocenisz? " totalsRowDxfId="147"/>
    <tableColumn id="147" xr3:uid="{61714612-8B24-4377-BCF5-066C33634E6F}" name="Moja satysfakcja z (efektów) usług edukacyjnych na ocenianej uczelni jest wysoka." totalsRowDxfId="146"/>
    <tableColumn id="148" xr3:uid="{043BF385-CFC6-4AC5-BD7D-2DC21351418F}" name="Kompetencje absolwentów ocenianej uczelni są wysokie." totalsRowDxfId="145"/>
    <tableColumn id="149" xr3:uid="{35B1450E-E76E-4137-923C-C1196FE6A242}" name="Zarobki absolwentów ocenianej uczelni zatrudnionych w mojej firmie są wyższe od zarobków absolwentów innych polskich uczelni." totalsRowDxfId="144"/>
    <tableColumn id="150" xr3:uid="{46264593-E5FF-4A8E-9E32-B5CDAD83DB38}" name="Czy w Twojej firmie są zatrudniani absolwenci uczelni w pierwszym roku po ukończeniu studiów (do 12 miesięcy od uzyskania dyplomu)?" totalsRowDxfId="143"/>
    <tableColumn id="151" xr3:uid="{AFEC3724-7638-4FBB-9B74-E3C5F372DFD7}" name="Jakie kompetencje absolwentów ocenianej uczelni są w Twojej firmie najwyżej wyceniane?" totalsRowDxfId="142"/>
    <tableColumn id="152" xr3:uid="{7C41F20E-87DA-419A-A4DC-8FC7E15280E1}" name="Jakiego rodzaju prace wykonują absolwenci ocenianej uczelni w Twojej firmie?" totalsRowDxfId="141"/>
    <tableColumn id="153" xr3:uid="{A53B26E4-0EB5-4875-918F-C84DFA999490}" name="Czy będziesz oceniał drugą uczelnię?" totalsRowDxfId="140"/>
    <tableColumn id="154" xr3:uid="{C51996BB-6F72-462D-AF3A-889816D9376D}" name="Jak się nazywa uczelnia, którą ocenisz? 13" totalsRowDxfId="139"/>
    <tableColumn id="155" xr3:uid="{C4DC7D31-6CB7-4667-BEF7-8EFAA1443E26}" name="Moja satysfakcja z (efektów) usług edukacyjnych na ocenianej uczelni jest wysoka.14" totalsRowDxfId="138"/>
    <tableColumn id="156" xr3:uid="{6BE5AEB2-D87C-4FAD-8A78-12F3665EA35B}" name="Kompetencje absolwentów ocenianej uczelni są wysokie.15" totalsRowDxfId="137"/>
    <tableColumn id="157" xr3:uid="{E68B03D6-C361-4634-B98C-870BC31CEDD8}" name="Zarobki absolwentów ocenianej uczelni zatrudnionych w mojej firmie są wyższe od zarobków absolwentów innych polskich uczelni.16" totalsRowDxfId="136"/>
    <tableColumn id="158" xr3:uid="{7AE77260-6064-4321-A8D8-8F0B2D560514}" name="Czy w Twojej firmie są zatrudniani absolwenci uczelni w pierwszym roku po ukończeniu studiów (do 12 miesięcy od uzyskania dyplomu)?17" totalsRowDxfId="135"/>
    <tableColumn id="159" xr3:uid="{02179DC7-236C-405B-9717-3820DB37DCDE}" name="Jakie kompetencje absolwentów ocenianej uczelni są w Twojej firmie najwyżej wyceniane?18" totalsRowDxfId="134"/>
    <tableColumn id="160" xr3:uid="{ACD9DA00-A265-43F3-A8CD-4AB9D52D21A7}" name="Jakiego rodzaju prace wykonują absolwenci ocenianej uczelni w Twojej firmie?19" totalsRowDxfId="133"/>
    <tableColumn id="161" xr3:uid="{40C65435-9246-41B9-9D13-8617AD0D615B}" name="Czy będziesz oceniał trzecią uczelnię techniczną?" totalsRowDxfId="132"/>
    <tableColumn id="162" xr3:uid="{6D52B5AA-D38E-4A9C-9FC4-C5F27711E4B2}" name="Jak się nazywa uczelnia, którą ocenisz? 20" totalsRowDxfId="131"/>
    <tableColumn id="163" xr3:uid="{121D311A-63E4-4EF2-A0DA-FAA985067046}" name="Moja satysfakcja z (efektów) usług edukacyjnych na ocenianej uczelni jest wysoka.21" totalsRowDxfId="130"/>
    <tableColumn id="164" xr3:uid="{F282EA05-D156-4529-9BC1-8600524F81FD}" name="Kompetencje absolwentów ocenianej uczelni są wysokie.22" totalsRowDxfId="129"/>
    <tableColumn id="165" xr3:uid="{58F11C5E-414B-4C75-8CE5-1580D3F448A9}" name="Zarobki absolwentów ocenianej uczelni zatrudnionych w mojej firmie są wyższe od zarobków absolwentów innych polskich uczelni.23" totalsRowDxfId="128"/>
    <tableColumn id="166" xr3:uid="{3E1C84AB-DCF6-4B96-B25A-E3AA8A32B928}" name="Czy w Twojej firmie są zatrudniani absolwenci uczelni w pierwszym roku po ukończeniu studiów (do 12 miesięcy od uzyskania dyplomu)?24" totalsRowDxfId="127"/>
    <tableColumn id="167" xr3:uid="{4C87DA44-3851-4B6F-8471-F5B274EEF69E}" name="Jakie kompetencje absolwentów ocenianej uczelni są w Twojej firmie najwyżej wyceniane?25" totalsRowDxfId="126"/>
    <tableColumn id="168" xr3:uid="{4889D3B6-442C-490C-9642-B9781EC55E1C}" name="Jakiego rodzaju prace wykonują absolwenci ocenianej uczelni są w Twojej firmie?" totalsRowDxfId="125"/>
    <tableColumn id="169" xr3:uid="{370CF6EE-F46C-4CFF-9496-7844071DF992}" name="Czy jesteś przedstawicielem władz samorządowych lub centralnych Rzeczypospolitej Polskiej?" totalsRowFunction="custom" dataDxfId="124" totalsRowDxfId="123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785"/>
  <sheetViews>
    <sheetView topLeftCell="A530" zoomScaleNormal="100" workbookViewId="0">
      <selection activeCell="A674" sqref="A674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44.53125" customWidth="1"/>
    <col min="5" max="5" width="12.19921875" bestFit="1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2426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44">
        <f>SUM(D134:D141)/C143</f>
        <v>5.0714285714285712</v>
      </c>
      <c r="E142" s="20" t="s">
        <v>2353</v>
      </c>
      <c r="F142" s="44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2406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44">
        <f>SUM(D147:D153)/C156</f>
        <v>4.7857142857142856</v>
      </c>
      <c r="E155" s="20" t="s">
        <v>2353</v>
      </c>
      <c r="F155" s="44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44">
        <f>SUM(D159:D166)/C168</f>
        <v>4.5714285714285712</v>
      </c>
      <c r="E167" s="20" t="s">
        <v>2353</v>
      </c>
      <c r="F167" s="44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2426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44">
        <f>SUM(D173:D179)/C182</f>
        <v>5.1932773109243699</v>
      </c>
      <c r="E181" s="20" t="s">
        <v>2353</v>
      </c>
      <c r="F181" s="44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2404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44">
        <f>SUM(D186:D192)/C195</f>
        <v>5.1092436974789912</v>
      </c>
      <c r="E194" s="20" t="s">
        <v>2353</v>
      </c>
      <c r="F194" s="44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44">
        <f>SUM(D198:D204)/C207</f>
        <v>4.9579831932773111</v>
      </c>
      <c r="E206" s="20" t="s">
        <v>2353</v>
      </c>
      <c r="F206" s="44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2426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2353</v>
      </c>
      <c r="L218" s="44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2353</v>
      </c>
      <c r="L231" s="44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2404</v>
      </c>
    </row>
    <row r="233" spans="1:13" x14ac:dyDescent="0.45">
      <c r="B233" s="20"/>
      <c r="D233" s="33"/>
      <c r="F233" s="44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2353</v>
      </c>
      <c r="L243" s="44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2404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44">
        <f>SUM(D250:D256)/C259</f>
        <v>6.75</v>
      </c>
      <c r="E258" s="20" t="s">
        <v>2353</v>
      </c>
      <c r="F258" s="44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2404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44">
        <f>SUM(D263:D269)/C272</f>
        <v>6.25</v>
      </c>
      <c r="E271" s="20" t="s">
        <v>2353</v>
      </c>
      <c r="F271" s="44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2404</v>
      </c>
    </row>
    <row r="273" spans="1:7" x14ac:dyDescent="0.45">
      <c r="B273" s="20"/>
      <c r="D273" s="33"/>
      <c r="F273" s="44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44">
        <f>SUM(D275:D281)/C284</f>
        <v>6</v>
      </c>
      <c r="E283" s="20" t="s">
        <v>2353</v>
      </c>
      <c r="F283" s="44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2404</v>
      </c>
    </row>
    <row r="285" spans="1:7" x14ac:dyDescent="0.45">
      <c r="B285" s="20"/>
      <c r="D285" s="33"/>
      <c r="F285" s="44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44">
        <f>SUM(D287:D293)/C296</f>
        <v>6.75</v>
      </c>
      <c r="E295" s="20" t="s">
        <v>2353</v>
      </c>
      <c r="F295" s="44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2404</v>
      </c>
    </row>
    <row r="297" spans="1:7" x14ac:dyDescent="0.45">
      <c r="B297" s="20"/>
      <c r="D297" s="33"/>
      <c r="F297" s="44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44">
        <f>SUM(D299:D305)/C308</f>
        <v>6.5</v>
      </c>
      <c r="E307" s="20" t="s">
        <v>2353</v>
      </c>
      <c r="F307" s="44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2404</v>
      </c>
    </row>
    <row r="309" spans="1:7" x14ac:dyDescent="0.45">
      <c r="B309" s="20"/>
      <c r="D309" s="33"/>
      <c r="F309" s="44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44">
        <f>SUM(D311:D317)/C320</f>
        <v>6.5</v>
      </c>
      <c r="E319" s="20" t="s">
        <v>2353</v>
      </c>
      <c r="F319" s="44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2426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44">
        <f>SUM(D323:D329)/C332</f>
        <v>6</v>
      </c>
      <c r="E331" s="20" t="s">
        <v>2353</v>
      </c>
      <c r="F331" s="44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2404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44">
        <f>SUM(D336:D342)/C345</f>
        <v>6.0625</v>
      </c>
      <c r="E344" s="20" t="s">
        <v>2353</v>
      </c>
      <c r="F344" s="44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44">
        <f>SUM(D348:D354)/C357</f>
        <v>5.4375</v>
      </c>
      <c r="E356" s="20" t="s">
        <v>2353</v>
      </c>
      <c r="F356" s="44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2404</v>
      </c>
    </row>
    <row r="358" spans="1:7" x14ac:dyDescent="0.45">
      <c r="B358" s="20"/>
      <c r="D358" s="33"/>
      <c r="F358" s="44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44">
        <f>SUM(D360:D366)/C369</f>
        <v>5.875</v>
      </c>
      <c r="E368" s="20" t="s">
        <v>2353</v>
      </c>
      <c r="F368" s="44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2404</v>
      </c>
    </row>
    <row r="370" spans="1:7" x14ac:dyDescent="0.45">
      <c r="B370" s="20"/>
      <c r="D370" s="33"/>
      <c r="F370" s="44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44">
        <f>SUM(D372:D378)/C381</f>
        <v>5.6875</v>
      </c>
      <c r="E380" s="20" t="s">
        <v>2353</v>
      </c>
      <c r="F380" s="44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2404</v>
      </c>
    </row>
    <row r="382" spans="1:7" x14ac:dyDescent="0.45">
      <c r="B382" s="20"/>
      <c r="D382" s="33"/>
      <c r="F382" s="44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44">
        <f>SUM(D384:D390)/C393</f>
        <v>5.4375</v>
      </c>
      <c r="E392" s="20" t="s">
        <v>2353</v>
      </c>
      <c r="F392" s="44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2404</v>
      </c>
    </row>
    <row r="394" spans="1:7" x14ac:dyDescent="0.45">
      <c r="B394" s="20"/>
      <c r="D394" s="33"/>
      <c r="F394" s="44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44">
        <f>SUM(D396:D402)/C405</f>
        <v>5.8</v>
      </c>
      <c r="E404" s="20" t="s">
        <v>2353</v>
      </c>
      <c r="F404" s="44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2404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44">
        <f>SUM(D409:D415)/C418</f>
        <v>5.8</v>
      </c>
      <c r="E417" s="20" t="s">
        <v>2353</v>
      </c>
      <c r="F417" s="44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2404</v>
      </c>
    </row>
    <row r="419" spans="1:7" x14ac:dyDescent="0.45">
      <c r="B419" s="20"/>
      <c r="D419" s="33"/>
      <c r="F419" s="44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44">
        <f>SUM(D421:D427)/C430</f>
        <v>6</v>
      </c>
      <c r="E429" s="20" t="s">
        <v>2353</v>
      </c>
      <c r="F429" s="44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2404</v>
      </c>
    </row>
    <row r="431" spans="1:7" x14ac:dyDescent="0.45">
      <c r="B431" s="20"/>
      <c r="D431" s="33"/>
      <c r="F431" s="44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44">
        <f>SUM(D433:D439)/C442</f>
        <v>5.6</v>
      </c>
      <c r="E441" s="20" t="s">
        <v>2353</v>
      </c>
      <c r="F441" s="44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2404</v>
      </c>
    </row>
    <row r="443" spans="1:7" x14ac:dyDescent="0.45">
      <c r="B443" s="20"/>
      <c r="D443" s="33"/>
      <c r="F443" s="44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44">
        <f>SUM(D445:D451)/C454</f>
        <v>5.75</v>
      </c>
      <c r="E453" s="20" t="s">
        <v>2353</v>
      </c>
      <c r="F453" s="44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2404</v>
      </c>
    </row>
    <row r="455" spans="1:7" x14ac:dyDescent="0.45">
      <c r="B455" s="20"/>
      <c r="D455" s="33"/>
      <c r="F455" s="44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44">
        <f>SUM(D457:D463)/C466</f>
        <v>5.75</v>
      </c>
      <c r="E465" s="20" t="s">
        <v>2353</v>
      </c>
      <c r="F465" s="44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2404</v>
      </c>
    </row>
    <row r="467" spans="1:7" x14ac:dyDescent="0.45">
      <c r="B467" s="20"/>
      <c r="D467" s="33"/>
      <c r="F467" s="44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44">
        <f>SUM(D469:D475)/C478</f>
        <v>6</v>
      </c>
      <c r="E477" s="20" t="s">
        <v>2353</v>
      </c>
      <c r="F477" s="44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2404</v>
      </c>
    </row>
    <row r="479" spans="1:7" x14ac:dyDescent="0.45">
      <c r="B479" s="20"/>
      <c r="D479" s="33"/>
      <c r="F479" s="44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44">
        <f>SUM(D481:D487)/C490</f>
        <v>5.117647058823529</v>
      </c>
      <c r="E489" s="20" t="s">
        <v>2353</v>
      </c>
      <c r="F489" s="44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2404</v>
      </c>
    </row>
    <row r="491" spans="1:20" x14ac:dyDescent="0.45">
      <c r="B491" s="20"/>
      <c r="D491" s="33"/>
      <c r="F491" s="44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2426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2353</v>
      </c>
      <c r="L501" s="44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2353</v>
      </c>
      <c r="L514" s="44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2404</v>
      </c>
    </row>
    <row r="516" spans="1:13" x14ac:dyDescent="0.45">
      <c r="B516" s="20"/>
      <c r="D516" s="33"/>
      <c r="F516" s="44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2353</v>
      </c>
      <c r="L526" s="44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2404</v>
      </c>
    </row>
    <row r="528" spans="1:13" x14ac:dyDescent="0.45">
      <c r="B528" s="20"/>
      <c r="D528" s="33"/>
      <c r="F528" s="44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44">
        <f>SUM(D530:D536)/C539</f>
        <v>6.5</v>
      </c>
      <c r="E538" s="20" t="s">
        <v>2353</v>
      </c>
      <c r="F538" s="44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2404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44">
        <f>SUM(D544:D550)/C553</f>
        <v>6</v>
      </c>
      <c r="E552" s="20" t="s">
        <v>2353</v>
      </c>
      <c r="F552" s="44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44">
        <f>SUM(D556:D562)/C565</f>
        <v>6</v>
      </c>
      <c r="E564" s="20" t="s">
        <v>2353</v>
      </c>
      <c r="F564" s="44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44">
        <f>SUM(D568:D574)/C577</f>
        <v>6.5</v>
      </c>
      <c r="E576" s="20" t="s">
        <v>2353</v>
      </c>
      <c r="F576" s="44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44">
        <f>SUM(D580:D586)/C589</f>
        <v>6.5</v>
      </c>
      <c r="E588" s="20" t="s">
        <v>2353</v>
      </c>
      <c r="F588" s="44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44">
        <f>SUM(D592:D598)/C601</f>
        <v>6</v>
      </c>
      <c r="E600" s="20" t="s">
        <v>2353</v>
      </c>
      <c r="F600" s="44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44">
        <f>SUM(D604:D610)/C613</f>
        <v>6</v>
      </c>
      <c r="E612" s="20" t="s">
        <v>2353</v>
      </c>
      <c r="F612" s="44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2404</v>
      </c>
    </row>
    <row r="618" spans="1:7" x14ac:dyDescent="0.45">
      <c r="B618" s="20" t="s">
        <v>2434</v>
      </c>
      <c r="C618" s="53">
        <v>5.0709999999999997</v>
      </c>
    </row>
    <row r="619" spans="1:7" x14ac:dyDescent="0.45">
      <c r="B619" s="20" t="s">
        <v>2435</v>
      </c>
      <c r="C619" s="53">
        <v>5.1929999999999996</v>
      </c>
    </row>
    <row r="620" spans="1:7" x14ac:dyDescent="0.45">
      <c r="B620" s="20" t="s">
        <v>2436</v>
      </c>
      <c r="C620" s="53">
        <v>5.6959999999999997</v>
      </c>
    </row>
    <row r="621" spans="1:7" x14ac:dyDescent="0.45">
      <c r="B621" s="20" t="s">
        <v>2437</v>
      </c>
      <c r="C621" s="53">
        <v>6.75</v>
      </c>
    </row>
    <row r="622" spans="1:7" x14ac:dyDescent="0.45">
      <c r="B622" s="20" t="s">
        <v>2438</v>
      </c>
      <c r="C622" s="53">
        <v>6</v>
      </c>
    </row>
    <row r="623" spans="1:7" x14ac:dyDescent="0.45">
      <c r="B623" s="20" t="s">
        <v>2439</v>
      </c>
      <c r="C623" s="53">
        <v>5.8</v>
      </c>
    </row>
    <row r="624" spans="1:7" x14ac:dyDescent="0.45">
      <c r="B624" s="20" t="s">
        <v>2440</v>
      </c>
      <c r="C624" s="53">
        <v>4.8</v>
      </c>
    </row>
    <row r="625" spans="1:16" x14ac:dyDescent="0.45">
      <c r="B625" s="20" t="s">
        <v>2441</v>
      </c>
      <c r="C625" s="53">
        <v>6.5</v>
      </c>
    </row>
    <row r="628" spans="1:16" x14ac:dyDescent="0.45">
      <c r="B628" s="20" t="s">
        <v>2433</v>
      </c>
      <c r="C628" s="44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  <row r="661" spans="2:7" x14ac:dyDescent="0.45">
      <c r="C661">
        <f>CORREL(AbsDoKorelacji[CzyTechnicznaWartości],AbsDoKorelacji[Zatrudnienie w 1 roku])</f>
        <v>-0.14111319761359148</v>
      </c>
      <c r="F661" s="58">
        <f>CORREL(AbsDoKorelacji[CzyTechnicznaWartości],AbsDoKorelacji[Wartości_po1roku])</f>
        <v>0.1851598650565606</v>
      </c>
      <c r="G661" s="58">
        <f>CORREL(AbsDoKorelacji[CzyTechnicznaWartości],AbsDoKorelacji[Wartości_po3latach])</f>
        <v>0.29768449183774581</v>
      </c>
    </row>
    <row r="663" spans="2:7" x14ac:dyDescent="0.45">
      <c r="B663" t="s">
        <v>2464</v>
      </c>
      <c r="C663" s="20" t="s">
        <v>2473</v>
      </c>
      <c r="D663" t="s">
        <v>29</v>
      </c>
      <c r="E663" s="20" t="s">
        <v>2472</v>
      </c>
      <c r="F663" t="s">
        <v>2470</v>
      </c>
      <c r="G663" s="20" t="s">
        <v>2471</v>
      </c>
    </row>
    <row r="664" spans="2:7" x14ac:dyDescent="0.45">
      <c r="B664" t="s">
        <v>2462</v>
      </c>
      <c r="C664">
        <v>0</v>
      </c>
      <c r="D664">
        <v>34</v>
      </c>
      <c r="E664">
        <f>IF(AbsDoKorelacji[[#This Row],[CzyUczelniaTechniczna]]="Techniczna",1,0)</f>
        <v>1</v>
      </c>
      <c r="F664">
        <v>500</v>
      </c>
      <c r="G664">
        <v>500</v>
      </c>
    </row>
    <row r="665" spans="2:7" x14ac:dyDescent="0.45">
      <c r="B665" t="s">
        <v>2462</v>
      </c>
      <c r="C665">
        <v>0</v>
      </c>
      <c r="D665">
        <v>36</v>
      </c>
      <c r="E665">
        <f>IF(AbsDoKorelacji[[#This Row],[CzyUczelniaTechniczna]]="Techniczna",1,0)</f>
        <v>1</v>
      </c>
      <c r="F665" t="s">
        <v>2329</v>
      </c>
      <c r="G665" t="s">
        <v>2329</v>
      </c>
    </row>
    <row r="666" spans="2:7" x14ac:dyDescent="0.45">
      <c r="B666" t="s">
        <v>2462</v>
      </c>
      <c r="C666">
        <v>0</v>
      </c>
      <c r="D666" t="s">
        <v>1623</v>
      </c>
      <c r="E666">
        <f>IF(AbsDoKorelacji[[#This Row],[CzyUczelniaTechniczna]]="Techniczna",1,0)</f>
        <v>1</v>
      </c>
      <c r="F666" t="s">
        <v>2329</v>
      </c>
      <c r="G666">
        <v>2500</v>
      </c>
    </row>
    <row r="667" spans="2:7" x14ac:dyDescent="0.45">
      <c r="B667" t="s">
        <v>2463</v>
      </c>
      <c r="C667">
        <v>0</v>
      </c>
      <c r="D667" t="s">
        <v>2036</v>
      </c>
      <c r="E667">
        <f>IF(AbsDoKorelacji[[#This Row],[CzyUczelniaTechniczna]]="Techniczna",1,0)</f>
        <v>0</v>
      </c>
      <c r="F667" t="s">
        <v>2329</v>
      </c>
      <c r="G667" t="s">
        <v>2329</v>
      </c>
    </row>
    <row r="668" spans="2:7" x14ac:dyDescent="0.45">
      <c r="B668" t="s">
        <v>2462</v>
      </c>
      <c r="C668">
        <v>0</v>
      </c>
      <c r="D668" t="s">
        <v>252</v>
      </c>
      <c r="E668">
        <f>IF(AbsDoKorelacji[[#This Row],[CzyUczelniaTechniczna]]="Techniczna",1,0)</f>
        <v>1</v>
      </c>
      <c r="F668" t="s">
        <v>2329</v>
      </c>
      <c r="G668" t="s">
        <v>2329</v>
      </c>
    </row>
    <row r="669" spans="2:7" x14ac:dyDescent="0.45">
      <c r="B669" t="s">
        <v>2463</v>
      </c>
      <c r="C669">
        <v>0</v>
      </c>
      <c r="D669" t="s">
        <v>661</v>
      </c>
      <c r="E669">
        <f>IF(AbsDoKorelacji[[#This Row],[CzyUczelniaTechniczna]]="Techniczna",1,0)</f>
        <v>0</v>
      </c>
      <c r="F669">
        <v>2500</v>
      </c>
      <c r="G669" t="s">
        <v>2329</v>
      </c>
    </row>
    <row r="670" spans="2:7" x14ac:dyDescent="0.45">
      <c r="B670" t="s">
        <v>2462</v>
      </c>
      <c r="C670">
        <v>0</v>
      </c>
      <c r="D670" t="s">
        <v>350</v>
      </c>
      <c r="E670">
        <f>IF(AbsDoKorelacji[[#This Row],[CzyUczelniaTechniczna]]="Techniczna",1,0)</f>
        <v>1</v>
      </c>
      <c r="F670">
        <v>2500</v>
      </c>
      <c r="G670">
        <v>2500</v>
      </c>
    </row>
    <row r="671" spans="2:7" x14ac:dyDescent="0.45">
      <c r="B671" t="s">
        <v>2463</v>
      </c>
      <c r="C671">
        <v>1</v>
      </c>
      <c r="D671">
        <v>0</v>
      </c>
      <c r="E671">
        <f>IF(AbsDoKorelacji[[#This Row],[CzyUczelniaTechniczna]]="Techniczna",1,0)</f>
        <v>0</v>
      </c>
      <c r="F671">
        <v>500</v>
      </c>
      <c r="G671">
        <v>500</v>
      </c>
    </row>
    <row r="672" spans="2:7" x14ac:dyDescent="0.45">
      <c r="B672" t="s">
        <v>2463</v>
      </c>
      <c r="C672">
        <v>1</v>
      </c>
      <c r="D672">
        <v>0</v>
      </c>
      <c r="E672">
        <f>IF(AbsDoKorelacji[[#This Row],[CzyUczelniaTechniczna]]="Techniczna",1,0)</f>
        <v>0</v>
      </c>
      <c r="F672">
        <v>3500</v>
      </c>
      <c r="G672" t="s">
        <v>2329</v>
      </c>
    </row>
    <row r="673" spans="2:7" x14ac:dyDescent="0.45">
      <c r="B673" t="s">
        <v>2463</v>
      </c>
      <c r="C673">
        <v>1</v>
      </c>
      <c r="D673">
        <v>0</v>
      </c>
      <c r="E673">
        <f>IF(AbsDoKorelacji[[#This Row],[CzyUczelniaTechniczna]]="Techniczna",1,0)</f>
        <v>0</v>
      </c>
      <c r="F673">
        <v>1500</v>
      </c>
      <c r="G673">
        <v>1500</v>
      </c>
    </row>
    <row r="674" spans="2:7" x14ac:dyDescent="0.45">
      <c r="B674" t="s">
        <v>2462</v>
      </c>
      <c r="C674">
        <v>1</v>
      </c>
      <c r="D674">
        <v>0</v>
      </c>
      <c r="E674">
        <f>IF(AbsDoKorelacji[[#This Row],[CzyUczelniaTechniczna]]="Techniczna",1,0)</f>
        <v>1</v>
      </c>
      <c r="F674">
        <v>3500</v>
      </c>
      <c r="G674">
        <v>4500</v>
      </c>
    </row>
    <row r="675" spans="2:7" x14ac:dyDescent="0.45">
      <c r="B675" t="s">
        <v>2463</v>
      </c>
      <c r="C675">
        <v>1</v>
      </c>
      <c r="D675">
        <v>0</v>
      </c>
      <c r="E675">
        <f>IF(AbsDoKorelacji[[#This Row],[CzyUczelniaTechniczna]]="Techniczna",1,0)</f>
        <v>0</v>
      </c>
      <c r="F675">
        <v>1500</v>
      </c>
      <c r="G675">
        <v>2500</v>
      </c>
    </row>
    <row r="676" spans="2:7" x14ac:dyDescent="0.45">
      <c r="B676" t="s">
        <v>2463</v>
      </c>
      <c r="C676">
        <v>1</v>
      </c>
      <c r="D676">
        <v>0</v>
      </c>
      <c r="E676">
        <f>IF(AbsDoKorelacji[[#This Row],[CzyUczelniaTechniczna]]="Techniczna",1,0)</f>
        <v>0</v>
      </c>
      <c r="F676">
        <v>500</v>
      </c>
      <c r="G676">
        <v>500</v>
      </c>
    </row>
    <row r="677" spans="2:7" x14ac:dyDescent="0.45">
      <c r="B677" t="s">
        <v>2462</v>
      </c>
      <c r="C677">
        <v>1</v>
      </c>
      <c r="D677">
        <v>0</v>
      </c>
      <c r="E677">
        <f>IF(AbsDoKorelacji[[#This Row],[CzyUczelniaTechniczna]]="Techniczna",1,0)</f>
        <v>1</v>
      </c>
      <c r="F677">
        <v>3500</v>
      </c>
      <c r="G677">
        <v>5500</v>
      </c>
    </row>
    <row r="678" spans="2:7" x14ac:dyDescent="0.45">
      <c r="B678" t="s">
        <v>2462</v>
      </c>
      <c r="C678">
        <v>1</v>
      </c>
      <c r="D678">
        <v>0</v>
      </c>
      <c r="E678">
        <f>IF(AbsDoKorelacji[[#This Row],[CzyUczelniaTechniczna]]="Techniczna",1,0)</f>
        <v>1</v>
      </c>
      <c r="F678">
        <v>4500</v>
      </c>
      <c r="G678">
        <v>4500</v>
      </c>
    </row>
    <row r="679" spans="2:7" x14ac:dyDescent="0.45">
      <c r="B679" t="s">
        <v>2463</v>
      </c>
      <c r="C679">
        <v>1</v>
      </c>
      <c r="D679">
        <v>0</v>
      </c>
      <c r="E679">
        <f>IF(AbsDoKorelacji[[#This Row],[CzyUczelniaTechniczna]]="Techniczna",1,0)</f>
        <v>0</v>
      </c>
      <c r="F679">
        <v>1500</v>
      </c>
      <c r="G679">
        <v>2500</v>
      </c>
    </row>
    <row r="680" spans="2:7" x14ac:dyDescent="0.45">
      <c r="B680" t="s">
        <v>2462</v>
      </c>
      <c r="C680">
        <v>1</v>
      </c>
      <c r="D680">
        <v>1</v>
      </c>
      <c r="E680">
        <f>IF(AbsDoKorelacji[[#This Row],[CzyUczelniaTechniczna]]="Techniczna",1,0)</f>
        <v>1</v>
      </c>
      <c r="F680">
        <v>1500</v>
      </c>
      <c r="G680">
        <v>3500</v>
      </c>
    </row>
    <row r="681" spans="2:7" x14ac:dyDescent="0.45">
      <c r="B681" t="s">
        <v>2463</v>
      </c>
      <c r="C681">
        <v>1</v>
      </c>
      <c r="D681">
        <v>1</v>
      </c>
      <c r="E681">
        <f>IF(AbsDoKorelacji[[#This Row],[CzyUczelniaTechniczna]]="Techniczna",1,0)</f>
        <v>0</v>
      </c>
      <c r="F681">
        <v>1500</v>
      </c>
      <c r="G681">
        <v>3500</v>
      </c>
    </row>
    <row r="682" spans="2:7" x14ac:dyDescent="0.45">
      <c r="B682" t="s">
        <v>2462</v>
      </c>
      <c r="C682">
        <v>1</v>
      </c>
      <c r="D682">
        <v>1</v>
      </c>
      <c r="E682">
        <f>IF(AbsDoKorelacji[[#This Row],[CzyUczelniaTechniczna]]="Techniczna",1,0)</f>
        <v>1</v>
      </c>
      <c r="F682">
        <v>3500</v>
      </c>
      <c r="G682" t="s">
        <v>2329</v>
      </c>
    </row>
    <row r="683" spans="2:7" x14ac:dyDescent="0.45">
      <c r="B683" t="s">
        <v>2462</v>
      </c>
      <c r="C683">
        <v>1</v>
      </c>
      <c r="D683">
        <v>1</v>
      </c>
      <c r="E683">
        <f>IF(AbsDoKorelacji[[#This Row],[CzyUczelniaTechniczna]]="Techniczna",1,0)</f>
        <v>1</v>
      </c>
      <c r="F683">
        <v>2500</v>
      </c>
      <c r="G683">
        <v>4500</v>
      </c>
    </row>
    <row r="684" spans="2:7" x14ac:dyDescent="0.45">
      <c r="B684" t="s">
        <v>2463</v>
      </c>
      <c r="C684">
        <v>1</v>
      </c>
      <c r="D684">
        <v>1</v>
      </c>
      <c r="E684">
        <f>IF(AbsDoKorelacji[[#This Row],[CzyUczelniaTechniczna]]="Techniczna",1,0)</f>
        <v>0</v>
      </c>
      <c r="F684">
        <v>1500</v>
      </c>
      <c r="G684">
        <v>1500</v>
      </c>
    </row>
    <row r="685" spans="2:7" x14ac:dyDescent="0.45">
      <c r="B685" t="s">
        <v>2462</v>
      </c>
      <c r="C685">
        <v>1</v>
      </c>
      <c r="D685">
        <v>1</v>
      </c>
      <c r="E685">
        <f>IF(AbsDoKorelacji[[#This Row],[CzyUczelniaTechniczna]]="Techniczna",1,0)</f>
        <v>1</v>
      </c>
      <c r="F685">
        <v>2500</v>
      </c>
      <c r="G685">
        <v>4500</v>
      </c>
    </row>
    <row r="686" spans="2:7" x14ac:dyDescent="0.45">
      <c r="B686" t="s">
        <v>2462</v>
      </c>
      <c r="C686">
        <v>1</v>
      </c>
      <c r="D686">
        <v>1</v>
      </c>
      <c r="E686">
        <f>IF(AbsDoKorelacji[[#This Row],[CzyUczelniaTechniczna]]="Techniczna",1,0)</f>
        <v>1</v>
      </c>
      <c r="F686">
        <v>1500</v>
      </c>
      <c r="G686">
        <v>2500</v>
      </c>
    </row>
    <row r="687" spans="2:7" x14ac:dyDescent="0.45">
      <c r="B687" t="s">
        <v>2462</v>
      </c>
      <c r="C687">
        <v>1</v>
      </c>
      <c r="D687">
        <v>1</v>
      </c>
      <c r="E687">
        <f>IF(AbsDoKorelacji[[#This Row],[CzyUczelniaTechniczna]]="Techniczna",1,0)</f>
        <v>1</v>
      </c>
      <c r="F687">
        <v>1500</v>
      </c>
      <c r="G687">
        <v>3500</v>
      </c>
    </row>
    <row r="688" spans="2:7" x14ac:dyDescent="0.45">
      <c r="B688" t="s">
        <v>2462</v>
      </c>
      <c r="C688">
        <v>1</v>
      </c>
      <c r="D688">
        <v>2</v>
      </c>
      <c r="E688">
        <f>IF(AbsDoKorelacji[[#This Row],[CzyUczelniaTechniczna]]="Techniczna",1,0)</f>
        <v>1</v>
      </c>
      <c r="F688">
        <v>2500</v>
      </c>
      <c r="G688">
        <v>3500</v>
      </c>
    </row>
    <row r="689" spans="2:7" x14ac:dyDescent="0.45">
      <c r="B689" t="s">
        <v>2463</v>
      </c>
      <c r="C689">
        <v>1</v>
      </c>
      <c r="D689">
        <v>2</v>
      </c>
      <c r="E689">
        <f>IF(AbsDoKorelacji[[#This Row],[CzyUczelniaTechniczna]]="Techniczna",1,0)</f>
        <v>0</v>
      </c>
      <c r="F689">
        <v>1500</v>
      </c>
      <c r="G689">
        <v>2500</v>
      </c>
    </row>
    <row r="690" spans="2:7" x14ac:dyDescent="0.45">
      <c r="B690" t="s">
        <v>2463</v>
      </c>
      <c r="C690">
        <v>1</v>
      </c>
      <c r="D690">
        <v>2</v>
      </c>
      <c r="E690">
        <f>IF(AbsDoKorelacji[[#This Row],[CzyUczelniaTechniczna]]="Techniczna",1,0)</f>
        <v>0</v>
      </c>
      <c r="F690">
        <v>1500</v>
      </c>
      <c r="G690">
        <v>3500</v>
      </c>
    </row>
    <row r="691" spans="2:7" x14ac:dyDescent="0.45">
      <c r="B691" t="s">
        <v>2462</v>
      </c>
      <c r="C691">
        <v>1</v>
      </c>
      <c r="D691">
        <v>2</v>
      </c>
      <c r="E691">
        <f>IF(AbsDoKorelacji[[#This Row],[CzyUczelniaTechniczna]]="Techniczna",1,0)</f>
        <v>1</v>
      </c>
      <c r="F691">
        <v>2500</v>
      </c>
      <c r="G691">
        <v>4500</v>
      </c>
    </row>
    <row r="692" spans="2:7" x14ac:dyDescent="0.45">
      <c r="B692" t="s">
        <v>2463</v>
      </c>
      <c r="C692">
        <v>1</v>
      </c>
      <c r="D692">
        <v>2</v>
      </c>
      <c r="E692">
        <f>IF(AbsDoKorelacji[[#This Row],[CzyUczelniaTechniczna]]="Techniczna",1,0)</f>
        <v>0</v>
      </c>
      <c r="F692">
        <v>1500</v>
      </c>
      <c r="G692">
        <v>3500</v>
      </c>
    </row>
    <row r="693" spans="2:7" x14ac:dyDescent="0.45">
      <c r="B693" t="s">
        <v>2463</v>
      </c>
      <c r="C693">
        <v>1</v>
      </c>
      <c r="D693">
        <v>2</v>
      </c>
      <c r="E693">
        <f>IF(AbsDoKorelacji[[#This Row],[CzyUczelniaTechniczna]]="Techniczna",1,0)</f>
        <v>0</v>
      </c>
      <c r="F693">
        <v>2500</v>
      </c>
      <c r="G693">
        <v>2500</v>
      </c>
    </row>
    <row r="694" spans="2:7" x14ac:dyDescent="0.45">
      <c r="B694" t="s">
        <v>2463</v>
      </c>
      <c r="C694">
        <v>1</v>
      </c>
      <c r="D694">
        <v>2</v>
      </c>
      <c r="E694">
        <f>IF(AbsDoKorelacji[[#This Row],[CzyUczelniaTechniczna]]="Techniczna",1,0)</f>
        <v>0</v>
      </c>
      <c r="F694">
        <v>2500</v>
      </c>
      <c r="G694">
        <v>3500</v>
      </c>
    </row>
    <row r="695" spans="2:7" x14ac:dyDescent="0.45">
      <c r="B695" t="s">
        <v>2463</v>
      </c>
      <c r="C695">
        <v>1</v>
      </c>
      <c r="D695">
        <v>2</v>
      </c>
      <c r="E695">
        <f>IF(AbsDoKorelacji[[#This Row],[CzyUczelniaTechniczna]]="Techniczna",1,0)</f>
        <v>0</v>
      </c>
      <c r="F695">
        <v>1500</v>
      </c>
      <c r="G695">
        <v>2500</v>
      </c>
    </row>
    <row r="696" spans="2:7" x14ac:dyDescent="0.45">
      <c r="B696" t="s">
        <v>2463</v>
      </c>
      <c r="C696">
        <v>1</v>
      </c>
      <c r="D696">
        <v>3</v>
      </c>
      <c r="E696">
        <f>IF(AbsDoKorelacji[[#This Row],[CzyUczelniaTechniczna]]="Techniczna",1,0)</f>
        <v>0</v>
      </c>
      <c r="F696">
        <v>500</v>
      </c>
      <c r="G696">
        <v>3500</v>
      </c>
    </row>
    <row r="697" spans="2:7" x14ac:dyDescent="0.45">
      <c r="B697" t="s">
        <v>2463</v>
      </c>
      <c r="C697">
        <v>1</v>
      </c>
      <c r="D697">
        <v>3</v>
      </c>
      <c r="E697">
        <f>IF(AbsDoKorelacji[[#This Row],[CzyUczelniaTechniczna]]="Techniczna",1,0)</f>
        <v>0</v>
      </c>
      <c r="F697">
        <v>1500</v>
      </c>
      <c r="G697">
        <v>2500</v>
      </c>
    </row>
    <row r="698" spans="2:7" x14ac:dyDescent="0.45">
      <c r="B698" t="s">
        <v>2463</v>
      </c>
      <c r="C698">
        <v>1</v>
      </c>
      <c r="D698">
        <v>3</v>
      </c>
      <c r="E698">
        <f>IF(AbsDoKorelacji[[#This Row],[CzyUczelniaTechniczna]]="Techniczna",1,0)</f>
        <v>0</v>
      </c>
      <c r="F698">
        <v>500</v>
      </c>
      <c r="G698">
        <v>500</v>
      </c>
    </row>
    <row r="699" spans="2:7" x14ac:dyDescent="0.45">
      <c r="B699" t="s">
        <v>2463</v>
      </c>
      <c r="C699">
        <v>1</v>
      </c>
      <c r="D699">
        <v>3</v>
      </c>
      <c r="E699">
        <f>IF(AbsDoKorelacji[[#This Row],[CzyUczelniaTechniczna]]="Techniczna",1,0)</f>
        <v>0</v>
      </c>
      <c r="F699">
        <v>2500</v>
      </c>
      <c r="G699">
        <v>8500</v>
      </c>
    </row>
    <row r="700" spans="2:7" x14ac:dyDescent="0.45">
      <c r="B700" t="s">
        <v>2463</v>
      </c>
      <c r="C700">
        <v>1</v>
      </c>
      <c r="D700">
        <v>3</v>
      </c>
      <c r="E700">
        <f>IF(AbsDoKorelacji[[#This Row],[CzyUczelniaTechniczna]]="Techniczna",1,0)</f>
        <v>0</v>
      </c>
      <c r="F700">
        <v>1500</v>
      </c>
      <c r="G700">
        <v>2500</v>
      </c>
    </row>
    <row r="701" spans="2:7" x14ac:dyDescent="0.45">
      <c r="B701" t="s">
        <v>2463</v>
      </c>
      <c r="C701">
        <v>1</v>
      </c>
      <c r="D701">
        <v>3</v>
      </c>
      <c r="E701">
        <f>IF(AbsDoKorelacji[[#This Row],[CzyUczelniaTechniczna]]="Techniczna",1,0)</f>
        <v>0</v>
      </c>
      <c r="F701">
        <v>1500</v>
      </c>
      <c r="G701">
        <v>3500</v>
      </c>
    </row>
    <row r="702" spans="2:7" x14ac:dyDescent="0.45">
      <c r="B702" t="s">
        <v>2462</v>
      </c>
      <c r="C702">
        <v>1</v>
      </c>
      <c r="D702">
        <v>4</v>
      </c>
      <c r="E702">
        <f>IF(AbsDoKorelacji[[#This Row],[CzyUczelniaTechniczna]]="Techniczna",1,0)</f>
        <v>1</v>
      </c>
      <c r="F702">
        <v>3500</v>
      </c>
      <c r="G702">
        <v>3500</v>
      </c>
    </row>
    <row r="703" spans="2:7" x14ac:dyDescent="0.45">
      <c r="B703" t="s">
        <v>2463</v>
      </c>
      <c r="C703">
        <v>1</v>
      </c>
      <c r="D703">
        <v>4</v>
      </c>
      <c r="E703">
        <f>IF(AbsDoKorelacji[[#This Row],[CzyUczelniaTechniczna]]="Techniczna",1,0)</f>
        <v>0</v>
      </c>
      <c r="F703">
        <v>1500</v>
      </c>
      <c r="G703">
        <v>1500</v>
      </c>
    </row>
    <row r="704" spans="2:7" x14ac:dyDescent="0.45">
      <c r="B704" t="s">
        <v>2463</v>
      </c>
      <c r="C704">
        <v>1</v>
      </c>
      <c r="D704">
        <v>4</v>
      </c>
      <c r="E704">
        <f>IF(AbsDoKorelacji[[#This Row],[CzyUczelniaTechniczna]]="Techniczna",1,0)</f>
        <v>0</v>
      </c>
      <c r="F704">
        <v>500</v>
      </c>
      <c r="G704">
        <v>1500</v>
      </c>
    </row>
    <row r="705" spans="2:7" x14ac:dyDescent="0.45">
      <c r="B705" t="s">
        <v>2462</v>
      </c>
      <c r="C705">
        <v>1</v>
      </c>
      <c r="D705">
        <v>4</v>
      </c>
      <c r="E705">
        <f>IF(AbsDoKorelacji[[#This Row],[CzyUczelniaTechniczna]]="Techniczna",1,0)</f>
        <v>1</v>
      </c>
      <c r="F705">
        <v>2500</v>
      </c>
      <c r="G705">
        <v>3500</v>
      </c>
    </row>
    <row r="706" spans="2:7" x14ac:dyDescent="0.45">
      <c r="B706" t="s">
        <v>2463</v>
      </c>
      <c r="C706">
        <v>1</v>
      </c>
      <c r="D706">
        <v>4</v>
      </c>
      <c r="E706">
        <f>IF(AbsDoKorelacji[[#This Row],[CzyUczelniaTechniczna]]="Techniczna",1,0)</f>
        <v>0</v>
      </c>
      <c r="F706">
        <v>1500</v>
      </c>
      <c r="G706">
        <v>1500</v>
      </c>
    </row>
    <row r="707" spans="2:7" x14ac:dyDescent="0.45">
      <c r="B707" t="s">
        <v>2462</v>
      </c>
      <c r="C707">
        <v>1</v>
      </c>
      <c r="D707">
        <v>5</v>
      </c>
      <c r="E707">
        <f>IF(AbsDoKorelacji[[#This Row],[CzyUczelniaTechniczna]]="Techniczna",1,0)</f>
        <v>1</v>
      </c>
      <c r="F707">
        <v>2500</v>
      </c>
      <c r="G707">
        <v>2500</v>
      </c>
    </row>
    <row r="708" spans="2:7" x14ac:dyDescent="0.45">
      <c r="B708" t="s">
        <v>2463</v>
      </c>
      <c r="C708">
        <v>1</v>
      </c>
      <c r="D708">
        <v>5</v>
      </c>
      <c r="E708">
        <f>IF(AbsDoKorelacji[[#This Row],[CzyUczelniaTechniczna]]="Techniczna",1,0)</f>
        <v>0</v>
      </c>
      <c r="F708">
        <v>2500</v>
      </c>
      <c r="G708">
        <v>2500</v>
      </c>
    </row>
    <row r="709" spans="2:7" x14ac:dyDescent="0.45">
      <c r="B709" t="s">
        <v>2462</v>
      </c>
      <c r="C709">
        <v>1</v>
      </c>
      <c r="D709">
        <v>6</v>
      </c>
      <c r="E709">
        <f>IF(AbsDoKorelacji[[#This Row],[CzyUczelniaTechniczna]]="Techniczna",1,0)</f>
        <v>1</v>
      </c>
      <c r="F709">
        <v>1500</v>
      </c>
      <c r="G709">
        <v>2500</v>
      </c>
    </row>
    <row r="710" spans="2:7" x14ac:dyDescent="0.45">
      <c r="B710" t="s">
        <v>2463</v>
      </c>
      <c r="C710">
        <v>1</v>
      </c>
      <c r="D710">
        <v>9</v>
      </c>
      <c r="E710">
        <f>IF(AbsDoKorelacji[[#This Row],[CzyUczelniaTechniczna]]="Techniczna",1,0)</f>
        <v>0</v>
      </c>
      <c r="F710">
        <v>1500</v>
      </c>
      <c r="G710">
        <v>3500</v>
      </c>
    </row>
    <row r="711" spans="2:7" x14ac:dyDescent="0.45">
      <c r="B711" t="s">
        <v>2462</v>
      </c>
      <c r="C711">
        <v>1</v>
      </c>
      <c r="D711" t="s">
        <v>1340</v>
      </c>
      <c r="E711">
        <f>IF(AbsDoKorelacji[[#This Row],[CzyUczelniaTechniczna]]="Techniczna",1,0)</f>
        <v>1</v>
      </c>
      <c r="F711">
        <v>1500</v>
      </c>
      <c r="G711">
        <v>5500</v>
      </c>
    </row>
    <row r="712" spans="2:7" x14ac:dyDescent="0.45">
      <c r="B712" t="s">
        <v>2462</v>
      </c>
      <c r="C712">
        <v>1</v>
      </c>
      <c r="D712" t="s">
        <v>1340</v>
      </c>
      <c r="E712">
        <f>IF(AbsDoKorelacji[[#This Row],[CzyUczelniaTechniczna]]="Techniczna",1,0)</f>
        <v>1</v>
      </c>
      <c r="F712">
        <v>2500</v>
      </c>
      <c r="G712">
        <v>3500</v>
      </c>
    </row>
    <row r="713" spans="2:7" x14ac:dyDescent="0.45">
      <c r="B713" t="s">
        <v>2463</v>
      </c>
      <c r="C713">
        <v>1</v>
      </c>
      <c r="D713" t="s">
        <v>814</v>
      </c>
      <c r="E713">
        <f>IF(AbsDoKorelacji[[#This Row],[CzyUczelniaTechniczna]]="Techniczna",1,0)</f>
        <v>0</v>
      </c>
      <c r="F713">
        <v>1500</v>
      </c>
      <c r="G713">
        <v>1500</v>
      </c>
    </row>
    <row r="714" spans="2:7" x14ac:dyDescent="0.45">
      <c r="B714" t="s">
        <v>2463</v>
      </c>
      <c r="C714">
        <v>1</v>
      </c>
      <c r="D714" t="s">
        <v>814</v>
      </c>
      <c r="E714">
        <f>IF(AbsDoKorelacji[[#This Row],[CzyUczelniaTechniczna]]="Techniczna",1,0)</f>
        <v>0</v>
      </c>
      <c r="F714">
        <v>1500</v>
      </c>
      <c r="G714">
        <v>1500</v>
      </c>
    </row>
    <row r="715" spans="2:7" x14ac:dyDescent="0.45">
      <c r="B715" t="s">
        <v>2462</v>
      </c>
      <c r="C715">
        <v>1</v>
      </c>
      <c r="D715" t="s">
        <v>898</v>
      </c>
      <c r="E715">
        <f>IF(AbsDoKorelacji[[#This Row],[CzyUczelniaTechniczna]]="Techniczna",1,0)</f>
        <v>1</v>
      </c>
      <c r="F715">
        <v>3500</v>
      </c>
      <c r="G715">
        <v>3500</v>
      </c>
    </row>
    <row r="716" spans="2:7" x14ac:dyDescent="0.45">
      <c r="B716" t="s">
        <v>2462</v>
      </c>
      <c r="C716">
        <v>1</v>
      </c>
      <c r="D716" t="s">
        <v>1765</v>
      </c>
      <c r="E716">
        <f>IF(AbsDoKorelacji[[#This Row],[CzyUczelniaTechniczna]]="Techniczna",1,0)</f>
        <v>1</v>
      </c>
      <c r="F716">
        <v>2500</v>
      </c>
      <c r="G716">
        <v>4500</v>
      </c>
    </row>
    <row r="717" spans="2:7" x14ac:dyDescent="0.45">
      <c r="B717" t="s">
        <v>2463</v>
      </c>
      <c r="C717">
        <v>1</v>
      </c>
      <c r="D717" t="s">
        <v>405</v>
      </c>
      <c r="E717">
        <f>IF(AbsDoKorelacji[[#This Row],[CzyUczelniaTechniczna]]="Techniczna",1,0)</f>
        <v>0</v>
      </c>
      <c r="F717">
        <v>1500</v>
      </c>
      <c r="G717">
        <v>2500</v>
      </c>
    </row>
    <row r="718" spans="2:7" x14ac:dyDescent="0.45">
      <c r="B718" t="s">
        <v>2462</v>
      </c>
      <c r="C718">
        <v>1</v>
      </c>
      <c r="D718" t="s">
        <v>130</v>
      </c>
      <c r="E718">
        <f>IF(AbsDoKorelacji[[#This Row],[CzyUczelniaTechniczna]]="Techniczna",1,0)</f>
        <v>1</v>
      </c>
      <c r="F718">
        <v>1500</v>
      </c>
      <c r="G718" t="s">
        <v>2329</v>
      </c>
    </row>
    <row r="719" spans="2:7" x14ac:dyDescent="0.45">
      <c r="B719" t="s">
        <v>2463</v>
      </c>
      <c r="C719">
        <v>1</v>
      </c>
      <c r="D719" t="s">
        <v>1484</v>
      </c>
      <c r="E719">
        <f>IF(AbsDoKorelacji[[#This Row],[CzyUczelniaTechniczna]]="Techniczna",1,0)</f>
        <v>0</v>
      </c>
      <c r="F719">
        <v>3500</v>
      </c>
      <c r="G719">
        <v>3500</v>
      </c>
    </row>
    <row r="720" spans="2:7" x14ac:dyDescent="0.45">
      <c r="B720" t="s">
        <v>2463</v>
      </c>
      <c r="C720">
        <v>1</v>
      </c>
      <c r="D720" t="s">
        <v>920</v>
      </c>
      <c r="E720">
        <f>IF(AbsDoKorelacji[[#This Row],[CzyUczelniaTechniczna]]="Techniczna",1,0)</f>
        <v>0</v>
      </c>
      <c r="F720">
        <v>2500</v>
      </c>
      <c r="G720">
        <v>2500</v>
      </c>
    </row>
    <row r="721" spans="2:7" x14ac:dyDescent="0.45">
      <c r="B721" t="s">
        <v>2463</v>
      </c>
      <c r="C721">
        <v>1</v>
      </c>
      <c r="D721" t="s">
        <v>1516</v>
      </c>
      <c r="E721">
        <f>IF(AbsDoKorelacji[[#This Row],[CzyUczelniaTechniczna]]="Techniczna",1,0)</f>
        <v>0</v>
      </c>
      <c r="F721">
        <v>10500</v>
      </c>
      <c r="G721">
        <v>10500</v>
      </c>
    </row>
    <row r="722" spans="2:7" x14ac:dyDescent="0.45">
      <c r="B722" t="s">
        <v>2463</v>
      </c>
      <c r="C722">
        <v>1</v>
      </c>
      <c r="D722" t="s">
        <v>1714</v>
      </c>
      <c r="E722">
        <f>IF(AbsDoKorelacji[[#This Row],[CzyUczelniaTechniczna]]="Techniczna",1,0)</f>
        <v>0</v>
      </c>
      <c r="F722">
        <v>1500</v>
      </c>
      <c r="G722">
        <v>1500</v>
      </c>
    </row>
    <row r="723" spans="2:7" x14ac:dyDescent="0.45">
      <c r="B723" t="s">
        <v>2462</v>
      </c>
      <c r="C723">
        <v>1</v>
      </c>
      <c r="D723" t="s">
        <v>1416</v>
      </c>
      <c r="E723">
        <f>IF(AbsDoKorelacji[[#This Row],[CzyUczelniaTechniczna]]="Techniczna",1,0)</f>
        <v>1</v>
      </c>
      <c r="F723">
        <v>1500</v>
      </c>
      <c r="G723">
        <v>3500</v>
      </c>
    </row>
    <row r="724" spans="2:7" x14ac:dyDescent="0.45">
      <c r="B724" t="s">
        <v>2462</v>
      </c>
      <c r="C724">
        <v>1</v>
      </c>
      <c r="D724" t="s">
        <v>1884</v>
      </c>
      <c r="E724">
        <f>IF(AbsDoKorelacji[[#This Row],[CzyUczelniaTechniczna]]="Techniczna",1,0)</f>
        <v>1</v>
      </c>
      <c r="F724">
        <v>1500</v>
      </c>
      <c r="G724">
        <v>3500</v>
      </c>
    </row>
    <row r="725" spans="2:7" x14ac:dyDescent="0.45">
      <c r="B725" t="s">
        <v>2463</v>
      </c>
      <c r="C725">
        <v>1</v>
      </c>
      <c r="D725" t="s">
        <v>1848</v>
      </c>
      <c r="E725">
        <f>IF(AbsDoKorelacji[[#This Row],[CzyUczelniaTechniczna]]="Techniczna",1,0)</f>
        <v>0</v>
      </c>
      <c r="F725">
        <v>2500</v>
      </c>
      <c r="G725" t="s">
        <v>2329</v>
      </c>
    </row>
    <row r="726" spans="2:7" x14ac:dyDescent="0.45">
      <c r="B726" t="s">
        <v>2463</v>
      </c>
      <c r="C726">
        <v>1</v>
      </c>
      <c r="D726" t="s">
        <v>1441</v>
      </c>
      <c r="E726">
        <f>IF(AbsDoKorelacji[[#This Row],[CzyUczelniaTechniczna]]="Techniczna",1,0)</f>
        <v>0</v>
      </c>
      <c r="F726">
        <v>2500</v>
      </c>
      <c r="G726">
        <v>4500</v>
      </c>
    </row>
    <row r="727" spans="2:7" x14ac:dyDescent="0.45">
      <c r="B727" t="s">
        <v>2462</v>
      </c>
      <c r="C727">
        <v>1</v>
      </c>
      <c r="D727" t="s">
        <v>193</v>
      </c>
      <c r="E727">
        <f>IF(AbsDoKorelacji[[#This Row],[CzyUczelniaTechniczna]]="Techniczna",1,0)</f>
        <v>1</v>
      </c>
      <c r="F727">
        <v>10500</v>
      </c>
      <c r="G727">
        <v>10500</v>
      </c>
    </row>
    <row r="728" spans="2:7" x14ac:dyDescent="0.45">
      <c r="B728" t="s">
        <v>2462</v>
      </c>
      <c r="C728">
        <v>1</v>
      </c>
      <c r="D728" t="s">
        <v>1168</v>
      </c>
      <c r="E728">
        <f>IF(AbsDoKorelacji[[#This Row],[CzyUczelniaTechniczna]]="Techniczna",1,0)</f>
        <v>1</v>
      </c>
      <c r="F728" t="s">
        <v>2329</v>
      </c>
      <c r="G728" t="s">
        <v>2329</v>
      </c>
    </row>
    <row r="729" spans="2:7" x14ac:dyDescent="0.45">
      <c r="B729" t="s">
        <v>2463</v>
      </c>
      <c r="C729">
        <v>1</v>
      </c>
      <c r="D729" t="s">
        <v>515</v>
      </c>
      <c r="E729">
        <f>IF(AbsDoKorelacji[[#This Row],[CzyUczelniaTechniczna]]="Techniczna",1,0)</f>
        <v>0</v>
      </c>
      <c r="F729">
        <v>2500</v>
      </c>
      <c r="G729" t="s">
        <v>2329</v>
      </c>
    </row>
    <row r="730" spans="2:7" x14ac:dyDescent="0.45">
      <c r="B730" t="s">
        <v>2463</v>
      </c>
      <c r="C730">
        <v>1</v>
      </c>
      <c r="D730" t="s">
        <v>383</v>
      </c>
      <c r="E730">
        <f>IF(AbsDoKorelacji[[#This Row],[CzyUczelniaTechniczna]]="Techniczna",1,0)</f>
        <v>0</v>
      </c>
      <c r="F730">
        <v>500</v>
      </c>
      <c r="G730">
        <v>500</v>
      </c>
    </row>
    <row r="731" spans="2:7" x14ac:dyDescent="0.45">
      <c r="B731" t="s">
        <v>2463</v>
      </c>
      <c r="C731">
        <v>1</v>
      </c>
      <c r="D731" t="s">
        <v>1638</v>
      </c>
      <c r="E731">
        <f>IF(AbsDoKorelacji[[#This Row],[CzyUczelniaTechniczna]]="Techniczna",1,0)</f>
        <v>0</v>
      </c>
      <c r="F731">
        <v>500</v>
      </c>
      <c r="G731">
        <v>3500</v>
      </c>
    </row>
    <row r="732" spans="2:7" x14ac:dyDescent="0.45">
      <c r="B732" t="s">
        <v>2463</v>
      </c>
      <c r="C732">
        <v>1</v>
      </c>
      <c r="D732" t="s">
        <v>1216</v>
      </c>
      <c r="E732">
        <f>IF(AbsDoKorelacji[[#This Row],[CzyUczelniaTechniczna]]="Techniczna",1,0)</f>
        <v>0</v>
      </c>
      <c r="F732">
        <v>1500</v>
      </c>
      <c r="G732">
        <v>1500</v>
      </c>
    </row>
    <row r="733" spans="2:7" x14ac:dyDescent="0.45">
      <c r="B733" t="s">
        <v>2463</v>
      </c>
      <c r="C733">
        <v>1</v>
      </c>
      <c r="D733" t="s">
        <v>225</v>
      </c>
      <c r="E733">
        <f>IF(AbsDoKorelacji[[#This Row],[CzyUczelniaTechniczna]]="Techniczna",1,0)</f>
        <v>0</v>
      </c>
      <c r="F733">
        <v>3500</v>
      </c>
      <c r="G733">
        <v>4500</v>
      </c>
    </row>
    <row r="734" spans="2:7" x14ac:dyDescent="0.45">
      <c r="B734" t="s">
        <v>2463</v>
      </c>
      <c r="C734">
        <v>1</v>
      </c>
      <c r="D734" t="s">
        <v>208</v>
      </c>
      <c r="E734">
        <f>IF(AbsDoKorelacji[[#This Row],[CzyUczelniaTechniczna]]="Techniczna",1,0)</f>
        <v>0</v>
      </c>
      <c r="F734">
        <v>7500</v>
      </c>
      <c r="G734">
        <v>7500</v>
      </c>
    </row>
    <row r="735" spans="2:7" x14ac:dyDescent="0.45">
      <c r="B735" t="s">
        <v>2463</v>
      </c>
      <c r="C735">
        <v>1</v>
      </c>
      <c r="D735" t="s">
        <v>1610</v>
      </c>
      <c r="E735">
        <f>IF(AbsDoKorelacji[[#This Row],[CzyUczelniaTechniczna]]="Techniczna",1,0)</f>
        <v>0</v>
      </c>
      <c r="F735">
        <v>2500</v>
      </c>
      <c r="G735">
        <v>3500</v>
      </c>
    </row>
    <row r="736" spans="2:7" x14ac:dyDescent="0.45">
      <c r="B736" t="s">
        <v>2462</v>
      </c>
      <c r="C736">
        <v>1</v>
      </c>
      <c r="D736" t="s">
        <v>1559</v>
      </c>
      <c r="E736">
        <f>IF(AbsDoKorelacji[[#This Row],[CzyUczelniaTechniczna]]="Techniczna",1,0)</f>
        <v>1</v>
      </c>
      <c r="F736" t="s">
        <v>2329</v>
      </c>
      <c r="G736" t="s">
        <v>2329</v>
      </c>
    </row>
    <row r="737" spans="2:7" x14ac:dyDescent="0.45">
      <c r="B737" t="s">
        <v>2462</v>
      </c>
      <c r="C737">
        <v>1</v>
      </c>
      <c r="D737" t="s">
        <v>1740</v>
      </c>
      <c r="E737">
        <f>IF(AbsDoKorelacji[[#This Row],[CzyUczelniaTechniczna]]="Techniczna",1,0)</f>
        <v>1</v>
      </c>
      <c r="F737">
        <v>1500</v>
      </c>
      <c r="G737">
        <v>2500</v>
      </c>
    </row>
    <row r="738" spans="2:7" x14ac:dyDescent="0.45">
      <c r="B738" t="s">
        <v>2463</v>
      </c>
      <c r="C738">
        <v>1</v>
      </c>
      <c r="D738" t="s">
        <v>237</v>
      </c>
      <c r="E738">
        <f>IF(AbsDoKorelacji[[#This Row],[CzyUczelniaTechniczna]]="Techniczna",1,0)</f>
        <v>0</v>
      </c>
      <c r="F738">
        <v>4500</v>
      </c>
      <c r="G738" t="s">
        <v>2329</v>
      </c>
    </row>
    <row r="739" spans="2:7" x14ac:dyDescent="0.45">
      <c r="B739" t="s">
        <v>2463</v>
      </c>
      <c r="C739">
        <v>1</v>
      </c>
      <c r="D739" t="s">
        <v>237</v>
      </c>
      <c r="E739">
        <f>IF(AbsDoKorelacji[[#This Row],[CzyUczelniaTechniczna]]="Techniczna",1,0)</f>
        <v>0</v>
      </c>
      <c r="F739" t="s">
        <v>2329</v>
      </c>
      <c r="G739" t="s">
        <v>2329</v>
      </c>
    </row>
    <row r="740" spans="2:7" x14ac:dyDescent="0.45">
      <c r="B740" t="s">
        <v>2463</v>
      </c>
      <c r="C740">
        <v>1</v>
      </c>
      <c r="D740" t="s">
        <v>237</v>
      </c>
      <c r="E740">
        <f>IF(AbsDoKorelacji[[#This Row],[CzyUczelniaTechniczna]]="Techniczna",1,0)</f>
        <v>0</v>
      </c>
      <c r="F740">
        <v>2500</v>
      </c>
      <c r="G740">
        <v>3500</v>
      </c>
    </row>
    <row r="741" spans="2:7" x14ac:dyDescent="0.45">
      <c r="B741" t="s">
        <v>2463</v>
      </c>
      <c r="C741">
        <v>1</v>
      </c>
      <c r="D741" t="s">
        <v>237</v>
      </c>
      <c r="E741">
        <f>IF(AbsDoKorelacji[[#This Row],[CzyUczelniaTechniczna]]="Techniczna",1,0)</f>
        <v>0</v>
      </c>
      <c r="F741">
        <v>2500</v>
      </c>
      <c r="G741">
        <v>3500</v>
      </c>
    </row>
    <row r="742" spans="2:7" x14ac:dyDescent="0.45">
      <c r="B742" t="s">
        <v>2463</v>
      </c>
      <c r="C742">
        <v>1</v>
      </c>
      <c r="D742" t="s">
        <v>237</v>
      </c>
      <c r="E742">
        <f>IF(AbsDoKorelacji[[#This Row],[CzyUczelniaTechniczna]]="Techniczna",1,0)</f>
        <v>0</v>
      </c>
      <c r="F742">
        <v>2500</v>
      </c>
      <c r="G742">
        <v>8500</v>
      </c>
    </row>
    <row r="743" spans="2:7" x14ac:dyDescent="0.45">
      <c r="B743" t="s">
        <v>2463</v>
      </c>
      <c r="C743">
        <v>1</v>
      </c>
      <c r="D743" t="s">
        <v>237</v>
      </c>
      <c r="E743">
        <f>IF(AbsDoKorelacji[[#This Row],[CzyUczelniaTechniczna]]="Techniczna",1,0)</f>
        <v>0</v>
      </c>
      <c r="F743">
        <v>1500</v>
      </c>
      <c r="G743">
        <v>2500</v>
      </c>
    </row>
    <row r="744" spans="2:7" x14ac:dyDescent="0.45">
      <c r="B744" t="s">
        <v>2462</v>
      </c>
      <c r="C744">
        <v>1</v>
      </c>
      <c r="D744" t="s">
        <v>237</v>
      </c>
      <c r="E744">
        <f>IF(AbsDoKorelacji[[#This Row],[CzyUczelniaTechniczna]]="Techniczna",1,0)</f>
        <v>1</v>
      </c>
      <c r="F744">
        <v>2500</v>
      </c>
      <c r="G744">
        <v>4500</v>
      </c>
    </row>
    <row r="745" spans="2:7" x14ac:dyDescent="0.45">
      <c r="B745" t="s">
        <v>2462</v>
      </c>
      <c r="C745">
        <v>1</v>
      </c>
      <c r="D745" t="s">
        <v>530</v>
      </c>
      <c r="E745">
        <f>IF(AbsDoKorelacji[[#This Row],[CzyUczelniaTechniczna]]="Techniczna",1,0)</f>
        <v>1</v>
      </c>
      <c r="F745">
        <v>1500</v>
      </c>
      <c r="G745">
        <v>2500</v>
      </c>
    </row>
    <row r="746" spans="2:7" x14ac:dyDescent="0.45">
      <c r="B746" t="s">
        <v>2463</v>
      </c>
      <c r="C746">
        <v>1</v>
      </c>
      <c r="D746" t="s">
        <v>237</v>
      </c>
      <c r="E746">
        <f>IF(AbsDoKorelacji[[#This Row],[CzyUczelniaTechniczna]]="Techniczna",1,0)</f>
        <v>0</v>
      </c>
      <c r="F746" t="s">
        <v>2329</v>
      </c>
      <c r="G746" t="s">
        <v>2329</v>
      </c>
    </row>
    <row r="747" spans="2:7" x14ac:dyDescent="0.45">
      <c r="B747" t="s">
        <v>2462</v>
      </c>
      <c r="C747">
        <v>1</v>
      </c>
      <c r="D747" t="s">
        <v>237</v>
      </c>
      <c r="E747">
        <f>IF(AbsDoKorelacji[[#This Row],[CzyUczelniaTechniczna]]="Techniczna",1,0)</f>
        <v>1</v>
      </c>
      <c r="F747">
        <v>2500</v>
      </c>
      <c r="G747">
        <v>3500</v>
      </c>
    </row>
    <row r="748" spans="2:7" x14ac:dyDescent="0.45">
      <c r="B748" t="s">
        <v>2462</v>
      </c>
      <c r="C748">
        <v>1</v>
      </c>
      <c r="D748" t="s">
        <v>237</v>
      </c>
      <c r="E748">
        <f>IF(AbsDoKorelacji[[#This Row],[CzyUczelniaTechniczna]]="Techniczna",1,0)</f>
        <v>1</v>
      </c>
      <c r="F748">
        <v>4500</v>
      </c>
      <c r="G748">
        <v>6500</v>
      </c>
    </row>
    <row r="749" spans="2:7" x14ac:dyDescent="0.45">
      <c r="B749" t="s">
        <v>2463</v>
      </c>
      <c r="C749">
        <v>1</v>
      </c>
      <c r="D749" t="s">
        <v>237</v>
      </c>
      <c r="E749">
        <f>IF(AbsDoKorelacji[[#This Row],[CzyUczelniaTechniczna]]="Techniczna",1,0)</f>
        <v>0</v>
      </c>
      <c r="F749">
        <v>1500</v>
      </c>
      <c r="G749">
        <v>1500</v>
      </c>
    </row>
    <row r="750" spans="2:7" x14ac:dyDescent="0.45">
      <c r="B750" t="s">
        <v>2463</v>
      </c>
      <c r="C750">
        <v>1</v>
      </c>
      <c r="D750" t="s">
        <v>237</v>
      </c>
      <c r="E750">
        <f>IF(AbsDoKorelacji[[#This Row],[CzyUczelniaTechniczna]]="Techniczna",1,0)</f>
        <v>0</v>
      </c>
      <c r="F750">
        <v>1500</v>
      </c>
      <c r="G750">
        <v>2500</v>
      </c>
    </row>
    <row r="751" spans="2:7" x14ac:dyDescent="0.45">
      <c r="B751" t="s">
        <v>2462</v>
      </c>
      <c r="C751">
        <v>1</v>
      </c>
      <c r="D751" t="s">
        <v>237</v>
      </c>
      <c r="E751">
        <f>IF(AbsDoKorelacji[[#This Row],[CzyUczelniaTechniczna]]="Techniczna",1,0)</f>
        <v>1</v>
      </c>
      <c r="F751">
        <v>3500</v>
      </c>
      <c r="G751">
        <v>7500</v>
      </c>
    </row>
    <row r="752" spans="2:7" x14ac:dyDescent="0.45">
      <c r="B752" t="s">
        <v>2462</v>
      </c>
      <c r="C752">
        <v>1</v>
      </c>
      <c r="D752" t="s">
        <v>530</v>
      </c>
      <c r="E752">
        <f>IF(AbsDoKorelacji[[#This Row],[CzyUczelniaTechniczna]]="Techniczna",1,0)</f>
        <v>1</v>
      </c>
      <c r="F752">
        <v>2500</v>
      </c>
      <c r="G752">
        <v>2500</v>
      </c>
    </row>
    <row r="753" spans="2:7" x14ac:dyDescent="0.45">
      <c r="B753" t="s">
        <v>2462</v>
      </c>
      <c r="C753">
        <v>1</v>
      </c>
      <c r="D753" t="s">
        <v>530</v>
      </c>
      <c r="E753">
        <f>IF(AbsDoKorelacji[[#This Row],[CzyUczelniaTechniczna]]="Techniczna",1,0)</f>
        <v>1</v>
      </c>
      <c r="F753">
        <v>3500</v>
      </c>
      <c r="G753">
        <v>3500</v>
      </c>
    </row>
    <row r="754" spans="2:7" x14ac:dyDescent="0.45">
      <c r="B754" t="s">
        <v>2462</v>
      </c>
      <c r="C754">
        <v>1</v>
      </c>
      <c r="D754" t="s">
        <v>237</v>
      </c>
      <c r="E754">
        <f>IF(AbsDoKorelacji[[#This Row],[CzyUczelniaTechniczna]]="Techniczna",1,0)</f>
        <v>1</v>
      </c>
      <c r="F754">
        <v>4500</v>
      </c>
      <c r="G754">
        <v>6500</v>
      </c>
    </row>
    <row r="755" spans="2:7" x14ac:dyDescent="0.45">
      <c r="B755" t="s">
        <v>2462</v>
      </c>
      <c r="C755">
        <v>1</v>
      </c>
      <c r="D755" t="s">
        <v>530</v>
      </c>
      <c r="E755">
        <f>IF(AbsDoKorelacji[[#This Row],[CzyUczelniaTechniczna]]="Techniczna",1,0)</f>
        <v>1</v>
      </c>
      <c r="F755">
        <v>4500</v>
      </c>
      <c r="G755">
        <v>5500</v>
      </c>
    </row>
    <row r="756" spans="2:7" x14ac:dyDescent="0.45">
      <c r="B756" t="s">
        <v>2463</v>
      </c>
      <c r="C756">
        <v>1</v>
      </c>
      <c r="D756" t="s">
        <v>237</v>
      </c>
      <c r="E756">
        <f>IF(AbsDoKorelacji[[#This Row],[CzyUczelniaTechniczna]]="Techniczna",1,0)</f>
        <v>0</v>
      </c>
      <c r="F756" t="s">
        <v>2329</v>
      </c>
      <c r="G756" t="s">
        <v>2329</v>
      </c>
    </row>
    <row r="757" spans="2:7" x14ac:dyDescent="0.45">
      <c r="B757" t="s">
        <v>2463</v>
      </c>
      <c r="C757">
        <v>1</v>
      </c>
      <c r="D757" t="s">
        <v>237</v>
      </c>
      <c r="E757">
        <f>IF(AbsDoKorelacji[[#This Row],[CzyUczelniaTechniczna]]="Techniczna",1,0)</f>
        <v>0</v>
      </c>
      <c r="F757">
        <v>2500</v>
      </c>
      <c r="G757">
        <v>3500</v>
      </c>
    </row>
    <row r="758" spans="2:7" x14ac:dyDescent="0.45">
      <c r="B758" t="s">
        <v>2462</v>
      </c>
      <c r="C758">
        <v>1</v>
      </c>
      <c r="D758" t="s">
        <v>530</v>
      </c>
      <c r="E758">
        <f>IF(AbsDoKorelacji[[#This Row],[CzyUczelniaTechniczna]]="Techniczna",1,0)</f>
        <v>1</v>
      </c>
      <c r="F758">
        <v>2500</v>
      </c>
      <c r="G758">
        <v>4500</v>
      </c>
    </row>
    <row r="759" spans="2:7" x14ac:dyDescent="0.45">
      <c r="B759" t="s">
        <v>2463</v>
      </c>
      <c r="C759">
        <v>1</v>
      </c>
      <c r="D759" t="s">
        <v>530</v>
      </c>
      <c r="E759">
        <f>IF(AbsDoKorelacji[[#This Row],[CzyUczelniaTechniczna]]="Techniczna",1,0)</f>
        <v>0</v>
      </c>
      <c r="F759">
        <v>2500</v>
      </c>
      <c r="G759">
        <v>1500</v>
      </c>
    </row>
    <row r="760" spans="2:7" x14ac:dyDescent="0.45">
      <c r="B760" t="s">
        <v>2462</v>
      </c>
      <c r="C760">
        <v>1</v>
      </c>
      <c r="D760" t="s">
        <v>237</v>
      </c>
      <c r="E760">
        <f>IF(AbsDoKorelacji[[#This Row],[CzyUczelniaTechniczna]]="Techniczna",1,0)</f>
        <v>1</v>
      </c>
      <c r="F760">
        <v>500</v>
      </c>
      <c r="G760">
        <v>1500</v>
      </c>
    </row>
    <row r="761" spans="2:7" x14ac:dyDescent="0.45">
      <c r="B761" t="s">
        <v>2462</v>
      </c>
      <c r="C761">
        <v>1</v>
      </c>
      <c r="D761" t="s">
        <v>237</v>
      </c>
      <c r="E761">
        <f>IF(AbsDoKorelacji[[#This Row],[CzyUczelniaTechniczna]]="Techniczna",1,0)</f>
        <v>1</v>
      </c>
      <c r="F761">
        <v>500</v>
      </c>
      <c r="G761">
        <v>5500</v>
      </c>
    </row>
    <row r="762" spans="2:7" x14ac:dyDescent="0.45">
      <c r="B762" t="s">
        <v>2463</v>
      </c>
      <c r="C762">
        <v>1</v>
      </c>
      <c r="D762" t="s">
        <v>1362</v>
      </c>
      <c r="E762">
        <f>IF(AbsDoKorelacji[[#This Row],[CzyUczelniaTechniczna]]="Techniczna",1,0)</f>
        <v>0</v>
      </c>
      <c r="F762">
        <v>3500</v>
      </c>
      <c r="G762">
        <v>3500</v>
      </c>
    </row>
    <row r="763" spans="2:7" x14ac:dyDescent="0.45">
      <c r="B763" t="s">
        <v>2462</v>
      </c>
      <c r="C763">
        <v>1</v>
      </c>
      <c r="D763" t="s">
        <v>1362</v>
      </c>
      <c r="E763">
        <f>IF(AbsDoKorelacji[[#This Row],[CzyUczelniaTechniczna]]="Techniczna",1,0)</f>
        <v>1</v>
      </c>
      <c r="F763">
        <v>1500</v>
      </c>
      <c r="G763">
        <v>5500</v>
      </c>
    </row>
    <row r="764" spans="2:7" x14ac:dyDescent="0.45">
      <c r="B764" t="s">
        <v>2463</v>
      </c>
      <c r="C764">
        <v>1</v>
      </c>
      <c r="D764" t="s">
        <v>703</v>
      </c>
      <c r="E764">
        <f>IF(AbsDoKorelacji[[#This Row],[CzyUczelniaTechniczna]]="Techniczna",1,0)</f>
        <v>0</v>
      </c>
      <c r="F764">
        <v>1500</v>
      </c>
      <c r="G764" t="s">
        <v>2329</v>
      </c>
    </row>
    <row r="765" spans="2:7" x14ac:dyDescent="0.45">
      <c r="B765" t="s">
        <v>2462</v>
      </c>
      <c r="C765">
        <v>1</v>
      </c>
      <c r="D765" t="s">
        <v>883</v>
      </c>
      <c r="E765">
        <f>IF(AbsDoKorelacji[[#This Row],[CzyUczelniaTechniczna]]="Techniczna",1,0)</f>
        <v>1</v>
      </c>
      <c r="F765">
        <v>1500</v>
      </c>
      <c r="G765">
        <v>2500</v>
      </c>
    </row>
    <row r="766" spans="2:7" x14ac:dyDescent="0.45">
      <c r="B766" t="s">
        <v>2462</v>
      </c>
      <c r="C766">
        <v>1</v>
      </c>
      <c r="D766" t="s">
        <v>883</v>
      </c>
      <c r="E766">
        <f>IF(AbsDoKorelacji[[#This Row],[CzyUczelniaTechniczna]]="Techniczna",1,0)</f>
        <v>1</v>
      </c>
      <c r="F766">
        <v>10500</v>
      </c>
      <c r="G766">
        <v>10500</v>
      </c>
    </row>
    <row r="767" spans="2:7" x14ac:dyDescent="0.45">
      <c r="B767" t="s">
        <v>2463</v>
      </c>
      <c r="C767">
        <v>1</v>
      </c>
      <c r="D767" t="s">
        <v>883</v>
      </c>
      <c r="E767">
        <f>IF(AbsDoKorelacji[[#This Row],[CzyUczelniaTechniczna]]="Techniczna",1,0)</f>
        <v>0</v>
      </c>
      <c r="F767">
        <v>1500</v>
      </c>
      <c r="G767">
        <v>2500</v>
      </c>
    </row>
    <row r="768" spans="2:7" x14ac:dyDescent="0.45">
      <c r="B768" t="s">
        <v>2463</v>
      </c>
      <c r="C768">
        <v>1</v>
      </c>
      <c r="D768" t="s">
        <v>883</v>
      </c>
      <c r="E768">
        <f>IF(AbsDoKorelacji[[#This Row],[CzyUczelniaTechniczna]]="Techniczna",1,0)</f>
        <v>0</v>
      </c>
      <c r="F768">
        <v>500</v>
      </c>
      <c r="G768">
        <v>1500</v>
      </c>
    </row>
    <row r="769" spans="2:7" x14ac:dyDescent="0.45">
      <c r="B769" t="s">
        <v>2462</v>
      </c>
      <c r="C769">
        <v>1</v>
      </c>
      <c r="D769" t="s">
        <v>959</v>
      </c>
      <c r="E769">
        <f>IF(AbsDoKorelacji[[#This Row],[CzyUczelniaTechniczna]]="Techniczna",1,0)</f>
        <v>1</v>
      </c>
      <c r="F769">
        <v>2500</v>
      </c>
      <c r="G769">
        <v>4500</v>
      </c>
    </row>
    <row r="770" spans="2:7" x14ac:dyDescent="0.45">
      <c r="B770" t="s">
        <v>2463</v>
      </c>
      <c r="C770">
        <v>1</v>
      </c>
      <c r="D770" t="s">
        <v>864</v>
      </c>
      <c r="E770">
        <f>IF(AbsDoKorelacji[[#This Row],[CzyUczelniaTechniczna]]="Techniczna",1,0)</f>
        <v>0</v>
      </c>
      <c r="F770">
        <v>2500</v>
      </c>
      <c r="G770">
        <v>5500</v>
      </c>
    </row>
    <row r="771" spans="2:7" x14ac:dyDescent="0.45">
      <c r="B771" t="s">
        <v>2463</v>
      </c>
      <c r="C771">
        <v>1</v>
      </c>
      <c r="D771" t="s">
        <v>1018</v>
      </c>
      <c r="E771">
        <f>IF(AbsDoKorelacji[[#This Row],[CzyUczelniaTechniczna]]="Techniczna",1,0)</f>
        <v>0</v>
      </c>
      <c r="F771">
        <v>1500</v>
      </c>
      <c r="G771">
        <v>1500</v>
      </c>
    </row>
    <row r="772" spans="2:7" x14ac:dyDescent="0.45">
      <c r="B772" t="s">
        <v>2463</v>
      </c>
      <c r="C772">
        <v>1</v>
      </c>
      <c r="D772" t="s">
        <v>602</v>
      </c>
      <c r="E772">
        <f>IF(AbsDoKorelacji[[#This Row],[CzyUczelniaTechniczna]]="Techniczna",1,0)</f>
        <v>0</v>
      </c>
      <c r="F772">
        <v>1500</v>
      </c>
      <c r="G772" t="s">
        <v>2329</v>
      </c>
    </row>
    <row r="773" spans="2:7" x14ac:dyDescent="0.45">
      <c r="B773" t="s">
        <v>2463</v>
      </c>
      <c r="C773">
        <v>1</v>
      </c>
      <c r="D773" t="s">
        <v>1932</v>
      </c>
      <c r="E773">
        <f>IF(AbsDoKorelacji[[#This Row],[CzyUczelniaTechniczna]]="Techniczna",1,0)</f>
        <v>0</v>
      </c>
      <c r="F773">
        <v>2500</v>
      </c>
      <c r="G773">
        <v>3500</v>
      </c>
    </row>
    <row r="774" spans="2:7" x14ac:dyDescent="0.45">
      <c r="B774" t="s">
        <v>2462</v>
      </c>
      <c r="C774">
        <v>1</v>
      </c>
      <c r="D774" t="s">
        <v>1868</v>
      </c>
      <c r="E774">
        <f>IF(AbsDoKorelacji[[#This Row],[CzyUczelniaTechniczna]]="Techniczna",1,0)</f>
        <v>1</v>
      </c>
      <c r="F774">
        <v>3500</v>
      </c>
      <c r="G774">
        <v>4500</v>
      </c>
    </row>
    <row r="775" spans="2:7" x14ac:dyDescent="0.45">
      <c r="B775" t="s">
        <v>2462</v>
      </c>
      <c r="C775">
        <v>1</v>
      </c>
      <c r="D775" t="s">
        <v>331</v>
      </c>
      <c r="E775">
        <f>IF(AbsDoKorelacji[[#This Row],[CzyUczelniaTechniczna]]="Techniczna",1,0)</f>
        <v>1</v>
      </c>
      <c r="F775">
        <v>2500</v>
      </c>
      <c r="G775">
        <v>4500</v>
      </c>
    </row>
    <row r="776" spans="2:7" x14ac:dyDescent="0.45">
      <c r="B776" t="s">
        <v>2463</v>
      </c>
      <c r="C776">
        <v>1</v>
      </c>
      <c r="D776" t="s">
        <v>976</v>
      </c>
      <c r="E776">
        <f>IF(AbsDoKorelacji[[#This Row],[CzyUczelniaTechniczna]]="Techniczna",1,0)</f>
        <v>0</v>
      </c>
      <c r="F776">
        <v>1500</v>
      </c>
      <c r="G776">
        <v>1500</v>
      </c>
    </row>
    <row r="777" spans="2:7" x14ac:dyDescent="0.45">
      <c r="B777" t="s">
        <v>2463</v>
      </c>
      <c r="C777">
        <v>1</v>
      </c>
      <c r="D777" t="s">
        <v>1070</v>
      </c>
      <c r="E777">
        <f>IF(AbsDoKorelacji[[#This Row],[CzyUczelniaTechniczna]]="Techniczna",1,0)</f>
        <v>0</v>
      </c>
      <c r="F777">
        <v>3500</v>
      </c>
      <c r="G777" t="s">
        <v>2329</v>
      </c>
    </row>
    <row r="778" spans="2:7" x14ac:dyDescent="0.45">
      <c r="B778" t="s">
        <v>2463</v>
      </c>
      <c r="C778">
        <v>1</v>
      </c>
      <c r="D778" t="s">
        <v>683</v>
      </c>
      <c r="E778">
        <f>IF(AbsDoKorelacji[[#This Row],[CzyUczelniaTechniczna]]="Techniczna",1,0)</f>
        <v>0</v>
      </c>
      <c r="F778">
        <v>1500</v>
      </c>
      <c r="G778">
        <v>3500</v>
      </c>
    </row>
    <row r="779" spans="2:7" x14ac:dyDescent="0.45">
      <c r="B779" t="s">
        <v>2463</v>
      </c>
      <c r="C779">
        <v>1</v>
      </c>
      <c r="D779" t="s">
        <v>1051</v>
      </c>
      <c r="E779">
        <f>IF(AbsDoKorelacji[[#This Row],[CzyUczelniaTechniczna]]="Techniczna",1,0)</f>
        <v>0</v>
      </c>
      <c r="F779">
        <v>2500</v>
      </c>
      <c r="G779">
        <v>3500</v>
      </c>
    </row>
    <row r="780" spans="2:7" x14ac:dyDescent="0.45">
      <c r="B780" t="s">
        <v>2463</v>
      </c>
      <c r="C780">
        <v>1</v>
      </c>
      <c r="D780" t="s">
        <v>1475</v>
      </c>
      <c r="E780">
        <f>IF(AbsDoKorelacji[[#This Row],[CzyUczelniaTechniczna]]="Techniczna",1,0)</f>
        <v>0</v>
      </c>
      <c r="F780" t="s">
        <v>2329</v>
      </c>
      <c r="G780" t="s">
        <v>2329</v>
      </c>
    </row>
    <row r="781" spans="2:7" x14ac:dyDescent="0.45">
      <c r="B781" t="s">
        <v>2462</v>
      </c>
      <c r="C781">
        <v>1</v>
      </c>
      <c r="D781" t="s">
        <v>907</v>
      </c>
      <c r="E781">
        <f>IF(AbsDoKorelacji[[#This Row],[CzyUczelniaTechniczna]]="Techniczna",1,0)</f>
        <v>1</v>
      </c>
      <c r="F781">
        <v>1500</v>
      </c>
      <c r="G781">
        <v>5500</v>
      </c>
    </row>
    <row r="782" spans="2:7" x14ac:dyDescent="0.45">
      <c r="B782" t="s">
        <v>2462</v>
      </c>
      <c r="C782">
        <v>1</v>
      </c>
      <c r="D782" t="s">
        <v>718</v>
      </c>
      <c r="E782">
        <f>IF(AbsDoKorelacji[[#This Row],[CzyUczelniaTechniczna]]="Techniczna",1,0)</f>
        <v>1</v>
      </c>
      <c r="F782">
        <v>1500</v>
      </c>
      <c r="G782">
        <v>2500</v>
      </c>
    </row>
    <row r="783" spans="2:7" x14ac:dyDescent="0.45">
      <c r="B783" t="s">
        <v>2462</v>
      </c>
      <c r="C783">
        <v>1</v>
      </c>
      <c r="D783" t="s">
        <v>718</v>
      </c>
      <c r="E783">
        <f>IF(AbsDoKorelacji[[#This Row],[CzyUczelniaTechniczna]]="Techniczna",1,0)</f>
        <v>1</v>
      </c>
      <c r="F783" t="s">
        <v>2329</v>
      </c>
      <c r="G783" t="s">
        <v>2329</v>
      </c>
    </row>
    <row r="784" spans="2:7" x14ac:dyDescent="0.45">
      <c r="C784">
        <f>SUBTOTAL(109,AbsDoKorelacji[Zatrudnienie w 1 roku])</f>
        <v>113</v>
      </c>
      <c r="E784" s="57"/>
    </row>
    <row r="785" spans="3:3" x14ac:dyDescent="0.45">
      <c r="C785" s="33">
        <f>C784/120</f>
        <v>0.94166666666666665</v>
      </c>
    </row>
  </sheetData>
  <conditionalFormatting sqref="N141">
    <cfRule type="cellIs" dxfId="8" priority="6" operator="lessThan">
      <formula>O141</formula>
    </cfRule>
  </conditionalFormatting>
  <conditionalFormatting sqref="N180">
    <cfRule type="cellIs" dxfId="7" priority="5" operator="lessThan">
      <formula>O180</formula>
    </cfRule>
  </conditionalFormatting>
  <conditionalFormatting sqref="N330">
    <cfRule type="cellIs" dxfId="6" priority="2" operator="lessThan">
      <formula>O330</formula>
    </cfRule>
  </conditionalFormatting>
  <conditionalFormatting sqref="T217">
    <cfRule type="cellIs" dxfId="5" priority="3" operator="lessThan">
      <formula>U217</formula>
    </cfRule>
  </conditionalFormatting>
  <conditionalFormatting sqref="T500">
    <cfRule type="cellIs" dxfId="4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M142"/>
  <sheetViews>
    <sheetView topLeftCell="AO1" workbookViewId="0">
      <pane ySplit="2" topLeftCell="A3" activePane="bottomLeft" state="frozen"/>
      <selection activeCell="J1" sqref="J1"/>
      <selection pane="bottomLeft" activeCell="AT2" sqref="AT2:AT135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1" width="14.59765625" hidden="1" customWidth="1" outlineLevel="1"/>
    <col min="22" max="32" width="8.1328125" hidden="1" customWidth="1" outlineLevel="1"/>
    <col min="33" max="33" width="11.796875" customWidth="1" collapsed="1"/>
    <col min="34" max="36" width="23.1328125" customWidth="1" outlineLevel="1"/>
    <col min="37" max="37" width="6.265625" customWidth="1" outlineLevel="1"/>
    <col min="38" max="47" width="23.1328125" customWidth="1" outlineLevel="1"/>
    <col min="48" max="48" width="8.53125" customWidth="1" outlineLevel="1"/>
    <col min="49" max="49" width="23.1328125" customWidth="1" outlineLevel="1"/>
    <col min="50" max="50" width="14.796875" customWidth="1" outlineLevel="1"/>
    <col min="51" max="55" width="23.1328125" customWidth="1" outlineLevel="1"/>
    <col min="56" max="56" width="11.796875" customWidth="1"/>
    <col min="57" max="57" width="8.1328125" hidden="1" customWidth="1" outlineLevel="1"/>
    <col min="58" max="101" width="26.3984375" hidden="1" customWidth="1" outlineLevel="1"/>
    <col min="102" max="102" width="11.796875" customWidth="1" collapsed="1"/>
    <col min="103" max="111" width="19.9296875" hidden="1" customWidth="1" outlineLevel="1"/>
    <col min="112" max="112" width="11.796875" customWidth="1" collapsed="1"/>
    <col min="113" max="121" width="23.33203125" hidden="1" customWidth="1" outlineLevel="1"/>
    <col min="122" max="122" width="11.796875" customWidth="1" collapsed="1"/>
    <col min="123" max="150" width="8.1328125" hidden="1" customWidth="1" outlineLevel="1"/>
    <col min="151" max="151" width="11.796875" customWidth="1" collapsed="1"/>
    <col min="152" max="176" width="8.1328125" hidden="1" customWidth="1" outlineLevel="1"/>
    <col min="177" max="177" width="11.796875" customWidth="1" collapsed="1"/>
    <col min="178" max="213" width="8.1328125" hidden="1" customWidth="1" outlineLevel="1"/>
    <col min="214" max="214" width="9.46484375" customWidth="1" collapsed="1"/>
    <col min="217" max="217" width="28.59765625" customWidth="1"/>
  </cols>
  <sheetData>
    <row r="1" spans="1:221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X1" t="s">
        <v>18</v>
      </c>
      <c r="Y1" t="s">
        <v>19</v>
      </c>
      <c r="AA1" t="s">
        <v>20</v>
      </c>
      <c r="AB1" t="s">
        <v>21</v>
      </c>
      <c r="AD1" t="s">
        <v>22</v>
      </c>
      <c r="AF1" t="s">
        <v>23</v>
      </c>
      <c r="AG1" s="3" t="s">
        <v>24</v>
      </c>
      <c r="AH1" t="s">
        <v>25</v>
      </c>
      <c r="AL1" t="s">
        <v>26</v>
      </c>
      <c r="AM1" t="s">
        <v>27</v>
      </c>
      <c r="AN1" t="s">
        <v>28</v>
      </c>
      <c r="AO1" t="s">
        <v>17</v>
      </c>
      <c r="AT1" t="s">
        <v>29</v>
      </c>
      <c r="AU1" t="s">
        <v>30</v>
      </c>
      <c r="AY1" t="s">
        <v>31</v>
      </c>
      <c r="AZ1" t="s">
        <v>32</v>
      </c>
      <c r="BB1" t="s">
        <v>33</v>
      </c>
      <c r="BD1" s="3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17</v>
      </c>
      <c r="BO1" t="s">
        <v>40</v>
      </c>
      <c r="BP1" t="s">
        <v>41</v>
      </c>
      <c r="BQ1" t="s">
        <v>42</v>
      </c>
      <c r="BS1" t="s">
        <v>43</v>
      </c>
      <c r="BT1" t="s">
        <v>44</v>
      </c>
      <c r="BU1" t="s">
        <v>36</v>
      </c>
      <c r="BV1" t="s">
        <v>37</v>
      </c>
      <c r="BW1" t="s">
        <v>38</v>
      </c>
      <c r="BX1" t="s">
        <v>39</v>
      </c>
      <c r="BY1" t="s">
        <v>17</v>
      </c>
      <c r="CD1" t="s">
        <v>40</v>
      </c>
      <c r="CE1" t="s">
        <v>41</v>
      </c>
      <c r="CF1" t="s">
        <v>42</v>
      </c>
      <c r="CH1" t="s">
        <v>43</v>
      </c>
      <c r="CI1" t="s">
        <v>45</v>
      </c>
      <c r="CJ1" t="s">
        <v>36</v>
      </c>
      <c r="CK1" t="s">
        <v>37</v>
      </c>
      <c r="CL1" t="s">
        <v>38</v>
      </c>
      <c r="CM1" t="s">
        <v>39</v>
      </c>
      <c r="CN1" t="s">
        <v>17</v>
      </c>
      <c r="CS1" t="s">
        <v>40</v>
      </c>
      <c r="CT1" t="s">
        <v>41</v>
      </c>
      <c r="CU1" t="s">
        <v>42</v>
      </c>
      <c r="CW1" t="s">
        <v>43</v>
      </c>
      <c r="CX1" s="3" t="s">
        <v>46</v>
      </c>
      <c r="CY1" t="s">
        <v>47</v>
      </c>
      <c r="CZ1" t="s">
        <v>48</v>
      </c>
      <c r="DA1" t="s">
        <v>17</v>
      </c>
      <c r="DG1" t="s">
        <v>41</v>
      </c>
      <c r="DH1" s="3" t="s">
        <v>49</v>
      </c>
      <c r="DI1" t="s">
        <v>47</v>
      </c>
      <c r="DJ1" t="s">
        <v>48</v>
      </c>
      <c r="DK1" t="s">
        <v>17</v>
      </c>
      <c r="DQ1" t="s">
        <v>31</v>
      </c>
      <c r="DR1" s="3" t="s">
        <v>50</v>
      </c>
      <c r="DS1" t="s">
        <v>51</v>
      </c>
      <c r="DW1" t="s">
        <v>52</v>
      </c>
      <c r="DX1" t="s">
        <v>17</v>
      </c>
      <c r="EE1" t="s">
        <v>53</v>
      </c>
      <c r="EM1" t="s">
        <v>54</v>
      </c>
      <c r="EU1" s="3" t="s">
        <v>55</v>
      </c>
      <c r="EV1" t="s">
        <v>56</v>
      </c>
      <c r="EW1" t="s">
        <v>57</v>
      </c>
      <c r="EX1" t="s">
        <v>58</v>
      </c>
      <c r="EY1" t="s">
        <v>17</v>
      </c>
      <c r="FB1" t="s">
        <v>59</v>
      </c>
      <c r="FC1" t="s">
        <v>60</v>
      </c>
      <c r="FD1" t="s">
        <v>61</v>
      </c>
      <c r="FE1" t="s">
        <v>62</v>
      </c>
      <c r="FF1" t="s">
        <v>58</v>
      </c>
      <c r="FG1" t="s">
        <v>17</v>
      </c>
      <c r="FJ1" t="s">
        <v>59</v>
      </c>
      <c r="FK1" t="s">
        <v>60</v>
      </c>
      <c r="FL1" t="s">
        <v>61</v>
      </c>
      <c r="FM1" t="s">
        <v>63</v>
      </c>
      <c r="FN1" t="s">
        <v>58</v>
      </c>
      <c r="FO1" t="s">
        <v>17</v>
      </c>
      <c r="FR1" t="s">
        <v>59</v>
      </c>
      <c r="FS1" t="s">
        <v>60</v>
      </c>
      <c r="FT1" t="s">
        <v>64</v>
      </c>
      <c r="FU1" s="3" t="s">
        <v>65</v>
      </c>
      <c r="FV1" t="s">
        <v>66</v>
      </c>
      <c r="FW1" t="s">
        <v>67</v>
      </c>
      <c r="FX1" t="s">
        <v>57</v>
      </c>
      <c r="FY1" t="s">
        <v>68</v>
      </c>
      <c r="FZ1" t="s">
        <v>17</v>
      </c>
      <c r="GH1" t="s">
        <v>69</v>
      </c>
      <c r="GI1" t="s">
        <v>70</v>
      </c>
      <c r="GJ1" t="s">
        <v>68</v>
      </c>
      <c r="GK1" t="s">
        <v>17</v>
      </c>
      <c r="GR1" t="s">
        <v>71</v>
      </c>
      <c r="GS1" t="s">
        <v>72</v>
      </c>
      <c r="GT1" t="s">
        <v>68</v>
      </c>
      <c r="GU1" t="s">
        <v>17</v>
      </c>
      <c r="HB1" t="s">
        <v>71</v>
      </c>
      <c r="HC1" t="s">
        <v>73</v>
      </c>
      <c r="HF1" t="s">
        <v>74</v>
      </c>
      <c r="HG1" t="s">
        <v>75</v>
      </c>
      <c r="HI1" t="s">
        <v>76</v>
      </c>
      <c r="HK1" t="s">
        <v>77</v>
      </c>
      <c r="HL1" t="s">
        <v>78</v>
      </c>
      <c r="HM1" t="s">
        <v>79</v>
      </c>
    </row>
    <row r="2" spans="1:221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t="s">
        <v>81</v>
      </c>
      <c r="W2" t="s">
        <v>82</v>
      </c>
      <c r="X2" t="s">
        <v>2065</v>
      </c>
      <c r="Y2" t="s">
        <v>83</v>
      </c>
      <c r="Z2" t="s">
        <v>84</v>
      </c>
      <c r="AA2" t="s">
        <v>20</v>
      </c>
      <c r="AB2" t="s">
        <v>2265</v>
      </c>
      <c r="AC2" t="s">
        <v>2266</v>
      </c>
      <c r="AD2" t="s">
        <v>22</v>
      </c>
      <c r="AE2" t="s">
        <v>85</v>
      </c>
      <c r="AF2" t="s">
        <v>23</v>
      </c>
      <c r="AG2" s="1" t="s">
        <v>24</v>
      </c>
      <c r="AH2" t="s">
        <v>25</v>
      </c>
      <c r="AI2" s="20" t="s">
        <v>2325</v>
      </c>
      <c r="AJ2" s="20" t="s">
        <v>2464</v>
      </c>
      <c r="AK2" s="20" t="s">
        <v>2469</v>
      </c>
      <c r="AL2" t="s">
        <v>26</v>
      </c>
      <c r="AM2" t="s">
        <v>27</v>
      </c>
      <c r="AN2" t="s">
        <v>28</v>
      </c>
      <c r="AO2" t="s">
        <v>86</v>
      </c>
      <c r="AP2" t="s">
        <v>2071</v>
      </c>
      <c r="AQ2" t="s">
        <v>87</v>
      </c>
      <c r="AR2" t="s">
        <v>88</v>
      </c>
      <c r="AS2" t="s">
        <v>89</v>
      </c>
      <c r="AT2" t="s">
        <v>29</v>
      </c>
      <c r="AU2" t="s">
        <v>2072</v>
      </c>
      <c r="AV2" s="20" t="s">
        <v>2470</v>
      </c>
      <c r="AW2" t="s">
        <v>2073</v>
      </c>
      <c r="AX2" s="20" t="s">
        <v>2471</v>
      </c>
      <c r="AY2" t="s">
        <v>31</v>
      </c>
      <c r="AZ2" t="s">
        <v>32</v>
      </c>
      <c r="BA2" t="s">
        <v>2070</v>
      </c>
      <c r="BB2" t="s">
        <v>33</v>
      </c>
      <c r="BC2" t="s">
        <v>2074</v>
      </c>
      <c r="BD2" s="1" t="s">
        <v>34</v>
      </c>
      <c r="BE2" t="s">
        <v>35</v>
      </c>
      <c r="BF2" t="s">
        <v>36</v>
      </c>
      <c r="BG2" t="s">
        <v>37</v>
      </c>
      <c r="BH2" t="s">
        <v>38</v>
      </c>
      <c r="BI2" t="s">
        <v>39</v>
      </c>
      <c r="BJ2" s="20" t="s">
        <v>2075</v>
      </c>
      <c r="BK2" t="s">
        <v>2076</v>
      </c>
      <c r="BL2" t="s">
        <v>90</v>
      </c>
      <c r="BM2" t="s">
        <v>91</v>
      </c>
      <c r="BN2" t="s">
        <v>92</v>
      </c>
      <c r="BO2" t="s">
        <v>40</v>
      </c>
      <c r="BP2" t="s">
        <v>41</v>
      </c>
      <c r="BQ2" t="s">
        <v>42</v>
      </c>
      <c r="BR2" t="s">
        <v>2077</v>
      </c>
      <c r="BS2" t="s">
        <v>43</v>
      </c>
      <c r="BT2" t="s">
        <v>44</v>
      </c>
      <c r="BU2" t="s">
        <v>2078</v>
      </c>
      <c r="BV2" t="s">
        <v>2079</v>
      </c>
      <c r="BW2" t="s">
        <v>2080</v>
      </c>
      <c r="BX2" t="s">
        <v>2081</v>
      </c>
      <c r="BY2" t="s">
        <v>2082</v>
      </c>
      <c r="BZ2" t="s">
        <v>2083</v>
      </c>
      <c r="CA2" t="s">
        <v>2084</v>
      </c>
      <c r="CB2" t="s">
        <v>2085</v>
      </c>
      <c r="CC2" t="s">
        <v>2086</v>
      </c>
      <c r="CD2" t="s">
        <v>2087</v>
      </c>
      <c r="CE2" t="s">
        <v>2088</v>
      </c>
      <c r="CF2" t="s">
        <v>2089</v>
      </c>
      <c r="CG2" t="s">
        <v>2090</v>
      </c>
      <c r="CH2" t="s">
        <v>2091</v>
      </c>
      <c r="CI2" t="s">
        <v>45</v>
      </c>
      <c r="CJ2" t="s">
        <v>2092</v>
      </c>
      <c r="CK2" t="s">
        <v>2093</v>
      </c>
      <c r="CL2" t="s">
        <v>2094</v>
      </c>
      <c r="CM2" t="s">
        <v>2095</v>
      </c>
      <c r="CN2" t="s">
        <v>2096</v>
      </c>
      <c r="CO2" t="s">
        <v>2097</v>
      </c>
      <c r="CP2" t="s">
        <v>2098</v>
      </c>
      <c r="CQ2" t="s">
        <v>2099</v>
      </c>
      <c r="CR2" t="s">
        <v>2100</v>
      </c>
      <c r="CS2" t="s">
        <v>2101</v>
      </c>
      <c r="CT2" t="s">
        <v>2102</v>
      </c>
      <c r="CU2" t="s">
        <v>2103</v>
      </c>
      <c r="CV2" t="s">
        <v>2104</v>
      </c>
      <c r="CW2" t="s">
        <v>2105</v>
      </c>
      <c r="CX2" s="1" t="s">
        <v>46</v>
      </c>
      <c r="CY2" t="s">
        <v>47</v>
      </c>
      <c r="CZ2" t="s">
        <v>48</v>
      </c>
      <c r="DA2" t="s">
        <v>93</v>
      </c>
      <c r="DB2" t="s">
        <v>94</v>
      </c>
      <c r="DC2" s="20" t="s">
        <v>95</v>
      </c>
      <c r="DD2" s="20" t="s">
        <v>96</v>
      </c>
      <c r="DE2" t="s">
        <v>97</v>
      </c>
      <c r="DF2" t="s">
        <v>98</v>
      </c>
      <c r="DG2" t="s">
        <v>2106</v>
      </c>
      <c r="DH2" s="1" t="s">
        <v>49</v>
      </c>
      <c r="DI2" t="s">
        <v>2107</v>
      </c>
      <c r="DJ2" t="s">
        <v>2108</v>
      </c>
      <c r="DK2" t="s">
        <v>2109</v>
      </c>
      <c r="DL2" s="20" t="s">
        <v>2110</v>
      </c>
      <c r="DM2" s="20" t="s">
        <v>2111</v>
      </c>
      <c r="DN2" s="20" t="s">
        <v>2112</v>
      </c>
      <c r="DO2" s="20" t="s">
        <v>2113</v>
      </c>
      <c r="DP2" t="s">
        <v>2114</v>
      </c>
      <c r="DQ2" t="s">
        <v>2115</v>
      </c>
      <c r="DR2" s="1" t="s">
        <v>50</v>
      </c>
      <c r="DS2" t="s">
        <v>51</v>
      </c>
      <c r="DT2" t="s">
        <v>2067</v>
      </c>
      <c r="DU2" t="s">
        <v>2068</v>
      </c>
      <c r="DV2" t="s">
        <v>2069</v>
      </c>
      <c r="DW2" t="s">
        <v>52</v>
      </c>
      <c r="DX2" s="20" t="s">
        <v>99</v>
      </c>
      <c r="DY2" s="20" t="s">
        <v>100</v>
      </c>
      <c r="DZ2" s="20" t="s">
        <v>101</v>
      </c>
      <c r="EA2" t="s">
        <v>102</v>
      </c>
      <c r="EB2" t="s">
        <v>103</v>
      </c>
      <c r="EC2" s="20" t="s">
        <v>104</v>
      </c>
      <c r="ED2" s="20" t="s">
        <v>105</v>
      </c>
      <c r="EE2" t="s">
        <v>106</v>
      </c>
      <c r="EF2" t="s">
        <v>107</v>
      </c>
      <c r="EG2" t="s">
        <v>108</v>
      </c>
      <c r="EH2" t="s">
        <v>109</v>
      </c>
      <c r="EI2" t="s">
        <v>110</v>
      </c>
      <c r="EJ2" t="s">
        <v>111</v>
      </c>
      <c r="EK2" t="s">
        <v>112</v>
      </c>
      <c r="EL2" t="s">
        <v>2116</v>
      </c>
      <c r="EM2" t="s">
        <v>2117</v>
      </c>
      <c r="EN2" t="s">
        <v>2118</v>
      </c>
      <c r="EO2" t="s">
        <v>2119</v>
      </c>
      <c r="EP2" t="s">
        <v>2120</v>
      </c>
      <c r="EQ2" t="s">
        <v>2121</v>
      </c>
      <c r="ER2" t="s">
        <v>2122</v>
      </c>
      <c r="ES2" t="s">
        <v>2123</v>
      </c>
      <c r="ET2" t="s">
        <v>2124</v>
      </c>
      <c r="EU2" s="1" t="s">
        <v>55</v>
      </c>
      <c r="EV2" t="s">
        <v>56</v>
      </c>
      <c r="EW2" t="s">
        <v>57</v>
      </c>
      <c r="EX2" t="s">
        <v>58</v>
      </c>
      <c r="EY2" s="20" t="s">
        <v>113</v>
      </c>
      <c r="EZ2" t="s">
        <v>114</v>
      </c>
      <c r="FA2" t="s">
        <v>115</v>
      </c>
      <c r="FB2" t="s">
        <v>59</v>
      </c>
      <c r="FC2" t="s">
        <v>60</v>
      </c>
      <c r="FD2" t="s">
        <v>61</v>
      </c>
      <c r="FE2" t="s">
        <v>62</v>
      </c>
      <c r="FF2" t="s">
        <v>2125</v>
      </c>
      <c r="FG2" t="s">
        <v>2126</v>
      </c>
      <c r="FH2" t="s">
        <v>2127</v>
      </c>
      <c r="FI2" t="s">
        <v>2128</v>
      </c>
      <c r="FJ2" t="s">
        <v>2129</v>
      </c>
      <c r="FK2" t="s">
        <v>2130</v>
      </c>
      <c r="FL2" t="s">
        <v>2131</v>
      </c>
      <c r="FM2" t="s">
        <v>63</v>
      </c>
      <c r="FN2" t="s">
        <v>2132</v>
      </c>
      <c r="FO2" t="s">
        <v>2133</v>
      </c>
      <c r="FP2" t="s">
        <v>2134</v>
      </c>
      <c r="FQ2" t="s">
        <v>2135</v>
      </c>
      <c r="FR2" t="s">
        <v>2136</v>
      </c>
      <c r="FS2" t="s">
        <v>2137</v>
      </c>
      <c r="FT2" t="s">
        <v>64</v>
      </c>
      <c r="FU2" s="1" t="s">
        <v>65</v>
      </c>
      <c r="FV2" t="s">
        <v>66</v>
      </c>
      <c r="FW2" t="s">
        <v>67</v>
      </c>
      <c r="FX2" t="s">
        <v>2138</v>
      </c>
      <c r="FY2" t="s">
        <v>68</v>
      </c>
      <c r="FZ2" s="20" t="s">
        <v>116</v>
      </c>
      <c r="GA2" t="s">
        <v>2139</v>
      </c>
      <c r="GB2" t="s">
        <v>2140</v>
      </c>
      <c r="GC2" t="s">
        <v>2141</v>
      </c>
      <c r="GD2" t="s">
        <v>2142</v>
      </c>
      <c r="GE2" t="s">
        <v>2143</v>
      </c>
      <c r="GF2" t="s">
        <v>2144</v>
      </c>
      <c r="GG2" t="s">
        <v>2145</v>
      </c>
      <c r="GH2" t="s">
        <v>69</v>
      </c>
      <c r="GI2" t="s">
        <v>70</v>
      </c>
      <c r="GJ2" t="s">
        <v>2146</v>
      </c>
      <c r="GK2" t="s">
        <v>2147</v>
      </c>
      <c r="GL2" t="s">
        <v>2148</v>
      </c>
      <c r="GM2" t="s">
        <v>2149</v>
      </c>
      <c r="GN2" t="s">
        <v>2150</v>
      </c>
      <c r="GO2" t="s">
        <v>2151</v>
      </c>
      <c r="GP2" t="s">
        <v>2152</v>
      </c>
      <c r="GQ2" t="s">
        <v>2153</v>
      </c>
      <c r="GR2" t="s">
        <v>71</v>
      </c>
      <c r="GS2" t="s">
        <v>72</v>
      </c>
      <c r="GT2" t="s">
        <v>2154</v>
      </c>
      <c r="GU2" t="s">
        <v>2155</v>
      </c>
      <c r="GV2" t="s">
        <v>2156</v>
      </c>
      <c r="GW2" t="s">
        <v>2157</v>
      </c>
      <c r="GX2" t="s">
        <v>2158</v>
      </c>
      <c r="GY2" t="s">
        <v>2159</v>
      </c>
      <c r="GZ2" t="s">
        <v>2160</v>
      </c>
      <c r="HA2" t="s">
        <v>2161</v>
      </c>
      <c r="HB2" t="s">
        <v>2162</v>
      </c>
      <c r="HC2" t="s">
        <v>73</v>
      </c>
      <c r="HD2" t="s">
        <v>2163</v>
      </c>
      <c r="HE2" t="s">
        <v>2164</v>
      </c>
      <c r="HF2" t="s">
        <v>74</v>
      </c>
      <c r="HG2" t="s">
        <v>75</v>
      </c>
      <c r="HH2" s="20" t="s">
        <v>2316</v>
      </c>
      <c r="HI2" t="s">
        <v>76</v>
      </c>
      <c r="HJ2" t="s">
        <v>2165</v>
      </c>
      <c r="HK2" t="s">
        <v>77</v>
      </c>
      <c r="HL2" t="s">
        <v>78</v>
      </c>
      <c r="HM2" t="s">
        <v>79</v>
      </c>
    </row>
    <row r="3" spans="1:221" x14ac:dyDescent="0.45">
      <c r="A3">
        <v>1</v>
      </c>
      <c r="B3">
        <f>_xlfn.IFNA(VLOOKUP(AnalizaCzyste[[#This Row],[Zakończono wypełnianie]],Zakończone[],2,0),"BRAK")</f>
        <v>1</v>
      </c>
      <c r="C3">
        <f t="shared" ref="C3:C34" si="0">COUNTA(P3:HM3)</f>
        <v>41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O3">
        <v>0</v>
      </c>
      <c r="P3" t="s">
        <v>122</v>
      </c>
      <c r="Q3" s="1" t="s">
        <v>123</v>
      </c>
      <c r="AG3" s="1" t="s">
        <v>124</v>
      </c>
      <c r="AH3" s="20" t="s">
        <v>191</v>
      </c>
      <c r="AI3" s="20" t="str">
        <f>VLOOKUP(AnalizaCzyste[[#This Row],[Jak się nazywa uczelnia którą ukończyłeś? (proszę o wybranie jednej uczelni podlegającej ocenie)]],KategorieUczelni[],2,0)</f>
        <v>Publiczna</v>
      </c>
      <c r="AJ3" s="20" t="str">
        <f>VLOOKUP(AnalizaCzyste[[#This Row],[Jak się nazywa uczelnia którą ukończyłeś? (proszę o wybranie jednej uczelni podlegającej ocenie)]],KategorieUczelni[],3,0)</f>
        <v>Techniczna</v>
      </c>
      <c r="AK3" s="20">
        <f>COUNTIF(AnalizaCzyste[[#This Row],[Czy jesteś absolwentem uczelni wyższej?]],"*"&amp;"Tak"&amp;"*")</f>
        <v>1</v>
      </c>
      <c r="AL3" s="42">
        <v>2011</v>
      </c>
      <c r="AM3" t="s">
        <v>126</v>
      </c>
      <c r="AN3" t="s">
        <v>127</v>
      </c>
      <c r="AO3" t="s">
        <v>128</v>
      </c>
      <c r="AP3" t="s">
        <v>128</v>
      </c>
      <c r="AQ3" t="s">
        <v>129</v>
      </c>
      <c r="AR3" t="s">
        <v>129</v>
      </c>
      <c r="AS3" t="s">
        <v>129</v>
      </c>
      <c r="AT3" t="s">
        <v>130</v>
      </c>
      <c r="AU3" t="s">
        <v>131</v>
      </c>
      <c r="AV3">
        <f>VLOOKUP(AnalizaCzyste[[#This Row],[w pierwszym roku po ukończeniu studiów : wybierz wartość z listy rozwijanej4]],Zarobki[],2,0)</f>
        <v>1500</v>
      </c>
      <c r="AW3" t="s">
        <v>132</v>
      </c>
      <c r="AX3" t="str">
        <f>VLOOKUP(AnalizaCzyste[[#This Row],[w 3 lata po ukończeniu studiów : wybierz wartość z listy rozwijanej5]],Zarobki[],2,0)</f>
        <v>N/D</v>
      </c>
      <c r="AY3" t="s">
        <v>133</v>
      </c>
      <c r="AZ3" t="s">
        <v>134</v>
      </c>
      <c r="BA3" t="s">
        <v>135</v>
      </c>
      <c r="BC3" t="s">
        <v>136</v>
      </c>
      <c r="BD3" s="1" t="s">
        <v>123</v>
      </c>
      <c r="CX3" s="1" t="s">
        <v>123</v>
      </c>
      <c r="DH3" s="1" t="s">
        <v>123</v>
      </c>
      <c r="DR3" s="1" t="s">
        <v>123</v>
      </c>
      <c r="EU3" s="1" t="s">
        <v>123</v>
      </c>
      <c r="FU3" s="1" t="s">
        <v>123</v>
      </c>
      <c r="FV3" t="s">
        <v>132</v>
      </c>
      <c r="HC3" t="s">
        <v>137</v>
      </c>
      <c r="HD3" t="s">
        <v>138</v>
      </c>
      <c r="HE3" t="s">
        <v>139</v>
      </c>
      <c r="HF3" t="s">
        <v>140</v>
      </c>
      <c r="HG3">
        <v>1987</v>
      </c>
      <c r="HH3" t="str">
        <f>VLOOKUP(AnalizaCzyste[[#This Row],[Rok urodzenia]],KategorieWiekowe[],2,1)</f>
        <v>26–35 lat</v>
      </c>
      <c r="HI3" t="s">
        <v>141</v>
      </c>
      <c r="HK3" t="s">
        <v>142</v>
      </c>
      <c r="HL3" t="s">
        <v>142</v>
      </c>
      <c r="HM3" t="s">
        <v>143</v>
      </c>
    </row>
    <row r="4" spans="1:221" x14ac:dyDescent="0.45">
      <c r="A4">
        <v>2</v>
      </c>
      <c r="B4">
        <f>_xlfn.IFNA(VLOOKUP(AnalizaCzyste[[#This Row],[Zakończono wypełnianie]],Zakończone[],2,0),"BRAK")</f>
        <v>2</v>
      </c>
      <c r="C4">
        <f t="shared" si="0"/>
        <v>101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O4">
        <v>0</v>
      </c>
      <c r="P4" t="s">
        <v>122</v>
      </c>
      <c r="Q4" s="1" t="s">
        <v>123</v>
      </c>
      <c r="AG4" s="1" t="s">
        <v>124</v>
      </c>
      <c r="AH4" t="s">
        <v>234</v>
      </c>
      <c r="AI4" t="str">
        <f>VLOOKUP(AnalizaCzyste[[#This Row],[Jak się nazywa uczelnia którą ukończyłeś? (proszę o wybranie jednej uczelni podlegającej ocenie)]],KategorieUczelni[],2,0)</f>
        <v>Publiczna</v>
      </c>
      <c r="AJ4" t="str">
        <f>VLOOKUP(AnalizaCzyste[[#This Row],[Jak się nazywa uczelnia którą ukończyłeś? (proszę o wybranie jednej uczelni podlegającej ocenie)]],KategorieUczelni[],3,0)</f>
        <v>Nietechniczna</v>
      </c>
      <c r="AK4">
        <f>COUNTIF(AnalizaCzyste[[#This Row],[Czy jesteś absolwentem uczelni wyższej?]],"*"&amp;"Tak"&amp;"*")</f>
        <v>1</v>
      </c>
      <c r="AL4">
        <v>1986</v>
      </c>
      <c r="AM4" t="s">
        <v>148</v>
      </c>
      <c r="AN4" t="s">
        <v>149</v>
      </c>
      <c r="AO4" t="s">
        <v>150</v>
      </c>
      <c r="AP4" t="s">
        <v>150</v>
      </c>
      <c r="AQ4" t="s">
        <v>150</v>
      </c>
      <c r="AR4" t="s">
        <v>151</v>
      </c>
      <c r="AS4" t="s">
        <v>150</v>
      </c>
      <c r="AT4">
        <v>3</v>
      </c>
      <c r="AU4" t="s">
        <v>152</v>
      </c>
      <c r="AV4">
        <f>VLOOKUP(AnalizaCzyste[[#This Row],[w pierwszym roku po ukończeniu studiów : wybierz wartość z listy rozwijanej4]],Zarobki[],2,0)</f>
        <v>500</v>
      </c>
      <c r="AW4" t="s">
        <v>153</v>
      </c>
      <c r="AX4">
        <f>VLOOKUP(AnalizaCzyste[[#This Row],[w 3 lata po ukończeniu studiów : wybierz wartość z listy rozwijanej5]],Zarobki[],2,0)</f>
        <v>3500</v>
      </c>
      <c r="AY4" t="s">
        <v>154</v>
      </c>
      <c r="AZ4" t="s">
        <v>155</v>
      </c>
      <c r="BA4" t="s">
        <v>156</v>
      </c>
      <c r="BB4" t="s">
        <v>157</v>
      </c>
      <c r="BC4" t="s">
        <v>158</v>
      </c>
      <c r="BD4" s="1" t="s">
        <v>159</v>
      </c>
      <c r="BE4">
        <v>2</v>
      </c>
      <c r="BF4" t="s">
        <v>160</v>
      </c>
      <c r="BG4">
        <v>2013</v>
      </c>
      <c r="BH4" t="s">
        <v>148</v>
      </c>
      <c r="BI4" t="s">
        <v>161</v>
      </c>
      <c r="BJ4" t="s">
        <v>162</v>
      </c>
      <c r="BK4" t="s">
        <v>150</v>
      </c>
      <c r="BL4" t="s">
        <v>150</v>
      </c>
      <c r="BM4" t="s">
        <v>150</v>
      </c>
      <c r="BN4" t="s">
        <v>150</v>
      </c>
      <c r="BO4" t="s">
        <v>163</v>
      </c>
      <c r="BP4" t="s">
        <v>164</v>
      </c>
      <c r="BQ4" t="s">
        <v>157</v>
      </c>
      <c r="BS4" t="s">
        <v>165</v>
      </c>
      <c r="BT4" t="s">
        <v>166</v>
      </c>
      <c r="BU4" t="s">
        <v>167</v>
      </c>
      <c r="BV4">
        <v>2015</v>
      </c>
      <c r="BW4" t="s">
        <v>148</v>
      </c>
      <c r="BX4" t="s">
        <v>168</v>
      </c>
      <c r="BY4" t="s">
        <v>150</v>
      </c>
      <c r="BZ4" t="s">
        <v>169</v>
      </c>
      <c r="CA4" t="s">
        <v>150</v>
      </c>
      <c r="CB4" t="s">
        <v>150</v>
      </c>
      <c r="CC4" t="s">
        <v>150</v>
      </c>
      <c r="CD4" t="s">
        <v>170</v>
      </c>
      <c r="CE4" t="s">
        <v>171</v>
      </c>
      <c r="CF4" t="s">
        <v>172</v>
      </c>
      <c r="CI4" t="s">
        <v>173</v>
      </c>
      <c r="CX4" s="1" t="s">
        <v>123</v>
      </c>
      <c r="DH4" s="1" t="s">
        <v>123</v>
      </c>
      <c r="DR4" s="1" t="s">
        <v>174</v>
      </c>
      <c r="DV4" t="s">
        <v>175</v>
      </c>
      <c r="DW4" t="s">
        <v>176</v>
      </c>
      <c r="DX4" t="s">
        <v>162</v>
      </c>
      <c r="DY4" t="s">
        <v>150</v>
      </c>
      <c r="DZ4" t="s">
        <v>151</v>
      </c>
      <c r="EA4" t="s">
        <v>151</v>
      </c>
      <c r="EB4" t="s">
        <v>162</v>
      </c>
      <c r="EC4" t="s">
        <v>162</v>
      </c>
      <c r="ED4" t="s">
        <v>150</v>
      </c>
      <c r="EE4">
        <v>25</v>
      </c>
      <c r="EF4">
        <v>25</v>
      </c>
      <c r="EG4">
        <v>2</v>
      </c>
      <c r="EH4">
        <v>5</v>
      </c>
      <c r="EI4">
        <v>8</v>
      </c>
      <c r="EJ4">
        <v>25</v>
      </c>
      <c r="EK4">
        <v>10</v>
      </c>
      <c r="EM4">
        <v>20</v>
      </c>
      <c r="EN4">
        <v>20</v>
      </c>
      <c r="EO4">
        <v>1</v>
      </c>
      <c r="EP4">
        <v>4</v>
      </c>
      <c r="EQ4">
        <v>25</v>
      </c>
      <c r="ER4">
        <v>25</v>
      </c>
      <c r="ES4">
        <v>5</v>
      </c>
      <c r="EU4" s="1" t="s">
        <v>177</v>
      </c>
      <c r="EV4" t="s">
        <v>178</v>
      </c>
      <c r="EW4">
        <v>1</v>
      </c>
      <c r="EX4" t="s">
        <v>179</v>
      </c>
      <c r="EY4" t="s">
        <v>150</v>
      </c>
      <c r="EZ4" t="s">
        <v>150</v>
      </c>
      <c r="FA4" t="s">
        <v>151</v>
      </c>
      <c r="FB4" t="s">
        <v>180</v>
      </c>
      <c r="FC4" t="s">
        <v>181</v>
      </c>
      <c r="FD4" t="s">
        <v>182</v>
      </c>
      <c r="FE4" t="s">
        <v>173</v>
      </c>
      <c r="FU4" s="1" t="s">
        <v>123</v>
      </c>
      <c r="FV4" t="s">
        <v>132</v>
      </c>
      <c r="HC4" t="s">
        <v>183</v>
      </c>
      <c r="HD4" t="s">
        <v>184</v>
      </c>
      <c r="HE4" t="s">
        <v>185</v>
      </c>
      <c r="HF4" t="s">
        <v>186</v>
      </c>
      <c r="HG4">
        <v>1961</v>
      </c>
      <c r="HH4" t="str">
        <f>VLOOKUP(AnalizaCzyste[[#This Row],[Rok urodzenia]],KategorieWiekowe[],2,1)</f>
        <v>56–65 lat</v>
      </c>
      <c r="HI4" t="s">
        <v>141</v>
      </c>
      <c r="HK4" t="s">
        <v>187</v>
      </c>
    </row>
    <row r="5" spans="1:221" x14ac:dyDescent="0.45">
      <c r="A5">
        <v>3</v>
      </c>
      <c r="B5">
        <f>_xlfn.IFNA(VLOOKUP(AnalizaCzyste[[#This Row],[Zakończono wypełnianie]],Zakończone[],2,0),"BRAK")</f>
        <v>3</v>
      </c>
      <c r="C5">
        <f t="shared" si="0"/>
        <v>39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O5">
        <v>0</v>
      </c>
      <c r="P5" t="s">
        <v>122</v>
      </c>
      <c r="Q5" s="1" t="s">
        <v>123</v>
      </c>
      <c r="AG5" s="1" t="s">
        <v>124</v>
      </c>
      <c r="AH5" t="s">
        <v>191</v>
      </c>
      <c r="AI5" t="str">
        <f>VLOOKUP(AnalizaCzyste[[#This Row],[Jak się nazywa uczelnia którą ukończyłeś? (proszę o wybranie jednej uczelni podlegającej ocenie)]],KategorieUczelni[],2,0)</f>
        <v>Publiczna</v>
      </c>
      <c r="AJ5" t="str">
        <f>VLOOKUP(AnalizaCzyste[[#This Row],[Jak się nazywa uczelnia którą ukończyłeś? (proszę o wybranie jednej uczelni podlegającej ocenie)]],KategorieUczelni[],3,0)</f>
        <v>Techniczna</v>
      </c>
      <c r="AK5">
        <f>COUNTIF(AnalizaCzyste[[#This Row],[Czy jesteś absolwentem uczelni wyższej?]],"*"&amp;"Tak"&amp;"*")</f>
        <v>1</v>
      </c>
      <c r="AL5">
        <v>2017</v>
      </c>
      <c r="AM5" t="s">
        <v>126</v>
      </c>
      <c r="AN5" t="s">
        <v>192</v>
      </c>
      <c r="AO5" t="s">
        <v>150</v>
      </c>
      <c r="AP5" t="s">
        <v>150</v>
      </c>
      <c r="AQ5" t="s">
        <v>162</v>
      </c>
      <c r="AR5" t="s">
        <v>169</v>
      </c>
      <c r="AS5" t="s">
        <v>169</v>
      </c>
      <c r="AT5" t="s">
        <v>193</v>
      </c>
      <c r="AU5" t="s">
        <v>194</v>
      </c>
      <c r="AV5">
        <f>VLOOKUP(AnalizaCzyste[[#This Row],[w pierwszym roku po ukończeniu studiów : wybierz wartość z listy rozwijanej4]],Zarobki[],2,0)</f>
        <v>10500</v>
      </c>
      <c r="AW5" t="s">
        <v>194</v>
      </c>
      <c r="AX5">
        <f>VLOOKUP(AnalizaCzyste[[#This Row],[w 3 lata po ukończeniu studiów : wybierz wartość z listy rozwijanej5]],Zarobki[],2,0)</f>
        <v>10500</v>
      </c>
      <c r="AY5" t="s">
        <v>195</v>
      </c>
      <c r="AZ5" t="s">
        <v>196</v>
      </c>
      <c r="BA5" t="s">
        <v>197</v>
      </c>
      <c r="BB5" t="s">
        <v>157</v>
      </c>
      <c r="BD5" s="1" t="s">
        <v>123</v>
      </c>
      <c r="CX5" s="1" t="s">
        <v>123</v>
      </c>
      <c r="DH5" s="1" t="s">
        <v>123</v>
      </c>
      <c r="DR5" s="1" t="s">
        <v>123</v>
      </c>
      <c r="EU5" s="1" t="s">
        <v>123</v>
      </c>
      <c r="FU5" s="1" t="s">
        <v>123</v>
      </c>
      <c r="FV5" t="s">
        <v>132</v>
      </c>
      <c r="HC5" t="s">
        <v>198</v>
      </c>
      <c r="HD5" t="s">
        <v>199</v>
      </c>
      <c r="HE5" t="s">
        <v>200</v>
      </c>
      <c r="HF5" t="s">
        <v>186</v>
      </c>
      <c r="HG5">
        <v>1991</v>
      </c>
      <c r="HH5" t="str">
        <f>VLOOKUP(AnalizaCzyste[[#This Row],[Rok urodzenia]],KategorieWiekowe[],2,1)</f>
        <v>26–35 lat</v>
      </c>
      <c r="HI5" t="s">
        <v>141</v>
      </c>
      <c r="HK5" t="s">
        <v>201</v>
      </c>
    </row>
    <row r="6" spans="1:221" x14ac:dyDescent="0.45">
      <c r="A6">
        <v>4</v>
      </c>
      <c r="B6">
        <f>_xlfn.IFNA(VLOOKUP(AnalizaCzyste[[#This Row],[Zakończono wypełnianie]],Zakończone[],2,0),"BRAK")</f>
        <v>4</v>
      </c>
      <c r="C6">
        <f t="shared" si="0"/>
        <v>50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O6">
        <v>0</v>
      </c>
      <c r="P6" t="s">
        <v>122</v>
      </c>
      <c r="Q6" s="1" t="s">
        <v>123</v>
      </c>
      <c r="AG6" s="1" t="s">
        <v>124</v>
      </c>
      <c r="AH6" t="s">
        <v>234</v>
      </c>
      <c r="AI6" t="str">
        <f>VLOOKUP(AnalizaCzyste[[#This Row],[Jak się nazywa uczelnia którą ukończyłeś? (proszę o wybranie jednej uczelni podlegającej ocenie)]],KategorieUczelni[],2,0)</f>
        <v>Publiczna</v>
      </c>
      <c r="AJ6" t="str">
        <f>VLOOKUP(AnalizaCzyste[[#This Row],[Jak się nazywa uczelnia którą ukończyłeś? (proszę o wybranie jednej uczelni podlegającej ocenie)]],KategorieUczelni[],3,0)</f>
        <v>Nietechniczna</v>
      </c>
      <c r="AK6">
        <f>COUNTIF(AnalizaCzyste[[#This Row],[Czy jesteś absolwentem uczelni wyższej?]],"*"&amp;"Tak"&amp;"*")</f>
        <v>1</v>
      </c>
      <c r="AL6">
        <v>1986</v>
      </c>
      <c r="AM6" t="s">
        <v>148</v>
      </c>
      <c r="AN6" t="s">
        <v>207</v>
      </c>
      <c r="AO6" t="s">
        <v>150</v>
      </c>
      <c r="AP6" t="s">
        <v>150</v>
      </c>
      <c r="AQ6" t="s">
        <v>162</v>
      </c>
      <c r="AR6" t="s">
        <v>162</v>
      </c>
      <c r="AS6" t="s">
        <v>162</v>
      </c>
      <c r="AT6" t="s">
        <v>208</v>
      </c>
      <c r="AU6" t="s">
        <v>209</v>
      </c>
      <c r="AV6">
        <f>VLOOKUP(AnalizaCzyste[[#This Row],[w pierwszym roku po ukończeniu studiów : wybierz wartość z listy rozwijanej4]],Zarobki[],2,0)</f>
        <v>7500</v>
      </c>
      <c r="AW6" t="s">
        <v>209</v>
      </c>
      <c r="AX6">
        <f>VLOOKUP(AnalizaCzyste[[#This Row],[w 3 lata po ukończeniu studiów : wybierz wartość z listy rozwijanej5]],Zarobki[],2,0)</f>
        <v>7500</v>
      </c>
      <c r="AY6" t="s">
        <v>210</v>
      </c>
      <c r="AZ6" t="s">
        <v>211</v>
      </c>
      <c r="BA6" t="s">
        <v>212</v>
      </c>
      <c r="BB6" t="s">
        <v>157</v>
      </c>
      <c r="BC6" t="s">
        <v>213</v>
      </c>
      <c r="BD6" s="1" t="s">
        <v>123</v>
      </c>
      <c r="CX6" s="1" t="s">
        <v>123</v>
      </c>
      <c r="DH6" s="1" t="s">
        <v>214</v>
      </c>
      <c r="DI6" t="s">
        <v>205</v>
      </c>
      <c r="DJ6" t="s">
        <v>215</v>
      </c>
      <c r="DK6" t="s">
        <v>150</v>
      </c>
      <c r="DL6" t="s">
        <v>169</v>
      </c>
      <c r="DM6" t="s">
        <v>169</v>
      </c>
      <c r="DN6" t="s">
        <v>150</v>
      </c>
      <c r="DO6" t="s">
        <v>151</v>
      </c>
      <c r="DP6" t="s">
        <v>151</v>
      </c>
      <c r="DQ6" t="s">
        <v>216</v>
      </c>
      <c r="DR6" s="1" t="s">
        <v>123</v>
      </c>
      <c r="EU6" s="1" t="s">
        <v>123</v>
      </c>
      <c r="EV6" t="s">
        <v>178</v>
      </c>
      <c r="EW6" t="s">
        <v>132</v>
      </c>
      <c r="FU6" s="1" t="s">
        <v>123</v>
      </c>
      <c r="FV6" t="s">
        <v>132</v>
      </c>
      <c r="HC6" t="s">
        <v>217</v>
      </c>
      <c r="HD6" t="s">
        <v>218</v>
      </c>
      <c r="HE6" t="s">
        <v>219</v>
      </c>
      <c r="HF6" t="s">
        <v>140</v>
      </c>
      <c r="HG6">
        <v>1961</v>
      </c>
      <c r="HH6" t="str">
        <f>VLOOKUP(AnalizaCzyste[[#This Row],[Rok urodzenia]],KategorieWiekowe[],2,1)</f>
        <v>56–65 lat</v>
      </c>
      <c r="HI6" t="s">
        <v>220</v>
      </c>
    </row>
    <row r="7" spans="1:221" x14ac:dyDescent="0.45">
      <c r="A7">
        <v>5</v>
      </c>
      <c r="B7">
        <f>_xlfn.IFNA(VLOOKUP(AnalizaCzyste[[#This Row],[Zakończono wypełnianie]],Zakończone[],2,0),"BRAK")</f>
        <v>5</v>
      </c>
      <c r="C7">
        <f t="shared" si="0"/>
        <v>89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O7">
        <v>0</v>
      </c>
      <c r="P7" t="s">
        <v>122</v>
      </c>
      <c r="Q7" s="1" t="s">
        <v>123</v>
      </c>
      <c r="AG7" s="1" t="s">
        <v>124</v>
      </c>
      <c r="AH7" t="s">
        <v>223</v>
      </c>
      <c r="AI7" t="str">
        <f>VLOOKUP(AnalizaCzyste[[#This Row],[Jak się nazywa uczelnia którą ukończyłeś? (proszę o wybranie jednej uczelni podlegającej ocenie)]],KategorieUczelni[],2,0)</f>
        <v>Publiczna</v>
      </c>
      <c r="AJ7" t="str">
        <f>VLOOKUP(AnalizaCzyste[[#This Row],[Jak się nazywa uczelnia którą ukończyłeś? (proszę o wybranie jednej uczelni podlegającej ocenie)]],KategorieUczelni[],3,0)</f>
        <v>Nietechniczna</v>
      </c>
      <c r="AK7">
        <f>COUNTIF(AnalizaCzyste[[#This Row],[Czy jesteś absolwentem uczelni wyższej?]],"*"&amp;"Tak"&amp;"*")</f>
        <v>1</v>
      </c>
      <c r="AL7">
        <v>1999</v>
      </c>
      <c r="AM7" t="s">
        <v>148</v>
      </c>
      <c r="AN7" t="s">
        <v>224</v>
      </c>
      <c r="AO7" t="s">
        <v>162</v>
      </c>
      <c r="AP7" t="s">
        <v>162</v>
      </c>
      <c r="AQ7" t="s">
        <v>150</v>
      </c>
      <c r="AR7" t="s">
        <v>150</v>
      </c>
      <c r="AS7" t="s">
        <v>169</v>
      </c>
      <c r="AT7" t="s">
        <v>225</v>
      </c>
      <c r="AU7" t="s">
        <v>153</v>
      </c>
      <c r="AV7">
        <f>VLOOKUP(AnalizaCzyste[[#This Row],[w pierwszym roku po ukończeniu studiów : wybierz wartość z listy rozwijanej4]],Zarobki[],2,0)</f>
        <v>3500</v>
      </c>
      <c r="AW7" t="s">
        <v>226</v>
      </c>
      <c r="AX7">
        <f>VLOOKUP(AnalizaCzyste[[#This Row],[w 3 lata po ukończeniu studiów : wybierz wartość z listy rozwijanej5]],Zarobki[],2,0)</f>
        <v>4500</v>
      </c>
      <c r="AY7" t="s">
        <v>227</v>
      </c>
      <c r="AZ7" t="s">
        <v>228</v>
      </c>
      <c r="BA7" t="s">
        <v>229</v>
      </c>
      <c r="BB7" t="s">
        <v>230</v>
      </c>
      <c r="BD7" s="1" t="s">
        <v>159</v>
      </c>
      <c r="BE7">
        <v>3</v>
      </c>
      <c r="BF7" t="s">
        <v>191</v>
      </c>
      <c r="BG7">
        <v>2011</v>
      </c>
      <c r="BH7" t="s">
        <v>126</v>
      </c>
      <c r="BI7" t="s">
        <v>2273</v>
      </c>
      <c r="BJ7" t="s">
        <v>169</v>
      </c>
      <c r="BK7" t="s">
        <v>169</v>
      </c>
      <c r="BL7" t="s">
        <v>150</v>
      </c>
      <c r="BM7" t="s">
        <v>162</v>
      </c>
      <c r="BN7" t="s">
        <v>150</v>
      </c>
      <c r="BO7">
        <v>1</v>
      </c>
      <c r="BP7" t="s">
        <v>232</v>
      </c>
      <c r="BQ7" t="s">
        <v>157</v>
      </c>
      <c r="BS7" t="s">
        <v>233</v>
      </c>
      <c r="BT7" t="s">
        <v>166</v>
      </c>
      <c r="BU7" t="s">
        <v>234</v>
      </c>
      <c r="BV7">
        <v>2011</v>
      </c>
      <c r="BW7" t="s">
        <v>148</v>
      </c>
      <c r="BX7" t="s">
        <v>235</v>
      </c>
      <c r="BY7" t="s">
        <v>151</v>
      </c>
      <c r="BZ7" t="s">
        <v>128</v>
      </c>
      <c r="CA7" t="s">
        <v>236</v>
      </c>
      <c r="CB7" t="s">
        <v>128</v>
      </c>
      <c r="CC7" t="s">
        <v>162</v>
      </c>
      <c r="CD7" t="s">
        <v>237</v>
      </c>
      <c r="CF7" t="s">
        <v>172</v>
      </c>
      <c r="CH7" t="s">
        <v>233</v>
      </c>
      <c r="CI7" t="s">
        <v>238</v>
      </c>
      <c r="CJ7" t="s">
        <v>223</v>
      </c>
      <c r="CK7">
        <v>2016</v>
      </c>
      <c r="CL7" t="s">
        <v>148</v>
      </c>
      <c r="CM7" t="s">
        <v>239</v>
      </c>
      <c r="CN7" t="s">
        <v>169</v>
      </c>
      <c r="CO7" t="s">
        <v>169</v>
      </c>
      <c r="CP7" t="s">
        <v>169</v>
      </c>
      <c r="CQ7" t="s">
        <v>150</v>
      </c>
      <c r="CR7" t="s">
        <v>150</v>
      </c>
      <c r="CS7">
        <v>1</v>
      </c>
      <c r="CT7" t="s">
        <v>240</v>
      </c>
      <c r="CU7" t="s">
        <v>157</v>
      </c>
      <c r="CW7" t="s">
        <v>233</v>
      </c>
      <c r="CX7" s="1" t="s">
        <v>123</v>
      </c>
      <c r="DH7" s="1" t="s">
        <v>214</v>
      </c>
      <c r="DI7" t="s">
        <v>234</v>
      </c>
      <c r="DJ7" t="s">
        <v>241</v>
      </c>
      <c r="DK7" t="s">
        <v>162</v>
      </c>
      <c r="DL7" t="s">
        <v>169</v>
      </c>
      <c r="DM7" t="s">
        <v>169</v>
      </c>
      <c r="DN7" t="s">
        <v>151</v>
      </c>
      <c r="DO7" t="s">
        <v>151</v>
      </c>
      <c r="DP7" t="s">
        <v>151</v>
      </c>
      <c r="DQ7" t="s">
        <v>242</v>
      </c>
      <c r="DR7" s="1" t="s">
        <v>123</v>
      </c>
      <c r="EU7" s="1" t="s">
        <v>123</v>
      </c>
      <c r="FU7" s="1" t="s">
        <v>123</v>
      </c>
      <c r="FV7" t="s">
        <v>132</v>
      </c>
      <c r="HC7" t="s">
        <v>243</v>
      </c>
      <c r="HD7" t="s">
        <v>244</v>
      </c>
      <c r="HE7" t="s">
        <v>245</v>
      </c>
      <c r="HF7" t="s">
        <v>186</v>
      </c>
      <c r="HG7">
        <v>1961</v>
      </c>
      <c r="HH7" t="str">
        <f>VLOOKUP(AnalizaCzyste[[#This Row],[Rok urodzenia]],KategorieWiekowe[],2,1)</f>
        <v>56–65 lat</v>
      </c>
      <c r="HI7" t="s">
        <v>246</v>
      </c>
      <c r="HK7" t="s">
        <v>247</v>
      </c>
    </row>
    <row r="8" spans="1:221" x14ac:dyDescent="0.45">
      <c r="A8">
        <v>6</v>
      </c>
      <c r="B8">
        <f>_xlfn.IFNA(VLOOKUP(AnalizaCzyste[[#This Row],[Zakończono wypełnianie]],Zakończone[],2,0),"BRAK")</f>
        <v>6</v>
      </c>
      <c r="C8">
        <f t="shared" si="0"/>
        <v>38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O8">
        <v>0</v>
      </c>
      <c r="P8" t="s">
        <v>122</v>
      </c>
      <c r="Q8" s="1" t="s">
        <v>123</v>
      </c>
      <c r="AG8" s="1" t="s">
        <v>124</v>
      </c>
      <c r="AH8" t="s">
        <v>191</v>
      </c>
      <c r="AI8" t="str">
        <f>VLOOKUP(AnalizaCzyste[[#This Row],[Jak się nazywa uczelnia którą ukończyłeś? (proszę o wybranie jednej uczelni podlegającej ocenie)]],KategorieUczelni[],2,0)</f>
        <v>Publiczna</v>
      </c>
      <c r="AJ8" t="str">
        <f>VLOOKUP(AnalizaCzyste[[#This Row],[Jak się nazywa uczelnia którą ukończyłeś? (proszę o wybranie jednej uczelni podlegającej ocenie)]],KategorieUczelni[],3,0)</f>
        <v>Techniczna</v>
      </c>
      <c r="AK8">
        <f>COUNTIF(AnalizaCzyste[[#This Row],[Czy jesteś absolwentem uczelni wyższej?]],"*"&amp;"Tak"&amp;"*")</f>
        <v>1</v>
      </c>
      <c r="AL8">
        <v>2013</v>
      </c>
      <c r="AM8" t="s">
        <v>126</v>
      </c>
      <c r="AN8" t="s">
        <v>251</v>
      </c>
      <c r="AO8" t="s">
        <v>162</v>
      </c>
      <c r="AP8" t="s">
        <v>162</v>
      </c>
      <c r="AQ8" t="s">
        <v>151</v>
      </c>
      <c r="AR8" t="s">
        <v>132</v>
      </c>
      <c r="AS8" t="s">
        <v>132</v>
      </c>
      <c r="AT8" t="s">
        <v>252</v>
      </c>
      <c r="AU8" t="s">
        <v>132</v>
      </c>
      <c r="AV8" t="str">
        <f>VLOOKUP(AnalizaCzyste[[#This Row],[w pierwszym roku po ukończeniu studiów : wybierz wartość z listy rozwijanej4]],Zarobki[],2,0)</f>
        <v>N/D</v>
      </c>
      <c r="AW8" t="s">
        <v>132</v>
      </c>
      <c r="AX8" t="str">
        <f>VLOOKUP(AnalizaCzyste[[#This Row],[w 3 lata po ukończeniu studiów : wybierz wartość z listy rozwijanej5]],Zarobki[],2,0)</f>
        <v>N/D</v>
      </c>
      <c r="AY8" t="s">
        <v>253</v>
      </c>
      <c r="AZ8" t="s">
        <v>254</v>
      </c>
      <c r="BA8" t="s">
        <v>255</v>
      </c>
      <c r="BB8" t="s">
        <v>157</v>
      </c>
      <c r="BD8" s="1" t="s">
        <v>123</v>
      </c>
      <c r="CX8" s="1" t="s">
        <v>123</v>
      </c>
      <c r="DH8" s="1" t="s">
        <v>123</v>
      </c>
      <c r="DR8" s="1" t="s">
        <v>123</v>
      </c>
      <c r="EU8" s="1" t="s">
        <v>123</v>
      </c>
      <c r="FU8" s="1" t="s">
        <v>123</v>
      </c>
      <c r="FV8" t="s">
        <v>132</v>
      </c>
      <c r="HC8" t="s">
        <v>256</v>
      </c>
      <c r="HD8" t="s">
        <v>257</v>
      </c>
      <c r="HE8" t="s">
        <v>258</v>
      </c>
      <c r="HF8" t="s">
        <v>140</v>
      </c>
      <c r="HG8">
        <v>1988</v>
      </c>
      <c r="HH8" t="str">
        <f>VLOOKUP(AnalizaCzyste[[#This Row],[Rok urodzenia]],KategorieWiekowe[],2,1)</f>
        <v>26–35 lat</v>
      </c>
      <c r="HI8" t="s">
        <v>141</v>
      </c>
    </row>
    <row r="9" spans="1:221" x14ac:dyDescent="0.45">
      <c r="A9">
        <v>7</v>
      </c>
      <c r="B9">
        <f>_xlfn.IFNA(VLOOKUP(AnalizaCzyste[[#This Row],[Zakończono wypełnianie]],Zakończone[],2,0),"BRAK")</f>
        <v>7</v>
      </c>
      <c r="C9">
        <f t="shared" si="0"/>
        <v>43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O9">
        <v>0</v>
      </c>
      <c r="P9" t="s">
        <v>122</v>
      </c>
      <c r="Q9" s="1" t="s">
        <v>123</v>
      </c>
      <c r="AG9" s="1" t="s">
        <v>124</v>
      </c>
      <c r="AH9" t="s">
        <v>191</v>
      </c>
      <c r="AI9" t="str">
        <f>VLOOKUP(AnalizaCzyste[[#This Row],[Jak się nazywa uczelnia którą ukończyłeś? (proszę o wybranie jednej uczelni podlegającej ocenie)]],KategorieUczelni[],2,0)</f>
        <v>Publiczna</v>
      </c>
      <c r="AJ9" t="str">
        <f>VLOOKUP(AnalizaCzyste[[#This Row],[Jak się nazywa uczelnia którą ukończyłeś? (proszę o wybranie jednej uczelni podlegającej ocenie)]],KategorieUczelni[],3,0)</f>
        <v>Techniczna</v>
      </c>
      <c r="AK9">
        <f>COUNTIF(AnalizaCzyste[[#This Row],[Czy jesteś absolwentem uczelni wyższej?]],"*"&amp;"Tak"&amp;"*")</f>
        <v>1</v>
      </c>
      <c r="AL9">
        <v>2013</v>
      </c>
      <c r="AM9" t="s">
        <v>126</v>
      </c>
      <c r="AN9" t="s">
        <v>263</v>
      </c>
      <c r="AO9" t="s">
        <v>169</v>
      </c>
      <c r="AP9" t="s">
        <v>150</v>
      </c>
      <c r="AQ9" t="s">
        <v>169</v>
      </c>
      <c r="AR9" t="s">
        <v>169</v>
      </c>
      <c r="AS9" t="s">
        <v>169</v>
      </c>
      <c r="AT9">
        <v>4</v>
      </c>
      <c r="AU9" t="s">
        <v>153</v>
      </c>
      <c r="AV9">
        <f>VLOOKUP(AnalizaCzyste[[#This Row],[w pierwszym roku po ukończeniu studiów : wybierz wartość z listy rozwijanej4]],Zarobki[],2,0)</f>
        <v>3500</v>
      </c>
      <c r="AW9" t="s">
        <v>153</v>
      </c>
      <c r="AX9">
        <f>VLOOKUP(AnalizaCzyste[[#This Row],[w 3 lata po ukończeniu studiów : wybierz wartość z listy rozwijanej5]],Zarobki[],2,0)</f>
        <v>3500</v>
      </c>
      <c r="AY9" t="s">
        <v>264</v>
      </c>
      <c r="AZ9" t="s">
        <v>265</v>
      </c>
      <c r="BA9" t="s">
        <v>266</v>
      </c>
      <c r="BB9" t="s">
        <v>157</v>
      </c>
      <c r="BD9" s="1" t="s">
        <v>123</v>
      </c>
      <c r="CX9" s="1" t="s">
        <v>123</v>
      </c>
      <c r="DH9" s="1" t="s">
        <v>123</v>
      </c>
      <c r="DR9" s="1" t="s">
        <v>123</v>
      </c>
      <c r="EU9" s="1" t="s">
        <v>123</v>
      </c>
      <c r="EV9" t="s">
        <v>180</v>
      </c>
      <c r="EW9" t="s">
        <v>132</v>
      </c>
      <c r="FU9" s="1" t="s">
        <v>123</v>
      </c>
      <c r="FV9" t="s">
        <v>132</v>
      </c>
      <c r="FX9" t="s">
        <v>132</v>
      </c>
      <c r="HC9" t="s">
        <v>267</v>
      </c>
      <c r="HD9" t="s">
        <v>267</v>
      </c>
      <c r="HE9" t="s">
        <v>267</v>
      </c>
      <c r="HF9" t="s">
        <v>186</v>
      </c>
      <c r="HG9">
        <v>1988</v>
      </c>
      <c r="HH9" t="str">
        <f>VLOOKUP(AnalizaCzyste[[#This Row],[Rok urodzenia]],KategorieWiekowe[],2,1)</f>
        <v>26–35 lat</v>
      </c>
      <c r="HI9" t="s">
        <v>220</v>
      </c>
      <c r="HK9" t="s">
        <v>268</v>
      </c>
      <c r="HL9" t="s">
        <v>268</v>
      </c>
    </row>
    <row r="10" spans="1:221" x14ac:dyDescent="0.45">
      <c r="A10">
        <v>8</v>
      </c>
      <c r="B10">
        <f>_xlfn.IFNA(VLOOKUP(AnalizaCzyste[[#This Row],[Zakończono wypełnianie]],Zakończone[],2,0),"BRAK")</f>
        <v>8</v>
      </c>
      <c r="C10">
        <f t="shared" si="0"/>
        <v>64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O10">
        <v>0</v>
      </c>
      <c r="P10" t="s">
        <v>122</v>
      </c>
      <c r="Q10" s="1" t="s">
        <v>123</v>
      </c>
      <c r="AG10" s="1" t="s">
        <v>124</v>
      </c>
      <c r="AH10" t="s">
        <v>160</v>
      </c>
      <c r="AI10" t="str">
        <f>VLOOKUP(AnalizaCzyste[[#This Row],[Jak się nazywa uczelnia którą ukończyłeś? (proszę o wybranie jednej uczelni podlegającej ocenie)]],KategorieUczelni[],2,0)</f>
        <v>Publiczna</v>
      </c>
      <c r="AJ10" t="str">
        <f>VLOOKUP(AnalizaCzyste[[#This Row],[Jak się nazywa uczelnia którą ukończyłeś? (proszę o wybranie jednej uczelni podlegającej ocenie)]],KategorieUczelni[],3,0)</f>
        <v>Nietechniczna</v>
      </c>
      <c r="AK10">
        <f>COUNTIF(AnalizaCzyste[[#This Row],[Czy jesteś absolwentem uczelni wyższej?]],"*"&amp;"Tak"&amp;"*")</f>
        <v>1</v>
      </c>
      <c r="AL10">
        <v>1973</v>
      </c>
      <c r="AM10" t="s">
        <v>148</v>
      </c>
      <c r="AN10" t="s">
        <v>272</v>
      </c>
      <c r="AO10" t="s">
        <v>169</v>
      </c>
      <c r="AP10" s="20" t="s">
        <v>169</v>
      </c>
      <c r="AQ10" t="s">
        <v>150</v>
      </c>
      <c r="AR10" t="s">
        <v>129</v>
      </c>
      <c r="AS10" t="s">
        <v>129</v>
      </c>
      <c r="AT10">
        <v>0</v>
      </c>
      <c r="AU10" t="s">
        <v>152</v>
      </c>
      <c r="AV10">
        <f>VLOOKUP(AnalizaCzyste[[#This Row],[w pierwszym roku po ukończeniu studiów : wybierz wartość z listy rozwijanej4]],Zarobki[],2,0)</f>
        <v>500</v>
      </c>
      <c r="AW10" t="s">
        <v>152</v>
      </c>
      <c r="AX10">
        <f>VLOOKUP(AnalizaCzyste[[#This Row],[w 3 lata po ukończeniu studiów : wybierz wartość z listy rozwijanej5]],Zarobki[],2,0)</f>
        <v>500</v>
      </c>
      <c r="AY10" t="s">
        <v>273</v>
      </c>
      <c r="AZ10" t="s">
        <v>274</v>
      </c>
      <c r="BA10" t="s">
        <v>275</v>
      </c>
      <c r="BB10" t="s">
        <v>172</v>
      </c>
      <c r="BD10" s="1" t="s">
        <v>159</v>
      </c>
      <c r="BE10">
        <v>3</v>
      </c>
      <c r="BF10" t="s">
        <v>160</v>
      </c>
      <c r="BG10" t="s">
        <v>276</v>
      </c>
      <c r="BH10" t="s">
        <v>148</v>
      </c>
      <c r="BI10" t="s">
        <v>277</v>
      </c>
      <c r="BJ10" t="s">
        <v>169</v>
      </c>
      <c r="BK10" t="s">
        <v>169</v>
      </c>
      <c r="BL10" t="s">
        <v>236</v>
      </c>
      <c r="BM10" t="s">
        <v>236</v>
      </c>
      <c r="BN10" t="s">
        <v>236</v>
      </c>
      <c r="BO10">
        <v>0</v>
      </c>
      <c r="BP10" t="s">
        <v>278</v>
      </c>
      <c r="BQ10" t="s">
        <v>172</v>
      </c>
      <c r="BT10" t="s">
        <v>173</v>
      </c>
      <c r="CX10" s="1" t="s">
        <v>123</v>
      </c>
      <c r="DH10" s="1" t="s">
        <v>214</v>
      </c>
      <c r="DI10" t="s">
        <v>862</v>
      </c>
      <c r="DJ10" t="s">
        <v>280</v>
      </c>
      <c r="DK10" t="s">
        <v>150</v>
      </c>
      <c r="DL10" t="s">
        <v>150</v>
      </c>
      <c r="DM10" t="s">
        <v>150</v>
      </c>
      <c r="DN10" t="s">
        <v>150</v>
      </c>
      <c r="DO10" t="s">
        <v>150</v>
      </c>
      <c r="DP10" t="s">
        <v>150</v>
      </c>
      <c r="DQ10" t="s">
        <v>281</v>
      </c>
      <c r="DR10" s="1" t="s">
        <v>123</v>
      </c>
      <c r="EU10" s="1" t="s">
        <v>123</v>
      </c>
      <c r="EV10" t="s">
        <v>180</v>
      </c>
      <c r="EW10" t="s">
        <v>132</v>
      </c>
      <c r="FU10" s="1" t="s">
        <v>123</v>
      </c>
      <c r="FV10" t="s">
        <v>132</v>
      </c>
      <c r="FX10" t="s">
        <v>132</v>
      </c>
      <c r="HC10" t="s">
        <v>282</v>
      </c>
      <c r="HD10" t="s">
        <v>283</v>
      </c>
      <c r="HE10" t="s">
        <v>284</v>
      </c>
      <c r="HF10" t="s">
        <v>186</v>
      </c>
      <c r="HG10">
        <v>1950</v>
      </c>
      <c r="HH10" t="str">
        <f>VLOOKUP(AnalizaCzyste[[#This Row],[Rok urodzenia]],KategorieWiekowe[],2,1)</f>
        <v>powyżej 65 lat</v>
      </c>
      <c r="HI10" t="s">
        <v>141</v>
      </c>
    </row>
    <row r="11" spans="1:221" x14ac:dyDescent="0.45">
      <c r="A11">
        <v>10</v>
      </c>
      <c r="B11">
        <f>_xlfn.IFNA(VLOOKUP(AnalizaCzyste[[#This Row],[Zakończono wypełnianie]],Zakończone[],2,0),"BRAK")</f>
        <v>9</v>
      </c>
      <c r="C11">
        <f t="shared" si="0"/>
        <v>39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O11">
        <v>0</v>
      </c>
      <c r="P11" t="s">
        <v>122</v>
      </c>
      <c r="Q11" s="1" t="s">
        <v>123</v>
      </c>
      <c r="AG11" s="1" t="s">
        <v>124</v>
      </c>
      <c r="AH11" t="s">
        <v>191</v>
      </c>
      <c r="AI11" t="str">
        <f>VLOOKUP(AnalizaCzyste[[#This Row],[Jak się nazywa uczelnia którą ukończyłeś? (proszę o wybranie jednej uczelni podlegającej ocenie)]],KategorieUczelni[],2,0)</f>
        <v>Publiczna</v>
      </c>
      <c r="AJ11" t="str">
        <f>VLOOKUP(AnalizaCzyste[[#This Row],[Jak się nazywa uczelnia którą ukończyłeś? (proszę o wybranie jednej uczelni podlegającej ocenie)]],KategorieUczelni[],3,0)</f>
        <v>Techniczna</v>
      </c>
      <c r="AK11">
        <f>COUNTIF(AnalizaCzyste[[#This Row],[Czy jesteś absolwentem uczelni wyższej?]],"*"&amp;"Tak"&amp;"*")</f>
        <v>1</v>
      </c>
      <c r="AL11">
        <v>2013</v>
      </c>
      <c r="AM11" t="s">
        <v>126</v>
      </c>
      <c r="AN11" t="s">
        <v>291</v>
      </c>
      <c r="AO11" t="s">
        <v>150</v>
      </c>
      <c r="AP11" t="s">
        <v>150</v>
      </c>
      <c r="AQ11" t="s">
        <v>169</v>
      </c>
      <c r="AR11" t="s">
        <v>151</v>
      </c>
      <c r="AS11" t="s">
        <v>162</v>
      </c>
      <c r="AT11">
        <v>1</v>
      </c>
      <c r="AU11" t="s">
        <v>131</v>
      </c>
      <c r="AV11">
        <f>VLOOKUP(AnalizaCzyste[[#This Row],[w pierwszym roku po ukończeniu studiów : wybierz wartość z listy rozwijanej4]],Zarobki[],2,0)</f>
        <v>1500</v>
      </c>
      <c r="AW11" t="s">
        <v>153</v>
      </c>
      <c r="AX11">
        <f>VLOOKUP(AnalizaCzyste[[#This Row],[w 3 lata po ukończeniu studiów : wybierz wartość z listy rozwijanej5]],Zarobki[],2,0)</f>
        <v>3500</v>
      </c>
      <c r="AY11" t="s">
        <v>292</v>
      </c>
      <c r="AZ11" t="s">
        <v>293</v>
      </c>
      <c r="BA11" t="s">
        <v>294</v>
      </c>
      <c r="BB11" t="s">
        <v>157</v>
      </c>
      <c r="BD11" s="1" t="s">
        <v>123</v>
      </c>
      <c r="CX11" s="1" t="s">
        <v>123</v>
      </c>
      <c r="DH11" s="1" t="s">
        <v>123</v>
      </c>
      <c r="DR11" s="1" t="s">
        <v>123</v>
      </c>
      <c r="EU11" s="1" t="s">
        <v>123</v>
      </c>
      <c r="FU11" s="1" t="s">
        <v>123</v>
      </c>
      <c r="FV11" t="s">
        <v>132</v>
      </c>
      <c r="FX11" t="s">
        <v>132</v>
      </c>
      <c r="HC11" t="s">
        <v>295</v>
      </c>
      <c r="HD11" t="s">
        <v>296</v>
      </c>
      <c r="HE11" t="s">
        <v>297</v>
      </c>
      <c r="HF11" t="s">
        <v>186</v>
      </c>
      <c r="HG11">
        <v>1988</v>
      </c>
      <c r="HH11" t="str">
        <f>VLOOKUP(AnalizaCzyste[[#This Row],[Rok urodzenia]],KategorieWiekowe[],2,1)</f>
        <v>26–35 lat</v>
      </c>
      <c r="HI11" t="s">
        <v>141</v>
      </c>
    </row>
    <row r="12" spans="1:221" x14ac:dyDescent="0.45">
      <c r="A12">
        <v>11</v>
      </c>
      <c r="B12">
        <f>_xlfn.IFNA(VLOOKUP(AnalizaCzyste[[#This Row],[Zakończono wypełnianie]],Zakończone[],2,0),"BRAK")</f>
        <v>10</v>
      </c>
      <c r="C12">
        <f t="shared" si="0"/>
        <v>68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O12">
        <v>0</v>
      </c>
      <c r="P12" t="s">
        <v>122</v>
      </c>
      <c r="Q12" s="1" t="s">
        <v>123</v>
      </c>
      <c r="AG12" s="1" t="s">
        <v>124</v>
      </c>
      <c r="AH12" t="s">
        <v>191</v>
      </c>
      <c r="AI12" t="str">
        <f>VLOOKUP(AnalizaCzyste[[#This Row],[Jak się nazywa uczelnia którą ukończyłeś? (proszę o wybranie jednej uczelni podlegającej ocenie)]],KategorieUczelni[],2,0)</f>
        <v>Publiczna</v>
      </c>
      <c r="AJ12" t="str">
        <f>VLOOKUP(AnalizaCzyste[[#This Row],[Jak się nazywa uczelnia którą ukończyłeś? (proszę o wybranie jednej uczelni podlegającej ocenie)]],KategorieUczelni[],3,0)</f>
        <v>Techniczna</v>
      </c>
      <c r="AK12">
        <f>COUNTIF(AnalizaCzyste[[#This Row],[Czy jesteś absolwentem uczelni wyższej?]],"*"&amp;"Tak"&amp;"*")</f>
        <v>1</v>
      </c>
      <c r="AL12">
        <v>1986</v>
      </c>
      <c r="AM12" t="s">
        <v>126</v>
      </c>
      <c r="AN12" t="s">
        <v>301</v>
      </c>
      <c r="AO12" t="s">
        <v>150</v>
      </c>
      <c r="AP12" t="s">
        <v>150</v>
      </c>
      <c r="AQ12" t="s">
        <v>162</v>
      </c>
      <c r="AR12" t="s">
        <v>151</v>
      </c>
      <c r="AS12" t="s">
        <v>151</v>
      </c>
      <c r="AT12">
        <v>2</v>
      </c>
      <c r="AU12" t="s">
        <v>302</v>
      </c>
      <c r="AV12">
        <f>VLOOKUP(AnalizaCzyste[[#This Row],[w pierwszym roku po ukończeniu studiów : wybierz wartość z listy rozwijanej4]],Zarobki[],2,0)</f>
        <v>2500</v>
      </c>
      <c r="AW12" t="s">
        <v>153</v>
      </c>
      <c r="AX12">
        <f>VLOOKUP(AnalizaCzyste[[#This Row],[w 3 lata po ukończeniu studiów : wybierz wartość z listy rozwijanej5]],Zarobki[],2,0)</f>
        <v>3500</v>
      </c>
      <c r="AY12" t="s">
        <v>303</v>
      </c>
      <c r="AZ12" t="s">
        <v>304</v>
      </c>
      <c r="BA12" t="s">
        <v>305</v>
      </c>
      <c r="BB12" t="s">
        <v>157</v>
      </c>
      <c r="BD12" s="1" t="s">
        <v>159</v>
      </c>
      <c r="BE12">
        <v>1</v>
      </c>
      <c r="BF12" t="s">
        <v>223</v>
      </c>
      <c r="BG12">
        <v>2011</v>
      </c>
      <c r="BH12" t="s">
        <v>148</v>
      </c>
      <c r="BI12" t="s">
        <v>127</v>
      </c>
      <c r="BJ12" t="s">
        <v>150</v>
      </c>
      <c r="BK12" t="s">
        <v>150</v>
      </c>
      <c r="BL12" t="s">
        <v>169</v>
      </c>
      <c r="BM12" t="s">
        <v>169</v>
      </c>
      <c r="BN12" t="s">
        <v>169</v>
      </c>
      <c r="BO12">
        <v>1</v>
      </c>
      <c r="BP12" t="s">
        <v>306</v>
      </c>
      <c r="BQ12" t="s">
        <v>157</v>
      </c>
      <c r="BS12" t="s">
        <v>307</v>
      </c>
      <c r="BT12" t="s">
        <v>173</v>
      </c>
      <c r="CX12" s="1" t="s">
        <v>123</v>
      </c>
      <c r="DH12" s="1" t="s">
        <v>214</v>
      </c>
      <c r="DI12" t="s">
        <v>191</v>
      </c>
      <c r="DJ12" t="s">
        <v>308</v>
      </c>
      <c r="DK12" t="s">
        <v>150</v>
      </c>
      <c r="DL12" t="s">
        <v>150</v>
      </c>
      <c r="DM12" t="s">
        <v>162</v>
      </c>
      <c r="DN12" t="s">
        <v>150</v>
      </c>
      <c r="DO12" t="s">
        <v>150</v>
      </c>
      <c r="DP12" t="s">
        <v>150</v>
      </c>
      <c r="DQ12" t="s">
        <v>309</v>
      </c>
      <c r="DR12" s="1" t="s">
        <v>123</v>
      </c>
      <c r="EU12" s="1" t="s">
        <v>123</v>
      </c>
      <c r="EV12" t="s">
        <v>180</v>
      </c>
      <c r="EW12" t="s">
        <v>132</v>
      </c>
      <c r="FU12" s="1" t="s">
        <v>123</v>
      </c>
      <c r="FV12" t="s">
        <v>132</v>
      </c>
      <c r="FX12" t="s">
        <v>132</v>
      </c>
      <c r="HC12" t="s">
        <v>310</v>
      </c>
      <c r="HD12" t="s">
        <v>311</v>
      </c>
      <c r="HE12" t="s">
        <v>312</v>
      </c>
      <c r="HF12" t="s">
        <v>186</v>
      </c>
      <c r="HG12">
        <v>1963</v>
      </c>
      <c r="HH12" t="str">
        <f>VLOOKUP(AnalizaCzyste[[#This Row],[Rok urodzenia]],KategorieWiekowe[],2,1)</f>
        <v>56–65 lat</v>
      </c>
      <c r="HI12" t="s">
        <v>141</v>
      </c>
      <c r="HJ12" t="s">
        <v>313</v>
      </c>
      <c r="HK12" t="s">
        <v>314</v>
      </c>
      <c r="HL12" t="s">
        <v>315</v>
      </c>
    </row>
    <row r="13" spans="1:221" x14ac:dyDescent="0.45">
      <c r="A13">
        <v>12</v>
      </c>
      <c r="B13">
        <f>_xlfn.IFNA(VLOOKUP(AnalizaCzyste[[#This Row],[Zakończono wypełnianie]],Zakończone[],2,0),"BRAK")</f>
        <v>11</v>
      </c>
      <c r="C13">
        <f t="shared" si="0"/>
        <v>41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O13">
        <v>0</v>
      </c>
      <c r="P13" t="s">
        <v>122</v>
      </c>
      <c r="Q13" s="1" t="s">
        <v>123</v>
      </c>
      <c r="AG13" s="1" t="s">
        <v>124</v>
      </c>
      <c r="AH13" t="s">
        <v>191</v>
      </c>
      <c r="AI13" t="str">
        <f>VLOOKUP(AnalizaCzyste[[#This Row],[Jak się nazywa uczelnia którą ukończyłeś? (proszę o wybranie jednej uczelni podlegającej ocenie)]],KategorieUczelni[],2,0)</f>
        <v>Publiczna</v>
      </c>
      <c r="AJ13" t="str">
        <f>VLOOKUP(AnalizaCzyste[[#This Row],[Jak się nazywa uczelnia którą ukończyłeś? (proszę o wybranie jednej uczelni podlegającej ocenie)]],KategorieUczelni[],3,0)</f>
        <v>Techniczna</v>
      </c>
      <c r="AK13">
        <f>COUNTIF(AnalizaCzyste[[#This Row],[Czy jesteś absolwentem uczelni wyższej?]],"*"&amp;"Tak"&amp;"*")</f>
        <v>1</v>
      </c>
      <c r="AL13">
        <v>2010</v>
      </c>
      <c r="AM13" t="s">
        <v>126</v>
      </c>
      <c r="AN13" t="s">
        <v>319</v>
      </c>
      <c r="AO13" t="s">
        <v>236</v>
      </c>
      <c r="AP13" t="s">
        <v>128</v>
      </c>
      <c r="AQ13" t="s">
        <v>162</v>
      </c>
      <c r="AR13" t="s">
        <v>162</v>
      </c>
      <c r="AS13" t="s">
        <v>162</v>
      </c>
      <c r="AT13">
        <v>6</v>
      </c>
      <c r="AU13" t="s">
        <v>131</v>
      </c>
      <c r="AV13">
        <f>VLOOKUP(AnalizaCzyste[[#This Row],[w pierwszym roku po ukończeniu studiów : wybierz wartość z listy rozwijanej4]],Zarobki[],2,0)</f>
        <v>1500</v>
      </c>
      <c r="AW13" t="s">
        <v>302</v>
      </c>
      <c r="AX13">
        <f>VLOOKUP(AnalizaCzyste[[#This Row],[w 3 lata po ukończeniu studiów : wybierz wartość z listy rozwijanej5]],Zarobki[],2,0)</f>
        <v>2500</v>
      </c>
      <c r="AY13" t="s">
        <v>320</v>
      </c>
      <c r="AZ13" t="s">
        <v>321</v>
      </c>
      <c r="BA13" t="s">
        <v>322</v>
      </c>
      <c r="BB13" t="s">
        <v>157</v>
      </c>
      <c r="BD13" s="1" t="s">
        <v>123</v>
      </c>
      <c r="CX13" s="1" t="s">
        <v>123</v>
      </c>
      <c r="DH13" s="1" t="s">
        <v>123</v>
      </c>
      <c r="DR13" s="1" t="s">
        <v>123</v>
      </c>
      <c r="EU13" s="1" t="s">
        <v>123</v>
      </c>
      <c r="EV13" t="s">
        <v>180</v>
      </c>
      <c r="EW13" t="s">
        <v>132</v>
      </c>
      <c r="FU13" s="1" t="s">
        <v>123</v>
      </c>
      <c r="FV13" t="s">
        <v>132</v>
      </c>
      <c r="FX13" t="s">
        <v>132</v>
      </c>
      <c r="HC13" t="s">
        <v>323</v>
      </c>
      <c r="HD13" t="s">
        <v>324</v>
      </c>
      <c r="HE13" t="s">
        <v>325</v>
      </c>
      <c r="HF13" t="s">
        <v>186</v>
      </c>
      <c r="HG13">
        <v>1985</v>
      </c>
      <c r="HH13" t="str">
        <f>VLOOKUP(AnalizaCzyste[[#This Row],[Rok urodzenia]],KategorieWiekowe[],2,1)</f>
        <v>26–35 lat</v>
      </c>
      <c r="HI13" t="s">
        <v>141</v>
      </c>
    </row>
    <row r="14" spans="1:221" x14ac:dyDescent="0.45">
      <c r="A14">
        <v>13</v>
      </c>
      <c r="B14">
        <f>_xlfn.IFNA(VLOOKUP(AnalizaCzyste[[#This Row],[Zakończono wypełnianie]],Zakończone[],2,0),"BRAK")</f>
        <v>12</v>
      </c>
      <c r="C14">
        <f t="shared" si="0"/>
        <v>41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O14">
        <v>0</v>
      </c>
      <c r="P14" t="s">
        <v>122</v>
      </c>
      <c r="Q14" s="1" t="s">
        <v>123</v>
      </c>
      <c r="AG14" s="1" t="s">
        <v>124</v>
      </c>
      <c r="AH14" t="s">
        <v>191</v>
      </c>
      <c r="AI14" t="str">
        <f>VLOOKUP(AnalizaCzyste[[#This Row],[Jak się nazywa uczelnia którą ukończyłeś? (proszę o wybranie jednej uczelni podlegającej ocenie)]],KategorieUczelni[],2,0)</f>
        <v>Publiczna</v>
      </c>
      <c r="AJ14" t="str">
        <f>VLOOKUP(AnalizaCzyste[[#This Row],[Jak się nazywa uczelnia którą ukończyłeś? (proszę o wybranie jednej uczelni podlegającej ocenie)]],KategorieUczelni[],3,0)</f>
        <v>Techniczna</v>
      </c>
      <c r="AK14">
        <f>COUNTIF(AnalizaCzyste[[#This Row],[Czy jesteś absolwentem uczelni wyższej?]],"*"&amp;"Tak"&amp;"*")</f>
        <v>1</v>
      </c>
      <c r="AL14">
        <v>2011</v>
      </c>
      <c r="AM14" t="s">
        <v>126</v>
      </c>
      <c r="AN14" t="s">
        <v>330</v>
      </c>
      <c r="AO14" t="s">
        <v>169</v>
      </c>
      <c r="AP14" t="s">
        <v>169</v>
      </c>
      <c r="AQ14" t="s">
        <v>150</v>
      </c>
      <c r="AR14" t="s">
        <v>162</v>
      </c>
      <c r="AS14" t="s">
        <v>169</v>
      </c>
      <c r="AT14" t="s">
        <v>331</v>
      </c>
      <c r="AU14" t="s">
        <v>302</v>
      </c>
      <c r="AV14">
        <f>VLOOKUP(AnalizaCzyste[[#This Row],[w pierwszym roku po ukończeniu studiów : wybierz wartość z listy rozwijanej4]],Zarobki[],2,0)</f>
        <v>2500</v>
      </c>
      <c r="AW14" t="s">
        <v>226</v>
      </c>
      <c r="AX14">
        <f>VLOOKUP(AnalizaCzyste[[#This Row],[w 3 lata po ukończeniu studiów : wybierz wartość z listy rozwijanej5]],Zarobki[],2,0)</f>
        <v>4500</v>
      </c>
      <c r="AY14" t="s">
        <v>332</v>
      </c>
      <c r="AZ14" t="s">
        <v>333</v>
      </c>
      <c r="BA14" t="s">
        <v>334</v>
      </c>
      <c r="BB14" t="s">
        <v>157</v>
      </c>
      <c r="BC14" t="s">
        <v>335</v>
      </c>
      <c r="BD14" s="1" t="s">
        <v>123</v>
      </c>
      <c r="CX14" s="1" t="s">
        <v>123</v>
      </c>
      <c r="DH14" s="1" t="s">
        <v>123</v>
      </c>
      <c r="DR14" s="1" t="s">
        <v>123</v>
      </c>
      <c r="EU14" s="1" t="s">
        <v>123</v>
      </c>
      <c r="FU14" s="1" t="s">
        <v>123</v>
      </c>
      <c r="FV14" t="s">
        <v>132</v>
      </c>
      <c r="HC14" t="s">
        <v>336</v>
      </c>
      <c r="HD14" t="s">
        <v>337</v>
      </c>
      <c r="HE14" t="s">
        <v>338</v>
      </c>
      <c r="HF14" t="s">
        <v>186</v>
      </c>
      <c r="HG14">
        <v>1987</v>
      </c>
      <c r="HH14" t="str">
        <f>VLOOKUP(AnalizaCzyste[[#This Row],[Rok urodzenia]],KategorieWiekowe[],2,1)</f>
        <v>26–35 lat</v>
      </c>
      <c r="HI14" t="s">
        <v>246</v>
      </c>
      <c r="HK14" t="s">
        <v>339</v>
      </c>
      <c r="HL14" t="s">
        <v>340</v>
      </c>
    </row>
    <row r="15" spans="1:221" x14ac:dyDescent="0.45">
      <c r="A15">
        <v>16</v>
      </c>
      <c r="B15">
        <f>_xlfn.IFNA(VLOOKUP(AnalizaCzyste[[#This Row],[Zakończono wypełnianie]],Zakończone[],2,0),"BRAK")</f>
        <v>15</v>
      </c>
      <c r="C15">
        <f t="shared" si="0"/>
        <v>40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O15">
        <v>0</v>
      </c>
      <c r="P15" t="s">
        <v>122</v>
      </c>
      <c r="Q15" s="1" t="s">
        <v>123</v>
      </c>
      <c r="AG15" s="1" t="s">
        <v>124</v>
      </c>
      <c r="AH15" t="s">
        <v>191</v>
      </c>
      <c r="AI15" t="str">
        <f>VLOOKUP(AnalizaCzyste[[#This Row],[Jak się nazywa uczelnia którą ukończyłeś? (proszę o wybranie jednej uczelni podlegającej ocenie)]],KategorieUczelni[],2,0)</f>
        <v>Publiczna</v>
      </c>
      <c r="AJ15" t="str">
        <f>VLOOKUP(AnalizaCzyste[[#This Row],[Jak się nazywa uczelnia którą ukończyłeś? (proszę o wybranie jednej uczelni podlegającej ocenie)]],KategorieUczelni[],3,0)</f>
        <v>Techniczna</v>
      </c>
      <c r="AK15">
        <f>COUNTIF(AnalizaCzyste[[#This Row],[Czy jesteś absolwentem uczelni wyższej?]],"*"&amp;"Tak"&amp;"*")</f>
        <v>1</v>
      </c>
      <c r="AL15">
        <v>2010</v>
      </c>
      <c r="AM15" t="s">
        <v>126</v>
      </c>
      <c r="AN15" t="s">
        <v>127</v>
      </c>
      <c r="AO15" t="s">
        <v>150</v>
      </c>
      <c r="AP15" t="s">
        <v>128</v>
      </c>
      <c r="AQ15" t="s">
        <v>151</v>
      </c>
      <c r="AR15" t="s">
        <v>162</v>
      </c>
      <c r="AS15" t="s">
        <v>162</v>
      </c>
      <c r="AT15" t="s">
        <v>350</v>
      </c>
      <c r="AU15" t="s">
        <v>302</v>
      </c>
      <c r="AV15">
        <f>VLOOKUP(AnalizaCzyste[[#This Row],[w pierwszym roku po ukończeniu studiów : wybierz wartość z listy rozwijanej4]],Zarobki[],2,0)</f>
        <v>2500</v>
      </c>
      <c r="AW15" t="s">
        <v>302</v>
      </c>
      <c r="AX15">
        <f>VLOOKUP(AnalizaCzyste[[#This Row],[w 3 lata po ukończeniu studiów : wybierz wartość z listy rozwijanej5]],Zarobki[],2,0)</f>
        <v>2500</v>
      </c>
      <c r="AY15" t="s">
        <v>351</v>
      </c>
      <c r="AZ15" t="s">
        <v>352</v>
      </c>
      <c r="BA15" t="s">
        <v>353</v>
      </c>
      <c r="BB15" t="s">
        <v>157</v>
      </c>
      <c r="BD15" s="1" t="s">
        <v>123</v>
      </c>
      <c r="CX15" s="1" t="s">
        <v>123</v>
      </c>
      <c r="DH15" s="1" t="s">
        <v>123</v>
      </c>
      <c r="DR15" s="1" t="s">
        <v>123</v>
      </c>
      <c r="EU15" s="1" t="s">
        <v>123</v>
      </c>
      <c r="EW15" t="s">
        <v>132</v>
      </c>
      <c r="FU15" s="1" t="s">
        <v>123</v>
      </c>
      <c r="FV15" t="s">
        <v>132</v>
      </c>
      <c r="HC15" t="s">
        <v>354</v>
      </c>
      <c r="HD15" t="s">
        <v>355</v>
      </c>
      <c r="HE15" t="s">
        <v>356</v>
      </c>
      <c r="HF15" t="s">
        <v>140</v>
      </c>
      <c r="HG15">
        <v>1986</v>
      </c>
      <c r="HH15" t="str">
        <f>VLOOKUP(AnalizaCzyste[[#This Row],[Rok urodzenia]],KategorieWiekowe[],2,1)</f>
        <v>26–35 lat</v>
      </c>
      <c r="HI15" t="s">
        <v>141</v>
      </c>
      <c r="HK15" t="s">
        <v>357</v>
      </c>
    </row>
    <row r="16" spans="1:221" x14ac:dyDescent="0.45">
      <c r="A16">
        <v>17</v>
      </c>
      <c r="B16">
        <f>_xlfn.IFNA(VLOOKUP(AnalizaCzyste[[#This Row],[Zakończono wypełnianie]],Zakończone[],2,0),"BRAK")</f>
        <v>16</v>
      </c>
      <c r="C16">
        <f t="shared" si="0"/>
        <v>39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O16">
        <v>0</v>
      </c>
      <c r="P16" t="s">
        <v>122</v>
      </c>
      <c r="Q16" s="1" t="s">
        <v>123</v>
      </c>
      <c r="AG16" s="1" t="s">
        <v>124</v>
      </c>
      <c r="AH16" t="s">
        <v>223</v>
      </c>
      <c r="AI16" t="str">
        <f>VLOOKUP(AnalizaCzyste[[#This Row],[Jak się nazywa uczelnia którą ukończyłeś? (proszę o wybranie jednej uczelni podlegającej ocenie)]],KategorieUczelni[],2,0)</f>
        <v>Publiczna</v>
      </c>
      <c r="AJ16" t="str">
        <f>VLOOKUP(AnalizaCzyste[[#This Row],[Jak się nazywa uczelnia którą ukończyłeś? (proszę o wybranie jednej uczelni podlegającej ocenie)]],KategorieUczelni[],3,0)</f>
        <v>Nietechniczna</v>
      </c>
      <c r="AK16">
        <f>COUNTIF(AnalizaCzyste[[#This Row],[Czy jesteś absolwentem uczelni wyższej?]],"*"&amp;"Tak"&amp;"*")</f>
        <v>1</v>
      </c>
      <c r="AL16">
        <v>2011</v>
      </c>
      <c r="AM16" t="s">
        <v>148</v>
      </c>
      <c r="AN16" t="s">
        <v>362</v>
      </c>
      <c r="AO16" t="s">
        <v>151</v>
      </c>
      <c r="AP16" t="s">
        <v>236</v>
      </c>
      <c r="AQ16" t="s">
        <v>129</v>
      </c>
      <c r="AR16" t="s">
        <v>129</v>
      </c>
      <c r="AS16" t="s">
        <v>129</v>
      </c>
      <c r="AT16">
        <v>4</v>
      </c>
      <c r="AU16" t="s">
        <v>131</v>
      </c>
      <c r="AV16">
        <f>VLOOKUP(AnalizaCzyste[[#This Row],[w pierwszym roku po ukończeniu studiów : wybierz wartość z listy rozwijanej4]],Zarobki[],2,0)</f>
        <v>1500</v>
      </c>
      <c r="AW16" t="s">
        <v>131</v>
      </c>
      <c r="AX16">
        <f>VLOOKUP(AnalizaCzyste[[#This Row],[w 3 lata po ukończeniu studiów : wybierz wartość z listy rozwijanej5]],Zarobki[],2,0)</f>
        <v>1500</v>
      </c>
      <c r="AY16" t="s">
        <v>363</v>
      </c>
      <c r="AZ16" t="s">
        <v>364</v>
      </c>
      <c r="BA16" t="s">
        <v>365</v>
      </c>
      <c r="BB16" t="s">
        <v>157</v>
      </c>
      <c r="BD16" s="1" t="s">
        <v>123</v>
      </c>
      <c r="CX16" s="1" t="s">
        <v>123</v>
      </c>
      <c r="DH16" s="1" t="s">
        <v>123</v>
      </c>
      <c r="DR16" s="1" t="s">
        <v>123</v>
      </c>
      <c r="EU16" s="1" t="s">
        <v>123</v>
      </c>
      <c r="FU16" s="1" t="s">
        <v>123</v>
      </c>
      <c r="FV16" t="s">
        <v>132</v>
      </c>
      <c r="HC16" t="s">
        <v>366</v>
      </c>
      <c r="HD16" t="s">
        <v>367</v>
      </c>
      <c r="HE16" t="s">
        <v>368</v>
      </c>
      <c r="HF16" t="s">
        <v>140</v>
      </c>
      <c r="HG16">
        <v>1987</v>
      </c>
      <c r="HH16" t="str">
        <f>VLOOKUP(AnalizaCzyste[[#This Row],[Rok urodzenia]],KategorieWiekowe[],2,1)</f>
        <v>26–35 lat</v>
      </c>
      <c r="HI16" t="s">
        <v>141</v>
      </c>
      <c r="HK16" t="s">
        <v>369</v>
      </c>
    </row>
    <row r="17" spans="1:220" x14ac:dyDescent="0.45">
      <c r="A17">
        <v>21</v>
      </c>
      <c r="B17">
        <f>_xlfn.IFNA(VLOOKUP(AnalizaCzyste[[#This Row],[Zakończono wypełnianie]],Zakończone[],2,0),"BRAK")</f>
        <v>18</v>
      </c>
      <c r="C17">
        <f t="shared" si="0"/>
        <v>82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O17">
        <v>0</v>
      </c>
      <c r="P17" t="s">
        <v>122</v>
      </c>
      <c r="Q17" s="1" t="s">
        <v>123</v>
      </c>
      <c r="AG17" s="1" t="s">
        <v>124</v>
      </c>
      <c r="AH17" t="s">
        <v>2268</v>
      </c>
      <c r="AI17" t="str">
        <f>VLOOKUP(AnalizaCzyste[[#This Row],[Jak się nazywa uczelnia którą ukończyłeś? (proszę o wybranie jednej uczelni podlegającej ocenie)]],KategorieUczelni[],2,0)</f>
        <v>Publiczna</v>
      </c>
      <c r="AJ17" t="str">
        <f>VLOOKUP(AnalizaCzyste[[#This Row],[Jak się nazywa uczelnia którą ukończyłeś? (proszę o wybranie jednej uczelni podlegającej ocenie)]],KategorieUczelni[],3,0)</f>
        <v>Nietechniczna</v>
      </c>
      <c r="AK17">
        <f>COUNTIF(AnalizaCzyste[[#This Row],[Czy jesteś absolwentem uczelni wyższej?]],"*"&amp;"Tak"&amp;"*")</f>
        <v>1</v>
      </c>
      <c r="AL17">
        <v>1985</v>
      </c>
      <c r="AM17" t="s">
        <v>148</v>
      </c>
      <c r="AN17" t="s">
        <v>382</v>
      </c>
      <c r="AO17" t="s">
        <v>169</v>
      </c>
      <c r="AP17" t="s">
        <v>169</v>
      </c>
      <c r="AQ17" t="s">
        <v>128</v>
      </c>
      <c r="AR17" t="s">
        <v>236</v>
      </c>
      <c r="AS17" t="s">
        <v>236</v>
      </c>
      <c r="AT17" t="s">
        <v>383</v>
      </c>
      <c r="AU17" t="s">
        <v>152</v>
      </c>
      <c r="AV17">
        <f>VLOOKUP(AnalizaCzyste[[#This Row],[w pierwszym roku po ukończeniu studiów : wybierz wartość z listy rozwijanej4]],Zarobki[],2,0)</f>
        <v>500</v>
      </c>
      <c r="AW17" t="s">
        <v>152</v>
      </c>
      <c r="AX17">
        <f>VLOOKUP(AnalizaCzyste[[#This Row],[w 3 lata po ukończeniu studiów : wybierz wartość z listy rozwijanej5]],Zarobki[],2,0)</f>
        <v>500</v>
      </c>
      <c r="AY17" t="s">
        <v>384</v>
      </c>
      <c r="AZ17" t="s">
        <v>385</v>
      </c>
      <c r="BA17" t="s">
        <v>386</v>
      </c>
      <c r="BB17" t="s">
        <v>172</v>
      </c>
      <c r="BD17" s="1" t="s">
        <v>123</v>
      </c>
      <c r="CX17" s="1" t="s">
        <v>387</v>
      </c>
      <c r="CY17" t="s">
        <v>388</v>
      </c>
      <c r="CZ17" t="s">
        <v>389</v>
      </c>
      <c r="DA17" t="s">
        <v>169</v>
      </c>
      <c r="DB17" t="s">
        <v>169</v>
      </c>
      <c r="DC17" t="s">
        <v>169</v>
      </c>
      <c r="DD17" t="s">
        <v>169</v>
      </c>
      <c r="DE17" t="s">
        <v>169</v>
      </c>
      <c r="DF17" t="s">
        <v>169</v>
      </c>
      <c r="DG17" t="s">
        <v>390</v>
      </c>
      <c r="DH17" s="1" t="s">
        <v>214</v>
      </c>
      <c r="DI17" t="s">
        <v>388</v>
      </c>
      <c r="DJ17" t="s">
        <v>2274</v>
      </c>
      <c r="DK17" t="s">
        <v>169</v>
      </c>
      <c r="DL17" t="s">
        <v>169</v>
      </c>
      <c r="DM17" t="s">
        <v>169</v>
      </c>
      <c r="DN17" t="s">
        <v>169</v>
      </c>
      <c r="DO17" t="s">
        <v>169</v>
      </c>
      <c r="DP17" t="s">
        <v>169</v>
      </c>
      <c r="DQ17" t="s">
        <v>393</v>
      </c>
      <c r="DR17" s="1" t="s">
        <v>174</v>
      </c>
      <c r="DS17" t="s">
        <v>394</v>
      </c>
      <c r="DW17" t="s">
        <v>391</v>
      </c>
      <c r="DX17" t="s">
        <v>169</v>
      </c>
      <c r="DY17" t="s">
        <v>169</v>
      </c>
      <c r="DZ17" t="s">
        <v>169</v>
      </c>
      <c r="EA17" t="s">
        <v>169</v>
      </c>
      <c r="EB17" t="s">
        <v>169</v>
      </c>
      <c r="EC17" t="s">
        <v>169</v>
      </c>
      <c r="ED17" t="s">
        <v>169</v>
      </c>
      <c r="EE17">
        <v>20</v>
      </c>
      <c r="EF17">
        <v>20</v>
      </c>
      <c r="EG17">
        <v>0</v>
      </c>
      <c r="EH17">
        <v>15</v>
      </c>
      <c r="EI17">
        <v>30</v>
      </c>
      <c r="EJ17">
        <v>0</v>
      </c>
      <c r="EK17">
        <v>15</v>
      </c>
      <c r="EM17">
        <v>30</v>
      </c>
      <c r="EN17">
        <v>20</v>
      </c>
      <c r="EO17">
        <v>0</v>
      </c>
      <c r="EP17">
        <v>10</v>
      </c>
      <c r="EQ17">
        <v>25</v>
      </c>
      <c r="ER17">
        <v>0</v>
      </c>
      <c r="ES17">
        <v>15</v>
      </c>
      <c r="EU17" s="1" t="s">
        <v>123</v>
      </c>
      <c r="EV17" t="s">
        <v>178</v>
      </c>
      <c r="EW17" t="s">
        <v>132</v>
      </c>
      <c r="FU17" s="1" t="s">
        <v>123</v>
      </c>
      <c r="FV17" t="s">
        <v>132</v>
      </c>
      <c r="FX17" t="s">
        <v>132</v>
      </c>
      <c r="HC17" t="s">
        <v>395</v>
      </c>
      <c r="HD17" t="s">
        <v>396</v>
      </c>
      <c r="HE17" t="s">
        <v>397</v>
      </c>
      <c r="HF17" t="s">
        <v>186</v>
      </c>
      <c r="HG17">
        <v>1960</v>
      </c>
      <c r="HH17" t="str">
        <f>VLOOKUP(AnalizaCzyste[[#This Row],[Rok urodzenia]],KategorieWiekowe[],2,1)</f>
        <v>56–65 lat</v>
      </c>
      <c r="HI17" t="s">
        <v>398</v>
      </c>
    </row>
    <row r="18" spans="1:220" x14ac:dyDescent="0.45">
      <c r="A18">
        <v>22</v>
      </c>
      <c r="B18">
        <f>_xlfn.IFNA(VLOOKUP(AnalizaCzyste[[#This Row],[Zakończono wypełnianie]],Zakończone[],2,0),"BRAK")</f>
        <v>19</v>
      </c>
      <c r="C18">
        <f t="shared" si="0"/>
        <v>42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O18">
        <v>0</v>
      </c>
      <c r="P18" t="s">
        <v>122</v>
      </c>
      <c r="Q18" s="1" t="s">
        <v>123</v>
      </c>
      <c r="AG18" s="1" t="s">
        <v>124</v>
      </c>
      <c r="AH18" t="s">
        <v>2272</v>
      </c>
      <c r="AI18" t="str">
        <f>VLOOKUP(AnalizaCzyste[[#This Row],[Jak się nazywa uczelnia którą ukończyłeś? (proszę o wybranie jednej uczelni podlegającej ocenie)]],KategorieUczelni[],2,0)</f>
        <v>Publiczna</v>
      </c>
      <c r="AJ18" t="str">
        <f>VLOOKUP(AnalizaCzyste[[#This Row],[Jak się nazywa uczelnia którą ukończyłeś? (proszę o wybranie jednej uczelni podlegającej ocenie)]],KategorieUczelni[],3,0)</f>
        <v>Nietechniczna</v>
      </c>
      <c r="AK18">
        <f>COUNTIF(AnalizaCzyste[[#This Row],[Czy jesteś absolwentem uczelni wyższej?]],"*"&amp;"Tak"&amp;"*")</f>
        <v>1</v>
      </c>
      <c r="AL18">
        <v>2010</v>
      </c>
      <c r="AM18" t="s">
        <v>148</v>
      </c>
      <c r="AN18" t="s">
        <v>404</v>
      </c>
      <c r="AO18" t="s">
        <v>151</v>
      </c>
      <c r="AP18" t="s">
        <v>150</v>
      </c>
      <c r="AQ18" t="s">
        <v>162</v>
      </c>
      <c r="AR18" t="s">
        <v>150</v>
      </c>
      <c r="AS18" t="s">
        <v>150</v>
      </c>
      <c r="AT18" t="s">
        <v>405</v>
      </c>
      <c r="AU18" t="s">
        <v>131</v>
      </c>
      <c r="AV18">
        <f>VLOOKUP(AnalizaCzyste[[#This Row],[w pierwszym roku po ukończeniu studiów : wybierz wartość z listy rozwijanej4]],Zarobki[],2,0)</f>
        <v>1500</v>
      </c>
      <c r="AW18" t="s">
        <v>302</v>
      </c>
      <c r="AX18">
        <f>VLOOKUP(AnalizaCzyste[[#This Row],[w 3 lata po ukończeniu studiów : wybierz wartość z listy rozwijanej5]],Zarobki[],2,0)</f>
        <v>2500</v>
      </c>
      <c r="AY18" t="s">
        <v>406</v>
      </c>
      <c r="AZ18" t="s">
        <v>407</v>
      </c>
      <c r="BA18" t="s">
        <v>408</v>
      </c>
      <c r="BB18" t="s">
        <v>230</v>
      </c>
      <c r="BD18" s="1" t="s">
        <v>123</v>
      </c>
      <c r="CX18" s="1" t="s">
        <v>123</v>
      </c>
      <c r="DH18" s="1" t="s">
        <v>123</v>
      </c>
      <c r="DR18" s="1" t="s">
        <v>123</v>
      </c>
      <c r="EU18" s="1" t="s">
        <v>123</v>
      </c>
      <c r="EV18" t="s">
        <v>180</v>
      </c>
      <c r="EW18" t="s">
        <v>132</v>
      </c>
      <c r="FU18" s="1" t="s">
        <v>123</v>
      </c>
      <c r="FV18" t="s">
        <v>132</v>
      </c>
      <c r="FX18" t="s">
        <v>132</v>
      </c>
      <c r="HC18" t="s">
        <v>409</v>
      </c>
      <c r="HD18" t="s">
        <v>410</v>
      </c>
      <c r="HE18" t="s">
        <v>411</v>
      </c>
      <c r="HF18" t="s">
        <v>140</v>
      </c>
      <c r="HG18">
        <v>1985</v>
      </c>
      <c r="HH18" t="str">
        <f>VLOOKUP(AnalizaCzyste[[#This Row],[Rok urodzenia]],KategorieWiekowe[],2,1)</f>
        <v>26–35 lat</v>
      </c>
      <c r="HI18" t="s">
        <v>398</v>
      </c>
      <c r="HK18" t="s">
        <v>412</v>
      </c>
    </row>
    <row r="19" spans="1:220" x14ac:dyDescent="0.45">
      <c r="A19">
        <v>26</v>
      </c>
      <c r="B19">
        <f>_xlfn.IFNA(VLOOKUP(AnalizaCzyste[[#This Row],[Zakończono wypełnianie]],Zakończone[],2,0),"BRAK")</f>
        <v>20</v>
      </c>
      <c r="C19">
        <f t="shared" si="0"/>
        <v>41</v>
      </c>
      <c r="D19" t="s">
        <v>425</v>
      </c>
      <c r="E19" t="s">
        <v>118</v>
      </c>
      <c r="J19" t="s">
        <v>119</v>
      </c>
      <c r="K19" t="s">
        <v>426</v>
      </c>
      <c r="L19" t="s">
        <v>427</v>
      </c>
      <c r="M19">
        <v>1039</v>
      </c>
      <c r="O19">
        <v>0</v>
      </c>
      <c r="P19" t="s">
        <v>122</v>
      </c>
      <c r="Q19" s="1" t="s">
        <v>123</v>
      </c>
      <c r="AG19" s="1" t="s">
        <v>124</v>
      </c>
      <c r="AH19" t="s">
        <v>428</v>
      </c>
      <c r="AI19" t="str">
        <f>VLOOKUP(AnalizaCzyste[[#This Row],[Jak się nazywa uczelnia którą ukończyłeś? (proszę o wybranie jednej uczelni podlegającej ocenie)]],KategorieUczelni[],2,0)</f>
        <v>Publiczna</v>
      </c>
      <c r="AJ19" t="str">
        <f>VLOOKUP(AnalizaCzyste[[#This Row],[Jak się nazywa uczelnia którą ukończyłeś? (proszę o wybranie jednej uczelni podlegającej ocenie)]],KategorieUczelni[],3,0)</f>
        <v>Nietechniczna</v>
      </c>
      <c r="AK19">
        <f>COUNTIF(AnalizaCzyste[[#This Row],[Czy jesteś absolwentem uczelni wyższej?]],"*"&amp;"Tak"&amp;"*")</f>
        <v>1</v>
      </c>
      <c r="AL19">
        <v>2011</v>
      </c>
      <c r="AM19" t="s">
        <v>148</v>
      </c>
      <c r="AN19" t="s">
        <v>429</v>
      </c>
      <c r="AO19" t="s">
        <v>162</v>
      </c>
      <c r="AP19" t="s">
        <v>162</v>
      </c>
      <c r="AQ19" t="s">
        <v>128</v>
      </c>
      <c r="AR19" t="s">
        <v>128</v>
      </c>
      <c r="AS19" t="s">
        <v>128</v>
      </c>
      <c r="AT19">
        <v>2</v>
      </c>
      <c r="AU19" t="s">
        <v>131</v>
      </c>
      <c r="AV19">
        <f>VLOOKUP(AnalizaCzyste[[#This Row],[w pierwszym roku po ukończeniu studiów : wybierz wartość z listy rozwijanej4]],Zarobki[],2,0)</f>
        <v>1500</v>
      </c>
      <c r="AW19" t="s">
        <v>302</v>
      </c>
      <c r="AX19">
        <f>VLOOKUP(AnalizaCzyste[[#This Row],[w 3 lata po ukończeniu studiów : wybierz wartość z listy rozwijanej5]],Zarobki[],2,0)</f>
        <v>2500</v>
      </c>
      <c r="AY19" t="s">
        <v>430</v>
      </c>
      <c r="AZ19" t="s">
        <v>431</v>
      </c>
      <c r="BA19" t="s">
        <v>432</v>
      </c>
      <c r="BB19" t="s">
        <v>157</v>
      </c>
      <c r="BD19" s="1" t="s">
        <v>123</v>
      </c>
      <c r="CX19" s="1" t="s">
        <v>123</v>
      </c>
      <c r="DH19" s="1" t="s">
        <v>123</v>
      </c>
      <c r="DR19" s="1" t="s">
        <v>123</v>
      </c>
      <c r="EU19" s="1" t="s">
        <v>123</v>
      </c>
      <c r="EV19" t="s">
        <v>180</v>
      </c>
      <c r="EW19" t="s">
        <v>132</v>
      </c>
      <c r="FU19" s="1" t="s">
        <v>123</v>
      </c>
      <c r="FV19" t="s">
        <v>132</v>
      </c>
      <c r="FX19" t="s">
        <v>132</v>
      </c>
      <c r="HC19" t="s">
        <v>433</v>
      </c>
      <c r="HD19" t="s">
        <v>434</v>
      </c>
      <c r="HE19" t="s">
        <v>435</v>
      </c>
      <c r="HF19" t="s">
        <v>140</v>
      </c>
      <c r="HG19">
        <v>1987</v>
      </c>
      <c r="HH19" t="str">
        <f>VLOOKUP(AnalizaCzyste[[#This Row],[Rok urodzenia]],KategorieWiekowe[],2,1)</f>
        <v>26–35 lat</v>
      </c>
      <c r="HI19" t="s">
        <v>141</v>
      </c>
    </row>
    <row r="20" spans="1:220" x14ac:dyDescent="0.45">
      <c r="A20">
        <v>30</v>
      </c>
      <c r="B20">
        <f>_xlfn.IFNA(VLOOKUP(AnalizaCzyste[[#This Row],[Zakończono wypełnianie]],Zakończone[],2,0),"BRAK")</f>
        <v>21</v>
      </c>
      <c r="C20">
        <f t="shared" si="0"/>
        <v>52</v>
      </c>
      <c r="D20" t="s">
        <v>442</v>
      </c>
      <c r="E20" t="s">
        <v>118</v>
      </c>
      <c r="J20" t="s">
        <v>119</v>
      </c>
      <c r="K20" t="s">
        <v>443</v>
      </c>
      <c r="L20" t="s">
        <v>444</v>
      </c>
      <c r="M20">
        <v>6812</v>
      </c>
      <c r="O20">
        <v>0</v>
      </c>
      <c r="P20" t="s">
        <v>122</v>
      </c>
      <c r="Q20" s="1" t="s">
        <v>123</v>
      </c>
      <c r="AG20" s="1" t="s">
        <v>124</v>
      </c>
      <c r="AH20" t="s">
        <v>445</v>
      </c>
      <c r="AI20" t="str">
        <f>VLOOKUP(AnalizaCzyste[[#This Row],[Jak się nazywa uczelnia którą ukończyłeś? (proszę o wybranie jednej uczelni podlegającej ocenie)]],KategorieUczelni[],2,0)</f>
        <v>Publiczna</v>
      </c>
      <c r="AJ20" t="str">
        <f>VLOOKUP(AnalizaCzyste[[#This Row],[Jak się nazywa uczelnia którą ukończyłeś? (proszę o wybranie jednej uczelni podlegającej ocenie)]],KategorieUczelni[],3,0)</f>
        <v>Nietechniczna</v>
      </c>
      <c r="AK20">
        <f>COUNTIF(AnalizaCzyste[[#This Row],[Czy jesteś absolwentem uczelni wyższej?]],"*"&amp;"Tak"&amp;"*")</f>
        <v>1</v>
      </c>
      <c r="AL20">
        <v>2019</v>
      </c>
      <c r="AM20" t="s">
        <v>148</v>
      </c>
      <c r="AN20" t="s">
        <v>446</v>
      </c>
      <c r="AO20" t="s">
        <v>150</v>
      </c>
      <c r="AP20" t="s">
        <v>150</v>
      </c>
      <c r="AQ20" t="s">
        <v>169</v>
      </c>
      <c r="AR20" t="s">
        <v>169</v>
      </c>
      <c r="AS20" t="s">
        <v>132</v>
      </c>
      <c r="AT20" t="s">
        <v>237</v>
      </c>
      <c r="AU20" t="s">
        <v>226</v>
      </c>
      <c r="AV20">
        <f>VLOOKUP(AnalizaCzyste[[#This Row],[w pierwszym roku po ukończeniu studiów : wybierz wartość z listy rozwijanej4]],Zarobki[],2,0)</f>
        <v>4500</v>
      </c>
      <c r="AW20" t="s">
        <v>132</v>
      </c>
      <c r="AX20" t="str">
        <f>VLOOKUP(AnalizaCzyste[[#This Row],[w 3 lata po ukończeniu studiów : wybierz wartość z listy rozwijanej5]],Zarobki[],2,0)</f>
        <v>N/D</v>
      </c>
      <c r="AY20" t="s">
        <v>447</v>
      </c>
      <c r="AZ20" t="s">
        <v>448</v>
      </c>
      <c r="BA20" t="s">
        <v>449</v>
      </c>
      <c r="BB20" t="s">
        <v>157</v>
      </c>
      <c r="BD20" s="1" t="s">
        <v>123</v>
      </c>
      <c r="CX20" s="1" t="s">
        <v>387</v>
      </c>
      <c r="CY20" t="s">
        <v>445</v>
      </c>
      <c r="CZ20" t="s">
        <v>450</v>
      </c>
      <c r="DA20" t="s">
        <v>169</v>
      </c>
      <c r="DB20" t="s">
        <v>169</v>
      </c>
      <c r="DC20" t="s">
        <v>169</v>
      </c>
      <c r="DD20" t="s">
        <v>150</v>
      </c>
      <c r="DE20" t="s">
        <v>150</v>
      </c>
      <c r="DF20" t="s">
        <v>150</v>
      </c>
      <c r="DG20" t="s">
        <v>451</v>
      </c>
      <c r="DH20" s="1" t="s">
        <v>123</v>
      </c>
      <c r="DR20" s="1" t="s">
        <v>123</v>
      </c>
      <c r="EU20" s="1" t="s">
        <v>123</v>
      </c>
      <c r="EV20" t="s">
        <v>180</v>
      </c>
      <c r="EW20" t="s">
        <v>132</v>
      </c>
      <c r="FU20" s="1" t="s">
        <v>123</v>
      </c>
      <c r="FV20" t="s">
        <v>132</v>
      </c>
      <c r="FX20" t="s">
        <v>132</v>
      </c>
      <c r="HC20" t="s">
        <v>452</v>
      </c>
      <c r="HD20" t="s">
        <v>453</v>
      </c>
      <c r="HE20" t="s">
        <v>454</v>
      </c>
      <c r="HF20" t="s">
        <v>140</v>
      </c>
      <c r="HG20">
        <v>1994</v>
      </c>
      <c r="HH20" t="str">
        <f>VLOOKUP(AnalizaCzyste[[#This Row],[Rok urodzenia]],KategorieWiekowe[],2,1)</f>
        <v>26–35 lat</v>
      </c>
      <c r="HI20" t="s">
        <v>220</v>
      </c>
      <c r="HK20" t="s">
        <v>455</v>
      </c>
      <c r="HL20" t="s">
        <v>456</v>
      </c>
    </row>
    <row r="21" spans="1:220" hidden="1" x14ac:dyDescent="0.45">
      <c r="A21">
        <v>32</v>
      </c>
      <c r="B21">
        <f>_xlfn.IFNA(VLOOKUP(AnalizaCzyste[[#This Row],[Zakończono wypełnianie]],Zakończone[],2,0),"BRAK")</f>
        <v>22</v>
      </c>
      <c r="C21">
        <f t="shared" si="0"/>
        <v>42</v>
      </c>
      <c r="D21" t="s">
        <v>458</v>
      </c>
      <c r="E21" t="s">
        <v>118</v>
      </c>
      <c r="F21" t="s">
        <v>359</v>
      </c>
      <c r="J21" t="s">
        <v>119</v>
      </c>
      <c r="K21" t="s">
        <v>459</v>
      </c>
      <c r="L21" t="s">
        <v>460</v>
      </c>
      <c r="M21">
        <v>490</v>
      </c>
      <c r="O21">
        <v>0</v>
      </c>
      <c r="P21" t="s">
        <v>122</v>
      </c>
      <c r="Q21" s="1" t="s">
        <v>416</v>
      </c>
      <c r="R21" t="s">
        <v>445</v>
      </c>
      <c r="S21" t="s">
        <v>148</v>
      </c>
      <c r="T21" t="s">
        <v>461</v>
      </c>
      <c r="U21" t="s">
        <v>169</v>
      </c>
      <c r="V21" t="s">
        <v>169</v>
      </c>
      <c r="W21" t="s">
        <v>169</v>
      </c>
      <c r="X21" t="s">
        <v>462</v>
      </c>
      <c r="Y21" t="s">
        <v>302</v>
      </c>
      <c r="Z21" t="s">
        <v>302</v>
      </c>
      <c r="AA21" t="s">
        <v>463</v>
      </c>
      <c r="AB21" t="s">
        <v>464</v>
      </c>
      <c r="AC21" t="s">
        <v>465</v>
      </c>
      <c r="AD21" t="s">
        <v>157</v>
      </c>
      <c r="AE21" t="s">
        <v>466</v>
      </c>
      <c r="AF21">
        <v>10</v>
      </c>
      <c r="AG21" s="1" t="s">
        <v>123</v>
      </c>
      <c r="AI21" t="e">
        <f>VLOOKUP(AnalizaCzyste[[#This Row],[Jak się nazywa uczelnia którą ukończyłeś? (proszę o wybranie jednej uczelni podlegającej ocenie)]],KategorieUczelni[],2,0)</f>
        <v>#N/A</v>
      </c>
      <c r="AJ21" t="e">
        <f>VLOOKUP(AnalizaCzyste[[#This Row],[Jak się nazywa uczelnia którą ukończyłeś? (proszę o wybranie jednej uczelni podlegającej ocenie)]],KategorieUczelni[],3,0)</f>
        <v>#N/A</v>
      </c>
      <c r="AK21">
        <f>COUNTIF(AnalizaCzyste[[#This Row],[Czy jesteś absolwentem uczelni wyższej?]],"*"&amp;"Tak"&amp;"*")</f>
        <v>0</v>
      </c>
      <c r="AV21" t="e">
        <f>VLOOKUP(AnalizaCzyste[[#This Row],[w pierwszym roku po ukończeniu studiów : wybierz wartość z listy rozwijanej4]],Zarobki[],2,0)</f>
        <v>#N/A</v>
      </c>
      <c r="AX21" t="e">
        <f>VLOOKUP(AnalizaCzyste[[#This Row],[w 3 lata po ukończeniu studiów : wybierz wartość z listy rozwijanej5]],Zarobki[],2,0)</f>
        <v>#N/A</v>
      </c>
      <c r="BD21" s="1" t="s">
        <v>123</v>
      </c>
      <c r="CX21" s="1" t="s">
        <v>123</v>
      </c>
      <c r="DH21" s="1" t="s">
        <v>123</v>
      </c>
      <c r="DR21" s="1" t="s">
        <v>123</v>
      </c>
      <c r="EU21" s="1" t="s">
        <v>123</v>
      </c>
      <c r="EV21" t="s">
        <v>180</v>
      </c>
      <c r="EW21" t="s">
        <v>132</v>
      </c>
      <c r="FU21" s="1" t="s">
        <v>123</v>
      </c>
      <c r="FV21" t="s">
        <v>132</v>
      </c>
      <c r="FX21" t="s">
        <v>132</v>
      </c>
      <c r="HC21" t="s">
        <v>468</v>
      </c>
      <c r="HD21" t="s">
        <v>469</v>
      </c>
      <c r="HE21" t="s">
        <v>142</v>
      </c>
      <c r="HF21" t="s">
        <v>140</v>
      </c>
      <c r="HG21">
        <v>1996</v>
      </c>
      <c r="HH21" t="str">
        <f>VLOOKUP(AnalizaCzyste[[#This Row],[Rok urodzenia]],KategorieWiekowe[],2,1)</f>
        <v>poniżej 26 lat</v>
      </c>
      <c r="HI21" t="s">
        <v>141</v>
      </c>
      <c r="HK21" t="s">
        <v>470</v>
      </c>
      <c r="HL21" t="s">
        <v>471</v>
      </c>
    </row>
    <row r="22" spans="1:220" hidden="1" x14ac:dyDescent="0.45">
      <c r="A22">
        <v>33</v>
      </c>
      <c r="B22">
        <f>_xlfn.IFNA(VLOOKUP(AnalizaCzyste[[#This Row],[Zakończono wypełnianie]],Zakończone[],2,0),"BRAK")</f>
        <v>23</v>
      </c>
      <c r="C22">
        <f t="shared" si="0"/>
        <v>35</v>
      </c>
      <c r="D22" t="s">
        <v>472</v>
      </c>
      <c r="E22" t="s">
        <v>118</v>
      </c>
      <c r="F22" t="s">
        <v>375</v>
      </c>
      <c r="J22" t="s">
        <v>119</v>
      </c>
      <c r="K22" t="s">
        <v>473</v>
      </c>
      <c r="L22" t="s">
        <v>474</v>
      </c>
      <c r="M22">
        <v>2507</v>
      </c>
      <c r="O22">
        <v>0</v>
      </c>
      <c r="P22" t="s">
        <v>122</v>
      </c>
      <c r="Q22" s="1" t="s">
        <v>416</v>
      </c>
      <c r="R22" t="s">
        <v>445</v>
      </c>
      <c r="S22" t="s">
        <v>148</v>
      </c>
      <c r="T22" t="s">
        <v>475</v>
      </c>
      <c r="U22" t="s">
        <v>169</v>
      </c>
      <c r="V22" t="s">
        <v>169</v>
      </c>
      <c r="W22" t="s">
        <v>151</v>
      </c>
      <c r="X22" t="s">
        <v>476</v>
      </c>
      <c r="Y22" t="s">
        <v>302</v>
      </c>
      <c r="Z22" t="s">
        <v>302</v>
      </c>
      <c r="AB22" t="s">
        <v>477</v>
      </c>
      <c r="AC22" t="s">
        <v>478</v>
      </c>
      <c r="AD22" t="s">
        <v>157</v>
      </c>
      <c r="AF22">
        <v>10</v>
      </c>
      <c r="AG22" s="1" t="s">
        <v>123</v>
      </c>
      <c r="AI22" t="e">
        <f>VLOOKUP(AnalizaCzyste[[#This Row],[Jak się nazywa uczelnia którą ukończyłeś? (proszę o wybranie jednej uczelni podlegającej ocenie)]],KategorieUczelni[],2,0)</f>
        <v>#N/A</v>
      </c>
      <c r="AJ22" t="e">
        <f>VLOOKUP(AnalizaCzyste[[#This Row],[Jak się nazywa uczelnia którą ukończyłeś? (proszę o wybranie jednej uczelni podlegającej ocenie)]],KategorieUczelni[],3,0)</f>
        <v>#N/A</v>
      </c>
      <c r="AK22">
        <f>COUNTIF(AnalizaCzyste[[#This Row],[Czy jesteś absolwentem uczelni wyższej?]],"*"&amp;"Tak"&amp;"*")</f>
        <v>0</v>
      </c>
      <c r="AV22" t="e">
        <f>VLOOKUP(AnalizaCzyste[[#This Row],[w pierwszym roku po ukończeniu studiów : wybierz wartość z listy rozwijanej4]],Zarobki[],2,0)</f>
        <v>#N/A</v>
      </c>
      <c r="AX22" t="e">
        <f>VLOOKUP(AnalizaCzyste[[#This Row],[w 3 lata po ukończeniu studiów : wybierz wartość z listy rozwijanej5]],Zarobki[],2,0)</f>
        <v>#N/A</v>
      </c>
      <c r="BD22" s="1" t="s">
        <v>123</v>
      </c>
      <c r="CX22" s="1" t="s">
        <v>123</v>
      </c>
      <c r="DH22" s="1" t="s">
        <v>123</v>
      </c>
      <c r="DR22" s="1" t="s">
        <v>123</v>
      </c>
      <c r="EU22" s="1" t="s">
        <v>123</v>
      </c>
      <c r="FU22" s="1" t="s">
        <v>123</v>
      </c>
      <c r="FV22" t="s">
        <v>132</v>
      </c>
      <c r="HC22" t="s">
        <v>480</v>
      </c>
      <c r="HD22" t="s">
        <v>481</v>
      </c>
      <c r="HE22" t="s">
        <v>482</v>
      </c>
      <c r="HF22" t="s">
        <v>140</v>
      </c>
      <c r="HG22">
        <v>1996</v>
      </c>
      <c r="HH22" t="str">
        <f>VLOOKUP(AnalizaCzyste[[#This Row],[Rok urodzenia]],KategorieWiekowe[],2,1)</f>
        <v>poniżej 26 lat</v>
      </c>
      <c r="HI22" t="s">
        <v>483</v>
      </c>
    </row>
    <row r="23" spans="1:220" x14ac:dyDescent="0.45">
      <c r="A23">
        <v>34</v>
      </c>
      <c r="B23">
        <f>_xlfn.IFNA(VLOOKUP(AnalizaCzyste[[#This Row],[Zakończono wypełnianie]],Zakończone[],2,0),"BRAK")</f>
        <v>24</v>
      </c>
      <c r="C23">
        <f t="shared" si="0"/>
        <v>42</v>
      </c>
      <c r="D23" t="s">
        <v>484</v>
      </c>
      <c r="E23" t="s">
        <v>118</v>
      </c>
      <c r="F23" t="s">
        <v>359</v>
      </c>
      <c r="J23" t="s">
        <v>119</v>
      </c>
      <c r="K23" t="s">
        <v>485</v>
      </c>
      <c r="L23" t="s">
        <v>486</v>
      </c>
      <c r="M23">
        <v>709</v>
      </c>
      <c r="O23">
        <v>0</v>
      </c>
      <c r="P23" t="s">
        <v>122</v>
      </c>
      <c r="Q23" s="1" t="s">
        <v>123</v>
      </c>
      <c r="AG23" s="1" t="s">
        <v>124</v>
      </c>
      <c r="AH23" t="s">
        <v>445</v>
      </c>
      <c r="AI23" t="str">
        <f>VLOOKUP(AnalizaCzyste[[#This Row],[Jak się nazywa uczelnia którą ukończyłeś? (proszę o wybranie jednej uczelni podlegającej ocenie)]],KategorieUczelni[],2,0)</f>
        <v>Publiczna</v>
      </c>
      <c r="AJ23" t="str">
        <f>VLOOKUP(AnalizaCzyste[[#This Row],[Jak się nazywa uczelnia którą ukończyłeś? (proszę o wybranie jednej uczelni podlegającej ocenie)]],KategorieUczelni[],3,0)</f>
        <v>Nietechniczna</v>
      </c>
      <c r="AK23">
        <f>COUNTIF(AnalizaCzyste[[#This Row],[Czy jesteś absolwentem uczelni wyższej?]],"*"&amp;"Tak"&amp;"*")</f>
        <v>1</v>
      </c>
      <c r="AL23">
        <v>2018</v>
      </c>
      <c r="AM23" t="s">
        <v>148</v>
      </c>
      <c r="AN23" t="s">
        <v>487</v>
      </c>
      <c r="AO23" t="s">
        <v>162</v>
      </c>
      <c r="AP23" t="s">
        <v>162</v>
      </c>
      <c r="AQ23" t="s">
        <v>151</v>
      </c>
      <c r="AR23" t="s">
        <v>129</v>
      </c>
      <c r="AS23" t="s">
        <v>151</v>
      </c>
      <c r="AT23">
        <v>2</v>
      </c>
      <c r="AU23" t="s">
        <v>131</v>
      </c>
      <c r="AV23">
        <f>VLOOKUP(AnalizaCzyste[[#This Row],[w pierwszym roku po ukończeniu studiów : wybierz wartość z listy rozwijanej4]],Zarobki[],2,0)</f>
        <v>1500</v>
      </c>
      <c r="AW23" t="s">
        <v>153</v>
      </c>
      <c r="AX23">
        <f>VLOOKUP(AnalizaCzyste[[#This Row],[w 3 lata po ukończeniu studiów : wybierz wartość z listy rozwijanej5]],Zarobki[],2,0)</f>
        <v>3500</v>
      </c>
      <c r="AY23" t="s">
        <v>488</v>
      </c>
      <c r="AZ23" t="s">
        <v>489</v>
      </c>
      <c r="BA23" t="s">
        <v>490</v>
      </c>
      <c r="BB23" t="s">
        <v>157</v>
      </c>
      <c r="BD23" s="1" t="s">
        <v>123</v>
      </c>
      <c r="CX23" s="1" t="s">
        <v>123</v>
      </c>
      <c r="DH23" s="1" t="s">
        <v>123</v>
      </c>
      <c r="DR23" s="1" t="s">
        <v>123</v>
      </c>
      <c r="EU23" s="1" t="s">
        <v>123</v>
      </c>
      <c r="EV23" t="s">
        <v>180</v>
      </c>
      <c r="FU23" s="1" t="s">
        <v>123</v>
      </c>
      <c r="FV23" t="s">
        <v>132</v>
      </c>
      <c r="FX23" t="s">
        <v>132</v>
      </c>
      <c r="HC23" t="s">
        <v>491</v>
      </c>
      <c r="HD23" t="s">
        <v>492</v>
      </c>
      <c r="HE23" t="s">
        <v>493</v>
      </c>
      <c r="HF23" t="s">
        <v>186</v>
      </c>
      <c r="HG23">
        <v>1994</v>
      </c>
      <c r="HH23" t="str">
        <f>VLOOKUP(AnalizaCzyste[[#This Row],[Rok urodzenia]],KategorieWiekowe[],2,1)</f>
        <v>26–35 lat</v>
      </c>
      <c r="HI23" t="s">
        <v>483</v>
      </c>
      <c r="HK23" t="s">
        <v>494</v>
      </c>
      <c r="HL23" t="s">
        <v>495</v>
      </c>
    </row>
    <row r="24" spans="1:220" x14ac:dyDescent="0.45">
      <c r="A24">
        <v>37</v>
      </c>
      <c r="B24">
        <f>_xlfn.IFNA(VLOOKUP(AnalizaCzyste[[#This Row],[Zakończono wypełnianie]],Zakończone[],2,0),"BRAK")</f>
        <v>25</v>
      </c>
      <c r="C24">
        <f t="shared" si="0"/>
        <v>43</v>
      </c>
      <c r="D24" t="s">
        <v>500</v>
      </c>
      <c r="E24" t="s">
        <v>118</v>
      </c>
      <c r="F24" t="s">
        <v>375</v>
      </c>
      <c r="J24" t="s">
        <v>119</v>
      </c>
      <c r="K24" t="s">
        <v>499</v>
      </c>
      <c r="L24" t="s">
        <v>501</v>
      </c>
      <c r="M24">
        <v>394</v>
      </c>
      <c r="O24">
        <v>0</v>
      </c>
      <c r="P24" t="s">
        <v>122</v>
      </c>
      <c r="Q24" s="1" t="s">
        <v>123</v>
      </c>
      <c r="AG24" s="1" t="s">
        <v>124</v>
      </c>
      <c r="AH24" t="s">
        <v>445</v>
      </c>
      <c r="AI24" t="str">
        <f>VLOOKUP(AnalizaCzyste[[#This Row],[Jak się nazywa uczelnia którą ukończyłeś? (proszę o wybranie jednej uczelni podlegającej ocenie)]],KategorieUczelni[],2,0)</f>
        <v>Publiczna</v>
      </c>
      <c r="AJ24" t="str">
        <f>VLOOKUP(AnalizaCzyste[[#This Row],[Jak się nazywa uczelnia którą ukończyłeś? (proszę o wybranie jednej uczelni podlegającej ocenie)]],KategorieUczelni[],3,0)</f>
        <v>Nietechniczna</v>
      </c>
      <c r="AK24">
        <f>COUNTIF(AnalizaCzyste[[#This Row],[Czy jesteś absolwentem uczelni wyższej?]],"*"&amp;"Tak"&amp;"*")</f>
        <v>1</v>
      </c>
      <c r="AL24">
        <v>2019</v>
      </c>
      <c r="AM24" t="s">
        <v>148</v>
      </c>
      <c r="AN24" t="s">
        <v>502</v>
      </c>
      <c r="AO24" t="s">
        <v>162</v>
      </c>
      <c r="AP24" t="s">
        <v>162</v>
      </c>
      <c r="AQ24" t="s">
        <v>162</v>
      </c>
      <c r="AR24" t="s">
        <v>150</v>
      </c>
      <c r="AS24" t="s">
        <v>132</v>
      </c>
      <c r="AT24">
        <v>0</v>
      </c>
      <c r="AU24" t="s">
        <v>153</v>
      </c>
      <c r="AV24">
        <f>VLOOKUP(AnalizaCzyste[[#This Row],[w pierwszym roku po ukończeniu studiów : wybierz wartość z listy rozwijanej4]],Zarobki[],2,0)</f>
        <v>3500</v>
      </c>
      <c r="AW24" t="s">
        <v>132</v>
      </c>
      <c r="AX24" t="str">
        <f>VLOOKUP(AnalizaCzyste[[#This Row],[w 3 lata po ukończeniu studiów : wybierz wartość z listy rozwijanej5]],Zarobki[],2,0)</f>
        <v>N/D</v>
      </c>
      <c r="AY24" t="s">
        <v>503</v>
      </c>
      <c r="AZ24" t="s">
        <v>504</v>
      </c>
      <c r="BA24" t="s">
        <v>505</v>
      </c>
      <c r="BB24" t="s">
        <v>157</v>
      </c>
      <c r="BD24" s="1" t="s">
        <v>123</v>
      </c>
      <c r="CX24" s="1" t="s">
        <v>123</v>
      </c>
      <c r="DH24" s="1" t="s">
        <v>123</v>
      </c>
      <c r="DR24" s="1" t="s">
        <v>123</v>
      </c>
      <c r="EU24" s="1" t="s">
        <v>123</v>
      </c>
      <c r="EV24" t="s">
        <v>180</v>
      </c>
      <c r="EW24" t="s">
        <v>132</v>
      </c>
      <c r="FU24" s="1" t="s">
        <v>123</v>
      </c>
      <c r="FV24" t="s">
        <v>132</v>
      </c>
      <c r="FX24" t="s">
        <v>132</v>
      </c>
      <c r="HC24" t="s">
        <v>506</v>
      </c>
      <c r="HD24" t="s">
        <v>507</v>
      </c>
      <c r="HE24" t="s">
        <v>508</v>
      </c>
      <c r="HF24" t="s">
        <v>140</v>
      </c>
      <c r="HG24">
        <v>1994</v>
      </c>
      <c r="HH24" t="str">
        <f>VLOOKUP(AnalizaCzyste[[#This Row],[Rok urodzenia]],KategorieWiekowe[],2,1)</f>
        <v>26–35 lat</v>
      </c>
      <c r="HI24" t="s">
        <v>220</v>
      </c>
      <c r="HK24" t="s">
        <v>509</v>
      </c>
      <c r="HL24" t="s">
        <v>510</v>
      </c>
    </row>
    <row r="25" spans="1:220" x14ac:dyDescent="0.45">
      <c r="A25">
        <v>38</v>
      </c>
      <c r="B25">
        <f>_xlfn.IFNA(VLOOKUP(AnalizaCzyste[[#This Row],[Zakończono wypełnianie]],Zakończone[],2,0),"BRAK")</f>
        <v>26</v>
      </c>
      <c r="C25">
        <f t="shared" si="0"/>
        <v>50</v>
      </c>
      <c r="D25" t="s">
        <v>511</v>
      </c>
      <c r="E25" t="s">
        <v>118</v>
      </c>
      <c r="F25" t="s">
        <v>375</v>
      </c>
      <c r="J25" t="s">
        <v>119</v>
      </c>
      <c r="K25" t="s">
        <v>512</v>
      </c>
      <c r="L25" t="s">
        <v>513</v>
      </c>
      <c r="M25">
        <v>424</v>
      </c>
      <c r="O25">
        <v>0</v>
      </c>
      <c r="P25" t="s">
        <v>122</v>
      </c>
      <c r="Q25" s="1" t="s">
        <v>123</v>
      </c>
      <c r="AG25" s="1" t="s">
        <v>124</v>
      </c>
      <c r="AH25" t="s">
        <v>445</v>
      </c>
      <c r="AI25" t="str">
        <f>VLOOKUP(AnalizaCzyste[[#This Row],[Jak się nazywa uczelnia którą ukończyłeś? (proszę o wybranie jednej uczelni podlegającej ocenie)]],KategorieUczelni[],2,0)</f>
        <v>Publiczna</v>
      </c>
      <c r="AJ25" t="str">
        <f>VLOOKUP(AnalizaCzyste[[#This Row],[Jak się nazywa uczelnia którą ukończyłeś? (proszę o wybranie jednej uczelni podlegającej ocenie)]],KategorieUczelni[],3,0)</f>
        <v>Nietechniczna</v>
      </c>
      <c r="AK25">
        <f>COUNTIF(AnalizaCzyste[[#This Row],[Czy jesteś absolwentem uczelni wyższej?]],"*"&amp;"Tak"&amp;"*")</f>
        <v>1</v>
      </c>
      <c r="AL25">
        <v>2018</v>
      </c>
      <c r="AM25" t="s">
        <v>148</v>
      </c>
      <c r="AN25" t="s">
        <v>514</v>
      </c>
      <c r="AO25" t="s">
        <v>150</v>
      </c>
      <c r="AP25" t="s">
        <v>169</v>
      </c>
      <c r="AQ25" t="s">
        <v>169</v>
      </c>
      <c r="AR25" t="s">
        <v>150</v>
      </c>
      <c r="AS25" t="s">
        <v>132</v>
      </c>
      <c r="AT25" t="s">
        <v>515</v>
      </c>
      <c r="AU25" t="s">
        <v>302</v>
      </c>
      <c r="AV25">
        <f>VLOOKUP(AnalizaCzyste[[#This Row],[w pierwszym roku po ukończeniu studiów : wybierz wartość z listy rozwijanej4]],Zarobki[],2,0)</f>
        <v>2500</v>
      </c>
      <c r="AW25" t="s">
        <v>132</v>
      </c>
      <c r="AX25" t="str">
        <f>VLOOKUP(AnalizaCzyste[[#This Row],[w 3 lata po ukończeniu studiów : wybierz wartość z listy rozwijanej5]],Zarobki[],2,0)</f>
        <v>N/D</v>
      </c>
      <c r="AY25" t="s">
        <v>516</v>
      </c>
      <c r="AZ25" t="s">
        <v>517</v>
      </c>
      <c r="BA25" t="s">
        <v>142</v>
      </c>
      <c r="BB25" t="s">
        <v>157</v>
      </c>
      <c r="BD25" s="1" t="s">
        <v>123</v>
      </c>
      <c r="CX25" s="1" t="s">
        <v>123</v>
      </c>
      <c r="DH25" s="1" t="s">
        <v>214</v>
      </c>
      <c r="DI25" t="s">
        <v>445</v>
      </c>
      <c r="DJ25" t="s">
        <v>518</v>
      </c>
      <c r="DK25" t="s">
        <v>169</v>
      </c>
      <c r="DL25" t="s">
        <v>150</v>
      </c>
      <c r="DM25" t="s">
        <v>162</v>
      </c>
      <c r="DN25" t="s">
        <v>150</v>
      </c>
      <c r="DO25" t="s">
        <v>150</v>
      </c>
      <c r="DP25" t="s">
        <v>151</v>
      </c>
      <c r="DR25" s="1" t="s">
        <v>123</v>
      </c>
      <c r="EU25" s="1" t="s">
        <v>123</v>
      </c>
      <c r="EV25" t="s">
        <v>180</v>
      </c>
      <c r="EW25" t="s">
        <v>132</v>
      </c>
      <c r="FU25" s="1" t="s">
        <v>123</v>
      </c>
      <c r="FV25" t="s">
        <v>132</v>
      </c>
      <c r="FX25" t="s">
        <v>132</v>
      </c>
      <c r="HC25" t="s">
        <v>519</v>
      </c>
      <c r="HD25" t="s">
        <v>520</v>
      </c>
      <c r="HE25" t="s">
        <v>142</v>
      </c>
      <c r="HF25" t="s">
        <v>186</v>
      </c>
      <c r="HG25">
        <v>1994</v>
      </c>
      <c r="HH25" t="str">
        <f>VLOOKUP(AnalizaCzyste[[#This Row],[Rok urodzenia]],KategorieWiekowe[],2,1)</f>
        <v>26–35 lat</v>
      </c>
      <c r="HI25" t="s">
        <v>141</v>
      </c>
      <c r="HL25" t="s">
        <v>521</v>
      </c>
    </row>
    <row r="26" spans="1:220" hidden="1" x14ac:dyDescent="0.45">
      <c r="A26">
        <v>41</v>
      </c>
      <c r="B26">
        <f>_xlfn.IFNA(VLOOKUP(AnalizaCzyste[[#This Row],[Zakończono wypełnianie]],Zakończone[],2,0),"BRAK")</f>
        <v>27</v>
      </c>
      <c r="C26">
        <f t="shared" si="0"/>
        <v>37</v>
      </c>
      <c r="D26" t="s">
        <v>527</v>
      </c>
      <c r="E26" t="s">
        <v>118</v>
      </c>
      <c r="J26" t="s">
        <v>119</v>
      </c>
      <c r="K26" t="s">
        <v>528</v>
      </c>
      <c r="L26" t="s">
        <v>529</v>
      </c>
      <c r="M26">
        <v>283</v>
      </c>
      <c r="O26">
        <v>0</v>
      </c>
      <c r="P26" t="s">
        <v>122</v>
      </c>
      <c r="Q26" s="1" t="s">
        <v>416</v>
      </c>
      <c r="R26" t="s">
        <v>445</v>
      </c>
      <c r="S26" t="s">
        <v>148</v>
      </c>
      <c r="T26" t="s">
        <v>461</v>
      </c>
      <c r="U26" t="s">
        <v>169</v>
      </c>
      <c r="V26" t="s">
        <v>162</v>
      </c>
      <c r="W26" t="s">
        <v>162</v>
      </c>
      <c r="X26" t="s">
        <v>530</v>
      </c>
      <c r="Y26" t="s">
        <v>131</v>
      </c>
      <c r="Z26" t="s">
        <v>153</v>
      </c>
      <c r="AB26" t="s">
        <v>531</v>
      </c>
      <c r="AC26" t="s">
        <v>532</v>
      </c>
      <c r="AD26" t="s">
        <v>172</v>
      </c>
      <c r="AF26">
        <v>6</v>
      </c>
      <c r="AG26" s="1" t="s">
        <v>123</v>
      </c>
      <c r="AI26" t="e">
        <f>VLOOKUP(AnalizaCzyste[[#This Row],[Jak się nazywa uczelnia którą ukończyłeś? (proszę o wybranie jednej uczelni podlegającej ocenie)]],KategorieUczelni[],2,0)</f>
        <v>#N/A</v>
      </c>
      <c r="AJ26" t="e">
        <f>VLOOKUP(AnalizaCzyste[[#This Row],[Jak się nazywa uczelnia którą ukończyłeś? (proszę o wybranie jednej uczelni podlegającej ocenie)]],KategorieUczelni[],3,0)</f>
        <v>#N/A</v>
      </c>
      <c r="AK26">
        <f>COUNTIF(AnalizaCzyste[[#This Row],[Czy jesteś absolwentem uczelni wyższej?]],"*"&amp;"Tak"&amp;"*")</f>
        <v>0</v>
      </c>
      <c r="AV26" t="e">
        <f>VLOOKUP(AnalizaCzyste[[#This Row],[w pierwszym roku po ukończeniu studiów : wybierz wartość z listy rozwijanej4]],Zarobki[],2,0)</f>
        <v>#N/A</v>
      </c>
      <c r="AX26" t="e">
        <f>VLOOKUP(AnalizaCzyste[[#This Row],[w 3 lata po ukończeniu studiów : wybierz wartość z listy rozwijanej5]],Zarobki[],2,0)</f>
        <v>#N/A</v>
      </c>
      <c r="BD26" s="1" t="s">
        <v>123</v>
      </c>
      <c r="CX26" s="1" t="s">
        <v>123</v>
      </c>
      <c r="DH26" s="1" t="s">
        <v>123</v>
      </c>
      <c r="DR26" s="1" t="s">
        <v>123</v>
      </c>
      <c r="EU26" s="1" t="s">
        <v>123</v>
      </c>
      <c r="FU26" s="1" t="s">
        <v>123</v>
      </c>
      <c r="FV26" t="s">
        <v>132</v>
      </c>
      <c r="HC26" t="s">
        <v>534</v>
      </c>
      <c r="HD26" t="s">
        <v>535</v>
      </c>
      <c r="HE26" t="s">
        <v>532</v>
      </c>
      <c r="HF26" t="s">
        <v>140</v>
      </c>
      <c r="HG26">
        <v>1996</v>
      </c>
      <c r="HH26" t="str">
        <f>VLOOKUP(AnalizaCzyste[[#This Row],[Rok urodzenia]],KategorieWiekowe[],2,1)</f>
        <v>poniżej 26 lat</v>
      </c>
      <c r="HI26" t="s">
        <v>483</v>
      </c>
      <c r="HK26" t="s">
        <v>536</v>
      </c>
      <c r="HL26" t="s">
        <v>537</v>
      </c>
    </row>
    <row r="27" spans="1:220" x14ac:dyDescent="0.45">
      <c r="A27">
        <v>45</v>
      </c>
      <c r="B27">
        <f>_xlfn.IFNA(VLOOKUP(AnalizaCzyste[[#This Row],[Zakończono wypełnianie]],Zakończone[],2,0),"BRAK")</f>
        <v>28</v>
      </c>
      <c r="C27">
        <f t="shared" si="0"/>
        <v>40</v>
      </c>
      <c r="D27" t="s">
        <v>550</v>
      </c>
      <c r="E27" t="s">
        <v>118</v>
      </c>
      <c r="F27" t="s">
        <v>375</v>
      </c>
      <c r="J27" t="s">
        <v>119</v>
      </c>
      <c r="K27" t="s">
        <v>551</v>
      </c>
      <c r="L27" t="s">
        <v>552</v>
      </c>
      <c r="M27">
        <v>836</v>
      </c>
      <c r="O27">
        <v>0</v>
      </c>
      <c r="P27" t="s">
        <v>122</v>
      </c>
      <c r="Q27" s="1" t="s">
        <v>123</v>
      </c>
      <c r="AG27" s="1" t="s">
        <v>124</v>
      </c>
      <c r="AH27" t="s">
        <v>553</v>
      </c>
      <c r="AI27" t="str">
        <f>VLOOKUP(AnalizaCzyste[[#This Row],[Jak się nazywa uczelnia którą ukończyłeś? (proszę o wybranie jednej uczelni podlegającej ocenie)]],KategorieUczelni[],2,0)</f>
        <v>Publiczna</v>
      </c>
      <c r="AJ27" t="str">
        <f>VLOOKUP(AnalizaCzyste[[#This Row],[Jak się nazywa uczelnia którą ukończyłeś? (proszę o wybranie jednej uczelni podlegającej ocenie)]],KategorieUczelni[],3,0)</f>
        <v>Nietechniczna</v>
      </c>
      <c r="AK27">
        <f>COUNTIF(AnalizaCzyste[[#This Row],[Czy jesteś absolwentem uczelni wyższej?]],"*"&amp;"Tak"&amp;"*")</f>
        <v>1</v>
      </c>
      <c r="AL27">
        <v>2019</v>
      </c>
      <c r="AM27" t="s">
        <v>148</v>
      </c>
      <c r="AN27" t="s">
        <v>554</v>
      </c>
      <c r="AO27" t="s">
        <v>162</v>
      </c>
      <c r="AP27" t="s">
        <v>162</v>
      </c>
      <c r="AQ27" t="s">
        <v>236</v>
      </c>
      <c r="AR27" t="s">
        <v>151</v>
      </c>
      <c r="AS27" t="s">
        <v>162</v>
      </c>
      <c r="AT27" t="s">
        <v>237</v>
      </c>
      <c r="AU27" t="s">
        <v>132</v>
      </c>
      <c r="AV27" t="str">
        <f>VLOOKUP(AnalizaCzyste[[#This Row],[w pierwszym roku po ukończeniu studiów : wybierz wartość z listy rozwijanej4]],Zarobki[],2,0)</f>
        <v>N/D</v>
      </c>
      <c r="AW27" t="s">
        <v>132</v>
      </c>
      <c r="AX27" t="str">
        <f>VLOOKUP(AnalizaCzyste[[#This Row],[w 3 lata po ukończeniu studiów : wybierz wartość z listy rozwijanej5]],Zarobki[],2,0)</f>
        <v>N/D</v>
      </c>
      <c r="AY27" t="s">
        <v>555</v>
      </c>
      <c r="AZ27" t="s">
        <v>556</v>
      </c>
      <c r="BA27" t="s">
        <v>557</v>
      </c>
      <c r="BB27" t="s">
        <v>230</v>
      </c>
      <c r="BD27" s="1" t="s">
        <v>123</v>
      </c>
      <c r="CX27" s="1" t="s">
        <v>123</v>
      </c>
      <c r="DH27" s="1" t="s">
        <v>123</v>
      </c>
      <c r="DR27" s="1" t="s">
        <v>123</v>
      </c>
      <c r="EU27" s="1" t="s">
        <v>123</v>
      </c>
      <c r="FU27" s="1" t="s">
        <v>123</v>
      </c>
      <c r="FV27" t="s">
        <v>132</v>
      </c>
      <c r="HC27" t="s">
        <v>558</v>
      </c>
      <c r="HD27" t="s">
        <v>559</v>
      </c>
      <c r="HE27" t="s">
        <v>560</v>
      </c>
      <c r="HF27" t="s">
        <v>140</v>
      </c>
      <c r="HG27">
        <v>1994</v>
      </c>
      <c r="HH27" t="str">
        <f>VLOOKUP(AnalizaCzyste[[#This Row],[Rok urodzenia]],KategorieWiekowe[],2,1)</f>
        <v>26–35 lat</v>
      </c>
      <c r="HI27" t="s">
        <v>483</v>
      </c>
      <c r="HK27" t="s">
        <v>561</v>
      </c>
      <c r="HL27" t="s">
        <v>386</v>
      </c>
    </row>
    <row r="28" spans="1:220" hidden="1" x14ac:dyDescent="0.45">
      <c r="A28">
        <v>47</v>
      </c>
      <c r="B28">
        <f>_xlfn.IFNA(VLOOKUP(AnalizaCzyste[[#This Row],[Zakończono wypełnianie]],Zakończone[],2,0),"BRAK")</f>
        <v>29</v>
      </c>
      <c r="C28">
        <f t="shared" si="0"/>
        <v>38</v>
      </c>
      <c r="D28" t="s">
        <v>570</v>
      </c>
      <c r="E28" t="s">
        <v>118</v>
      </c>
      <c r="F28" t="s">
        <v>548</v>
      </c>
      <c r="J28" t="s">
        <v>119</v>
      </c>
      <c r="K28" t="s">
        <v>571</v>
      </c>
      <c r="L28" t="s">
        <v>572</v>
      </c>
      <c r="M28">
        <v>751</v>
      </c>
      <c r="O28">
        <v>0</v>
      </c>
      <c r="P28" t="s">
        <v>122</v>
      </c>
      <c r="Q28" s="1" t="s">
        <v>416</v>
      </c>
      <c r="R28" t="s">
        <v>445</v>
      </c>
      <c r="S28" t="s">
        <v>148</v>
      </c>
      <c r="T28" t="s">
        <v>573</v>
      </c>
      <c r="U28" t="s">
        <v>162</v>
      </c>
      <c r="V28" t="s">
        <v>128</v>
      </c>
      <c r="W28" t="s">
        <v>151</v>
      </c>
      <c r="X28" t="s">
        <v>237</v>
      </c>
      <c r="Y28" t="s">
        <v>302</v>
      </c>
      <c r="Z28" t="s">
        <v>153</v>
      </c>
      <c r="AA28" t="s">
        <v>574</v>
      </c>
      <c r="AB28" t="s">
        <v>575</v>
      </c>
      <c r="AC28" t="s">
        <v>576</v>
      </c>
      <c r="AD28" t="s">
        <v>172</v>
      </c>
      <c r="AF28">
        <v>6</v>
      </c>
      <c r="AG28" s="1" t="s">
        <v>123</v>
      </c>
      <c r="AI28" t="e">
        <f>VLOOKUP(AnalizaCzyste[[#This Row],[Jak się nazywa uczelnia którą ukończyłeś? (proszę o wybranie jednej uczelni podlegającej ocenie)]],KategorieUczelni[],2,0)</f>
        <v>#N/A</v>
      </c>
      <c r="AJ28" t="e">
        <f>VLOOKUP(AnalizaCzyste[[#This Row],[Jak się nazywa uczelnia którą ukończyłeś? (proszę o wybranie jednej uczelni podlegającej ocenie)]],KategorieUczelni[],3,0)</f>
        <v>#N/A</v>
      </c>
      <c r="AK28">
        <f>COUNTIF(AnalizaCzyste[[#This Row],[Czy jesteś absolwentem uczelni wyższej?]],"*"&amp;"Tak"&amp;"*")</f>
        <v>0</v>
      </c>
      <c r="AV28" t="e">
        <f>VLOOKUP(AnalizaCzyste[[#This Row],[w pierwszym roku po ukończeniu studiów : wybierz wartość z listy rozwijanej4]],Zarobki[],2,0)</f>
        <v>#N/A</v>
      </c>
      <c r="AX28" t="e">
        <f>VLOOKUP(AnalizaCzyste[[#This Row],[w 3 lata po ukończeniu studiów : wybierz wartość z listy rozwijanej5]],Zarobki[],2,0)</f>
        <v>#N/A</v>
      </c>
      <c r="BD28" s="1" t="s">
        <v>123</v>
      </c>
      <c r="CX28" s="1" t="s">
        <v>123</v>
      </c>
      <c r="DH28" s="1" t="s">
        <v>123</v>
      </c>
      <c r="DR28" s="1" t="s">
        <v>123</v>
      </c>
      <c r="EU28" s="1" t="s">
        <v>123</v>
      </c>
      <c r="FU28" s="1" t="s">
        <v>123</v>
      </c>
      <c r="FV28" t="s">
        <v>132</v>
      </c>
      <c r="FX28" t="s">
        <v>132</v>
      </c>
      <c r="HC28" t="s">
        <v>578</v>
      </c>
      <c r="HD28" t="s">
        <v>579</v>
      </c>
      <c r="HE28" t="s">
        <v>580</v>
      </c>
      <c r="HF28" t="s">
        <v>186</v>
      </c>
      <c r="HG28">
        <v>1997</v>
      </c>
      <c r="HH28" t="str">
        <f>VLOOKUP(AnalizaCzyste[[#This Row],[Rok urodzenia]],KategorieWiekowe[],2,1)</f>
        <v>poniżej 26 lat</v>
      </c>
      <c r="HI28" t="s">
        <v>483</v>
      </c>
      <c r="HK28" t="s">
        <v>532</v>
      </c>
    </row>
    <row r="29" spans="1:220" hidden="1" x14ac:dyDescent="0.45">
      <c r="A29">
        <v>50</v>
      </c>
      <c r="B29">
        <f>_xlfn.IFNA(VLOOKUP(AnalizaCzyste[[#This Row],[Zakończono wypełnianie]],Zakończone[],2,0),"BRAK")</f>
        <v>30</v>
      </c>
      <c r="C29">
        <f t="shared" si="0"/>
        <v>36</v>
      </c>
      <c r="D29" t="s">
        <v>585</v>
      </c>
      <c r="E29" t="s">
        <v>118</v>
      </c>
      <c r="F29" t="s">
        <v>375</v>
      </c>
      <c r="J29" t="s">
        <v>119</v>
      </c>
      <c r="K29" t="s">
        <v>586</v>
      </c>
      <c r="L29" t="s">
        <v>587</v>
      </c>
      <c r="M29">
        <v>387</v>
      </c>
      <c r="O29">
        <v>0</v>
      </c>
      <c r="P29" t="s">
        <v>122</v>
      </c>
      <c r="Q29" s="1" t="s">
        <v>416</v>
      </c>
      <c r="R29" t="s">
        <v>445</v>
      </c>
      <c r="S29" t="s">
        <v>148</v>
      </c>
      <c r="T29" t="s">
        <v>588</v>
      </c>
      <c r="U29" t="s">
        <v>162</v>
      </c>
      <c r="V29" t="s">
        <v>150</v>
      </c>
      <c r="W29" t="s">
        <v>162</v>
      </c>
      <c r="X29" t="s">
        <v>589</v>
      </c>
      <c r="Y29" t="s">
        <v>302</v>
      </c>
      <c r="Z29" t="s">
        <v>153</v>
      </c>
      <c r="AB29" t="s">
        <v>590</v>
      </c>
      <c r="AC29" t="s">
        <v>591</v>
      </c>
      <c r="AD29" t="s">
        <v>172</v>
      </c>
      <c r="AF29">
        <v>6</v>
      </c>
      <c r="AG29" s="1" t="s">
        <v>123</v>
      </c>
      <c r="AI29" t="e">
        <f>VLOOKUP(AnalizaCzyste[[#This Row],[Jak się nazywa uczelnia którą ukończyłeś? (proszę o wybranie jednej uczelni podlegającej ocenie)]],KategorieUczelni[],2,0)</f>
        <v>#N/A</v>
      </c>
      <c r="AJ29" t="e">
        <f>VLOOKUP(AnalizaCzyste[[#This Row],[Jak się nazywa uczelnia którą ukończyłeś? (proszę o wybranie jednej uczelni podlegającej ocenie)]],KategorieUczelni[],3,0)</f>
        <v>#N/A</v>
      </c>
      <c r="AK29">
        <f>COUNTIF(AnalizaCzyste[[#This Row],[Czy jesteś absolwentem uczelni wyższej?]],"*"&amp;"Tak"&amp;"*")</f>
        <v>0</v>
      </c>
      <c r="AV29" t="e">
        <f>VLOOKUP(AnalizaCzyste[[#This Row],[w pierwszym roku po ukończeniu studiów : wybierz wartość z listy rozwijanej4]],Zarobki[],2,0)</f>
        <v>#N/A</v>
      </c>
      <c r="AX29" t="e">
        <f>VLOOKUP(AnalizaCzyste[[#This Row],[w 3 lata po ukończeniu studiów : wybierz wartość z listy rozwijanej5]],Zarobki[],2,0)</f>
        <v>#N/A</v>
      </c>
      <c r="BD29" s="1" t="s">
        <v>123</v>
      </c>
      <c r="CX29" s="1" t="s">
        <v>123</v>
      </c>
      <c r="DH29" s="1" t="s">
        <v>123</v>
      </c>
      <c r="DR29" s="1" t="s">
        <v>123</v>
      </c>
      <c r="EU29" s="1" t="s">
        <v>123</v>
      </c>
      <c r="FU29" s="1" t="s">
        <v>123</v>
      </c>
      <c r="FV29" t="s">
        <v>132</v>
      </c>
      <c r="HC29" t="s">
        <v>592</v>
      </c>
      <c r="HD29" t="s">
        <v>593</v>
      </c>
      <c r="HE29" t="s">
        <v>594</v>
      </c>
      <c r="HF29" t="s">
        <v>140</v>
      </c>
      <c r="HG29">
        <v>1997</v>
      </c>
      <c r="HH29" t="str">
        <f>VLOOKUP(AnalizaCzyste[[#This Row],[Rok urodzenia]],KategorieWiekowe[],2,1)</f>
        <v>poniżej 26 lat</v>
      </c>
      <c r="HI29" t="s">
        <v>141</v>
      </c>
      <c r="HK29" t="s">
        <v>595</v>
      </c>
    </row>
    <row r="30" spans="1:220" x14ac:dyDescent="0.45">
      <c r="A30">
        <v>52</v>
      </c>
      <c r="B30">
        <f>_xlfn.IFNA(VLOOKUP(AnalizaCzyste[[#This Row],[Zakończono wypełnianie]],Zakończone[],2,0),"BRAK")</f>
        <v>31</v>
      </c>
      <c r="C30">
        <f t="shared" si="0"/>
        <v>42</v>
      </c>
      <c r="D30" t="s">
        <v>598</v>
      </c>
      <c r="E30" t="s">
        <v>118</v>
      </c>
      <c r="F30" t="s">
        <v>359</v>
      </c>
      <c r="J30" t="s">
        <v>119</v>
      </c>
      <c r="K30" t="s">
        <v>599</v>
      </c>
      <c r="L30" t="s">
        <v>600</v>
      </c>
      <c r="M30">
        <v>61362</v>
      </c>
      <c r="O30">
        <v>0</v>
      </c>
      <c r="P30" t="s">
        <v>122</v>
      </c>
      <c r="Q30" s="1" t="s">
        <v>123</v>
      </c>
      <c r="AG30" s="1" t="s">
        <v>124</v>
      </c>
      <c r="AH30" t="s">
        <v>445</v>
      </c>
      <c r="AI30" t="str">
        <f>VLOOKUP(AnalizaCzyste[[#This Row],[Jak się nazywa uczelnia którą ukończyłeś? (proszę o wybranie jednej uczelni podlegającej ocenie)]],KategorieUczelni[],2,0)</f>
        <v>Publiczna</v>
      </c>
      <c r="AJ30" t="str">
        <f>VLOOKUP(AnalizaCzyste[[#This Row],[Jak się nazywa uczelnia którą ukończyłeś? (proszę o wybranie jednej uczelni podlegającej ocenie)]],KategorieUczelni[],3,0)</f>
        <v>Nietechniczna</v>
      </c>
      <c r="AK30">
        <f>COUNTIF(AnalizaCzyste[[#This Row],[Czy jesteś absolwentem uczelni wyższej?]],"*"&amp;"Tak"&amp;"*")</f>
        <v>1</v>
      </c>
      <c r="AL30">
        <v>2018</v>
      </c>
      <c r="AM30" t="s">
        <v>148</v>
      </c>
      <c r="AN30" t="s">
        <v>601</v>
      </c>
      <c r="AO30" t="s">
        <v>150</v>
      </c>
      <c r="AP30" t="s">
        <v>162</v>
      </c>
      <c r="AQ30" t="s">
        <v>128</v>
      </c>
      <c r="AR30" t="s">
        <v>129</v>
      </c>
      <c r="AS30" t="s">
        <v>132</v>
      </c>
      <c r="AT30" t="s">
        <v>602</v>
      </c>
      <c r="AU30" t="s">
        <v>131</v>
      </c>
      <c r="AV30">
        <f>VLOOKUP(AnalizaCzyste[[#This Row],[w pierwszym roku po ukończeniu studiów : wybierz wartość z listy rozwijanej4]],Zarobki[],2,0)</f>
        <v>1500</v>
      </c>
      <c r="AW30" t="s">
        <v>132</v>
      </c>
      <c r="AX30" t="str">
        <f>VLOOKUP(AnalizaCzyste[[#This Row],[w 3 lata po ukończeniu studiów : wybierz wartość z listy rozwijanej5]],Zarobki[],2,0)</f>
        <v>N/D</v>
      </c>
      <c r="AZ30" t="s">
        <v>603</v>
      </c>
      <c r="BA30" t="s">
        <v>604</v>
      </c>
      <c r="BB30" t="s">
        <v>157</v>
      </c>
      <c r="BD30" s="1" t="s">
        <v>123</v>
      </c>
      <c r="CX30" s="1" t="s">
        <v>123</v>
      </c>
      <c r="DH30" s="1" t="s">
        <v>123</v>
      </c>
      <c r="DR30" s="1" t="s">
        <v>123</v>
      </c>
      <c r="EU30" s="1" t="s">
        <v>123</v>
      </c>
      <c r="EV30" t="s">
        <v>180</v>
      </c>
      <c r="EW30" t="s">
        <v>132</v>
      </c>
      <c r="FU30" s="1" t="s">
        <v>123</v>
      </c>
      <c r="FV30" t="s">
        <v>132</v>
      </c>
      <c r="FX30" t="s">
        <v>132</v>
      </c>
      <c r="HC30" t="s">
        <v>605</v>
      </c>
      <c r="HD30" t="s">
        <v>606</v>
      </c>
      <c r="HE30" t="s">
        <v>607</v>
      </c>
      <c r="HF30" t="s">
        <v>140</v>
      </c>
      <c r="HG30">
        <v>1994</v>
      </c>
      <c r="HH30" t="str">
        <f>VLOOKUP(AnalizaCzyste[[#This Row],[Rok urodzenia]],KategorieWiekowe[],2,1)</f>
        <v>26–35 lat</v>
      </c>
      <c r="HI30" t="s">
        <v>483</v>
      </c>
      <c r="HK30" t="s">
        <v>608</v>
      </c>
      <c r="HL30" t="s">
        <v>609</v>
      </c>
    </row>
    <row r="31" spans="1:220" hidden="1" x14ac:dyDescent="0.45">
      <c r="A31">
        <v>53</v>
      </c>
      <c r="B31">
        <f>_xlfn.IFNA(VLOOKUP(AnalizaCzyste[[#This Row],[Zakończono wypełnianie]],Zakończone[],2,0),"BRAK")</f>
        <v>32</v>
      </c>
      <c r="C31">
        <f t="shared" si="0"/>
        <v>37</v>
      </c>
      <c r="D31" t="s">
        <v>610</v>
      </c>
      <c r="E31" t="s">
        <v>118</v>
      </c>
      <c r="F31" t="s">
        <v>548</v>
      </c>
      <c r="J31" t="s">
        <v>119</v>
      </c>
      <c r="K31" t="s">
        <v>611</v>
      </c>
      <c r="L31" t="s">
        <v>612</v>
      </c>
      <c r="M31">
        <v>551</v>
      </c>
      <c r="O31">
        <v>0</v>
      </c>
      <c r="P31" t="s">
        <v>122</v>
      </c>
      <c r="Q31" s="1" t="s">
        <v>416</v>
      </c>
      <c r="R31" t="s">
        <v>445</v>
      </c>
      <c r="S31" t="s">
        <v>148</v>
      </c>
      <c r="T31" t="s">
        <v>613</v>
      </c>
      <c r="U31" t="s">
        <v>150</v>
      </c>
      <c r="V31" t="s">
        <v>150</v>
      </c>
      <c r="W31" t="s">
        <v>151</v>
      </c>
      <c r="X31" t="s">
        <v>530</v>
      </c>
      <c r="Y31" t="s">
        <v>131</v>
      </c>
      <c r="Z31" t="s">
        <v>302</v>
      </c>
      <c r="AA31" t="s">
        <v>614</v>
      </c>
      <c r="AB31" t="s">
        <v>615</v>
      </c>
      <c r="AC31" t="s">
        <v>616</v>
      </c>
      <c r="AD31" t="s">
        <v>172</v>
      </c>
      <c r="AF31">
        <v>6</v>
      </c>
      <c r="AG31" s="1" t="s">
        <v>123</v>
      </c>
      <c r="AI31" t="e">
        <f>VLOOKUP(AnalizaCzyste[[#This Row],[Jak się nazywa uczelnia którą ukończyłeś? (proszę o wybranie jednej uczelni podlegającej ocenie)]],KategorieUczelni[],2,0)</f>
        <v>#N/A</v>
      </c>
      <c r="AJ31" t="e">
        <f>VLOOKUP(AnalizaCzyste[[#This Row],[Jak się nazywa uczelnia którą ukończyłeś? (proszę o wybranie jednej uczelni podlegającej ocenie)]],KategorieUczelni[],3,0)</f>
        <v>#N/A</v>
      </c>
      <c r="AK31">
        <f>COUNTIF(AnalizaCzyste[[#This Row],[Czy jesteś absolwentem uczelni wyższej?]],"*"&amp;"Tak"&amp;"*")</f>
        <v>0</v>
      </c>
      <c r="AV31" t="e">
        <f>VLOOKUP(AnalizaCzyste[[#This Row],[w pierwszym roku po ukończeniu studiów : wybierz wartość z listy rozwijanej4]],Zarobki[],2,0)</f>
        <v>#N/A</v>
      </c>
      <c r="AX31" t="e">
        <f>VLOOKUP(AnalizaCzyste[[#This Row],[w 3 lata po ukończeniu studiów : wybierz wartość z listy rozwijanej5]],Zarobki[],2,0)</f>
        <v>#N/A</v>
      </c>
      <c r="BD31" s="1" t="s">
        <v>123</v>
      </c>
      <c r="CX31" s="1" t="s">
        <v>123</v>
      </c>
      <c r="DH31" s="1" t="s">
        <v>123</v>
      </c>
      <c r="DR31" s="1" t="s">
        <v>123</v>
      </c>
      <c r="EU31" s="1" t="s">
        <v>123</v>
      </c>
      <c r="FU31" s="1" t="s">
        <v>123</v>
      </c>
      <c r="FV31" t="s">
        <v>132</v>
      </c>
      <c r="HC31" t="s">
        <v>617</v>
      </c>
      <c r="HD31" t="s">
        <v>618</v>
      </c>
      <c r="HE31" t="s">
        <v>619</v>
      </c>
      <c r="HF31" t="s">
        <v>140</v>
      </c>
      <c r="HG31">
        <v>1998</v>
      </c>
      <c r="HH31" t="str">
        <f>VLOOKUP(AnalizaCzyste[[#This Row],[Rok urodzenia]],KategorieWiekowe[],2,1)</f>
        <v>poniżej 26 lat</v>
      </c>
      <c r="HI31" t="s">
        <v>398</v>
      </c>
      <c r="HK31" t="s">
        <v>620</v>
      </c>
    </row>
    <row r="32" spans="1:220" hidden="1" x14ac:dyDescent="0.45">
      <c r="A32">
        <v>54</v>
      </c>
      <c r="B32">
        <f>_xlfn.IFNA(VLOOKUP(AnalizaCzyste[[#This Row],[Zakończono wypełnianie]],Zakończone[],2,0),"BRAK")</f>
        <v>33</v>
      </c>
      <c r="C32">
        <f t="shared" si="0"/>
        <v>37</v>
      </c>
      <c r="D32" t="s">
        <v>621</v>
      </c>
      <c r="E32" t="s">
        <v>118</v>
      </c>
      <c r="F32" t="s">
        <v>359</v>
      </c>
      <c r="J32" t="s">
        <v>119</v>
      </c>
      <c r="K32" t="s">
        <v>622</v>
      </c>
      <c r="L32" t="s">
        <v>623</v>
      </c>
      <c r="M32">
        <v>595</v>
      </c>
      <c r="O32">
        <v>0</v>
      </c>
      <c r="P32" t="s">
        <v>122</v>
      </c>
      <c r="Q32" s="1" t="s">
        <v>416</v>
      </c>
      <c r="R32" t="s">
        <v>445</v>
      </c>
      <c r="S32" t="s">
        <v>148</v>
      </c>
      <c r="T32" t="s">
        <v>624</v>
      </c>
      <c r="U32" t="s">
        <v>150</v>
      </c>
      <c r="V32" t="s">
        <v>150</v>
      </c>
      <c r="W32" t="s">
        <v>169</v>
      </c>
      <c r="X32">
        <v>12</v>
      </c>
      <c r="Y32" t="s">
        <v>302</v>
      </c>
      <c r="Z32" t="s">
        <v>226</v>
      </c>
      <c r="AB32" t="s">
        <v>625</v>
      </c>
      <c r="AC32" t="s">
        <v>626</v>
      </c>
      <c r="AD32" t="s">
        <v>172</v>
      </c>
      <c r="AF32">
        <v>4</v>
      </c>
      <c r="AG32" s="1" t="s">
        <v>123</v>
      </c>
      <c r="AI32" t="e">
        <f>VLOOKUP(AnalizaCzyste[[#This Row],[Jak się nazywa uczelnia którą ukończyłeś? (proszę o wybranie jednej uczelni podlegającej ocenie)]],KategorieUczelni[],2,0)</f>
        <v>#N/A</v>
      </c>
      <c r="AJ32" t="e">
        <f>VLOOKUP(AnalizaCzyste[[#This Row],[Jak się nazywa uczelnia którą ukończyłeś? (proszę o wybranie jednej uczelni podlegającej ocenie)]],KategorieUczelni[],3,0)</f>
        <v>#N/A</v>
      </c>
      <c r="AK32">
        <f>COUNTIF(AnalizaCzyste[[#This Row],[Czy jesteś absolwentem uczelni wyższej?]],"*"&amp;"Tak"&amp;"*")</f>
        <v>0</v>
      </c>
      <c r="AV32" t="e">
        <f>VLOOKUP(AnalizaCzyste[[#This Row],[w pierwszym roku po ukończeniu studiów : wybierz wartość z listy rozwijanej4]],Zarobki[],2,0)</f>
        <v>#N/A</v>
      </c>
      <c r="AX32" t="e">
        <f>VLOOKUP(AnalizaCzyste[[#This Row],[w 3 lata po ukończeniu studiów : wybierz wartość z listy rozwijanej5]],Zarobki[],2,0)</f>
        <v>#N/A</v>
      </c>
      <c r="BD32" s="1" t="s">
        <v>123</v>
      </c>
      <c r="CX32" s="1" t="s">
        <v>123</v>
      </c>
      <c r="DH32" s="1" t="s">
        <v>123</v>
      </c>
      <c r="DR32" s="1" t="s">
        <v>123</v>
      </c>
      <c r="EU32" s="1" t="s">
        <v>123</v>
      </c>
      <c r="FU32" s="1" t="s">
        <v>123</v>
      </c>
      <c r="FV32" t="s">
        <v>132</v>
      </c>
      <c r="HC32" t="s">
        <v>627</v>
      </c>
      <c r="HD32" t="s">
        <v>628</v>
      </c>
      <c r="HE32" t="s">
        <v>629</v>
      </c>
      <c r="HF32" t="s">
        <v>186</v>
      </c>
      <c r="HG32" t="s">
        <v>630</v>
      </c>
      <c r="HH32" t="e">
        <f>VLOOKUP(AnalizaCzyste[[#This Row],[Rok urodzenia]],KategorieWiekowe[],2,1)</f>
        <v>#N/A</v>
      </c>
      <c r="HI32" t="s">
        <v>398</v>
      </c>
      <c r="HK32" t="s">
        <v>631</v>
      </c>
      <c r="HL32" t="s">
        <v>632</v>
      </c>
    </row>
    <row r="33" spans="1:221" hidden="1" x14ac:dyDescent="0.45">
      <c r="A33">
        <v>58</v>
      </c>
      <c r="B33">
        <f>_xlfn.IFNA(VLOOKUP(AnalizaCzyste[[#This Row],[Zakończono wypełnianie]],Zakończone[],2,0),"BRAK")</f>
        <v>34</v>
      </c>
      <c r="C33">
        <f t="shared" si="0"/>
        <v>35</v>
      </c>
      <c r="D33" t="s">
        <v>645</v>
      </c>
      <c r="E33" t="s">
        <v>118</v>
      </c>
      <c r="F33" t="s">
        <v>375</v>
      </c>
      <c r="J33" t="s">
        <v>119</v>
      </c>
      <c r="K33" t="s">
        <v>646</v>
      </c>
      <c r="L33" t="s">
        <v>647</v>
      </c>
      <c r="M33">
        <v>551</v>
      </c>
      <c r="O33">
        <v>0</v>
      </c>
      <c r="P33" t="s">
        <v>122</v>
      </c>
      <c r="Q33" s="1" t="s">
        <v>416</v>
      </c>
      <c r="R33" t="s">
        <v>160</v>
      </c>
      <c r="S33" t="s">
        <v>148</v>
      </c>
      <c r="T33" t="s">
        <v>648</v>
      </c>
      <c r="U33" t="s">
        <v>128</v>
      </c>
      <c r="V33" t="s">
        <v>162</v>
      </c>
      <c r="W33" t="s">
        <v>162</v>
      </c>
      <c r="X33" t="s">
        <v>237</v>
      </c>
      <c r="Y33" t="s">
        <v>302</v>
      </c>
      <c r="Z33" t="s">
        <v>153</v>
      </c>
      <c r="AB33" t="s">
        <v>649</v>
      </c>
      <c r="AC33" t="s">
        <v>650</v>
      </c>
      <c r="AD33" t="s">
        <v>157</v>
      </c>
      <c r="AF33">
        <v>8</v>
      </c>
      <c r="AG33" s="1" t="s">
        <v>123</v>
      </c>
      <c r="AI33" t="e">
        <f>VLOOKUP(AnalizaCzyste[[#This Row],[Jak się nazywa uczelnia którą ukończyłeś? (proszę o wybranie jednej uczelni podlegającej ocenie)]],KategorieUczelni[],2,0)</f>
        <v>#N/A</v>
      </c>
      <c r="AJ33" t="e">
        <f>VLOOKUP(AnalizaCzyste[[#This Row],[Jak się nazywa uczelnia którą ukończyłeś? (proszę o wybranie jednej uczelni podlegającej ocenie)]],KategorieUczelni[],3,0)</f>
        <v>#N/A</v>
      </c>
      <c r="AK33">
        <f>COUNTIF(AnalizaCzyste[[#This Row],[Czy jesteś absolwentem uczelni wyższej?]],"*"&amp;"Tak"&amp;"*")</f>
        <v>0</v>
      </c>
      <c r="AV33" t="e">
        <f>VLOOKUP(AnalizaCzyste[[#This Row],[w pierwszym roku po ukończeniu studiów : wybierz wartość z listy rozwijanej4]],Zarobki[],2,0)</f>
        <v>#N/A</v>
      </c>
      <c r="AX33" t="e">
        <f>VLOOKUP(AnalizaCzyste[[#This Row],[w 3 lata po ukończeniu studiów : wybierz wartość z listy rozwijanej5]],Zarobki[],2,0)</f>
        <v>#N/A</v>
      </c>
      <c r="BD33" s="1" t="s">
        <v>123</v>
      </c>
      <c r="CX33" s="1" t="s">
        <v>123</v>
      </c>
      <c r="DH33" s="1" t="s">
        <v>123</v>
      </c>
      <c r="DR33" s="1" t="s">
        <v>123</v>
      </c>
      <c r="EU33" s="1" t="s">
        <v>123</v>
      </c>
      <c r="FU33" s="1" t="s">
        <v>123</v>
      </c>
      <c r="FV33" t="s">
        <v>132</v>
      </c>
      <c r="HC33" t="s">
        <v>651</v>
      </c>
      <c r="HD33" t="s">
        <v>652</v>
      </c>
      <c r="HE33" t="s">
        <v>653</v>
      </c>
      <c r="HF33" t="s">
        <v>140</v>
      </c>
      <c r="HG33">
        <v>1998</v>
      </c>
      <c r="HH33" t="str">
        <f>VLOOKUP(AnalizaCzyste[[#This Row],[Rok urodzenia]],KategorieWiekowe[],2,1)</f>
        <v>poniżej 26 lat</v>
      </c>
      <c r="HI33" t="s">
        <v>141</v>
      </c>
    </row>
    <row r="34" spans="1:221" x14ac:dyDescent="0.45">
      <c r="A34">
        <v>60</v>
      </c>
      <c r="B34">
        <f>_xlfn.IFNA(VLOOKUP(AnalizaCzyste[[#This Row],[Zakończono wypełnianie]],Zakończone[],2,0),"BRAK")</f>
        <v>35</v>
      </c>
      <c r="C34">
        <f t="shared" si="0"/>
        <v>46</v>
      </c>
      <c r="D34" t="s">
        <v>656</v>
      </c>
      <c r="E34" t="s">
        <v>118</v>
      </c>
      <c r="F34" t="s">
        <v>359</v>
      </c>
      <c r="J34" t="s">
        <v>119</v>
      </c>
      <c r="K34" t="s">
        <v>657</v>
      </c>
      <c r="L34" t="s">
        <v>658</v>
      </c>
      <c r="M34">
        <v>770</v>
      </c>
      <c r="O34">
        <v>0</v>
      </c>
      <c r="P34" t="s">
        <v>122</v>
      </c>
      <c r="Q34" s="1" t="s">
        <v>123</v>
      </c>
      <c r="AG34" s="1" t="s">
        <v>124</v>
      </c>
      <c r="AH34" t="s">
        <v>445</v>
      </c>
      <c r="AI34" t="str">
        <f>VLOOKUP(AnalizaCzyste[[#This Row],[Jak się nazywa uczelnia którą ukończyłeś? (proszę o wybranie jednej uczelni podlegającej ocenie)]],KategorieUczelni[],2,0)</f>
        <v>Publiczna</v>
      </c>
      <c r="AJ34" t="str">
        <f>VLOOKUP(AnalizaCzyste[[#This Row],[Jak się nazywa uczelnia którą ukończyłeś? (proszę o wybranie jednej uczelni podlegającej ocenie)]],KategorieUczelni[],3,0)</f>
        <v>Nietechniczna</v>
      </c>
      <c r="AK34">
        <f>COUNTIF(AnalizaCzyste[[#This Row],[Czy jesteś absolwentem uczelni wyższej?]],"*"&amp;"Tak"&amp;"*")</f>
        <v>1</v>
      </c>
      <c r="AL34" t="s">
        <v>659</v>
      </c>
      <c r="AM34" t="s">
        <v>148</v>
      </c>
      <c r="AN34" t="s">
        <v>660</v>
      </c>
      <c r="AO34" t="s">
        <v>169</v>
      </c>
      <c r="AP34" t="s">
        <v>169</v>
      </c>
      <c r="AQ34" t="s">
        <v>169</v>
      </c>
      <c r="AR34" t="s">
        <v>150</v>
      </c>
      <c r="AS34" t="s">
        <v>132</v>
      </c>
      <c r="AT34" t="s">
        <v>661</v>
      </c>
      <c r="AU34" t="s">
        <v>302</v>
      </c>
      <c r="AV34">
        <f>VLOOKUP(AnalizaCzyste[[#This Row],[w pierwszym roku po ukończeniu studiów : wybierz wartość z listy rozwijanej4]],Zarobki[],2,0)</f>
        <v>2500</v>
      </c>
      <c r="AW34" t="s">
        <v>132</v>
      </c>
      <c r="AX34" t="str">
        <f>VLOOKUP(AnalizaCzyste[[#This Row],[w 3 lata po ukończeniu studiów : wybierz wartość z listy rozwijanej5]],Zarobki[],2,0)</f>
        <v>N/D</v>
      </c>
      <c r="AZ34" t="s">
        <v>662</v>
      </c>
      <c r="BA34" t="s">
        <v>663</v>
      </c>
      <c r="BB34" t="s">
        <v>157</v>
      </c>
      <c r="BC34" t="s">
        <v>664</v>
      </c>
      <c r="BD34" s="1" t="s">
        <v>123</v>
      </c>
      <c r="CX34" s="1" t="s">
        <v>123</v>
      </c>
      <c r="DH34" s="1" t="s">
        <v>214</v>
      </c>
      <c r="DI34" t="s">
        <v>445</v>
      </c>
      <c r="DJ34" t="s">
        <v>518</v>
      </c>
      <c r="DK34" t="s">
        <v>169</v>
      </c>
      <c r="DL34" t="s">
        <v>169</v>
      </c>
      <c r="DM34" t="s">
        <v>169</v>
      </c>
      <c r="DN34" t="s">
        <v>169</v>
      </c>
      <c r="DO34" t="s">
        <v>169</v>
      </c>
      <c r="DP34" t="s">
        <v>150</v>
      </c>
      <c r="DR34" s="1" t="s">
        <v>123</v>
      </c>
      <c r="EU34" s="1" t="s">
        <v>123</v>
      </c>
      <c r="FU34" s="1" t="s">
        <v>123</v>
      </c>
      <c r="FV34" t="s">
        <v>132</v>
      </c>
      <c r="HC34" t="s">
        <v>665</v>
      </c>
      <c r="HD34" t="s">
        <v>666</v>
      </c>
      <c r="HE34" t="s">
        <v>667</v>
      </c>
      <c r="HF34" t="s">
        <v>140</v>
      </c>
      <c r="HG34">
        <v>1989</v>
      </c>
      <c r="HH34" t="str">
        <f>VLOOKUP(AnalizaCzyste[[#This Row],[Rok urodzenia]],KategorieWiekowe[],2,1)</f>
        <v>26–35 lat</v>
      </c>
      <c r="HI34" t="s">
        <v>141</v>
      </c>
    </row>
    <row r="35" spans="1:221" x14ac:dyDescent="0.45">
      <c r="A35">
        <v>61</v>
      </c>
      <c r="B35">
        <f>_xlfn.IFNA(VLOOKUP(AnalizaCzyste[[#This Row],[Zakończono wypełnianie]],Zakończone[],2,0),"BRAK")</f>
        <v>36</v>
      </c>
      <c r="C35">
        <f t="shared" ref="C35:C66" si="1">COUNTA(P35:HM35)</f>
        <v>41</v>
      </c>
      <c r="D35" t="s">
        <v>668</v>
      </c>
      <c r="E35" t="s">
        <v>118</v>
      </c>
      <c r="F35" t="s">
        <v>359</v>
      </c>
      <c r="J35" t="s">
        <v>119</v>
      </c>
      <c r="K35" t="s">
        <v>669</v>
      </c>
      <c r="L35" t="s">
        <v>670</v>
      </c>
      <c r="M35">
        <v>463</v>
      </c>
      <c r="O35">
        <v>0</v>
      </c>
      <c r="P35" t="s">
        <v>122</v>
      </c>
      <c r="Q35" s="1" t="s">
        <v>123</v>
      </c>
      <c r="AG35" s="1" t="s">
        <v>124</v>
      </c>
      <c r="AH35" t="s">
        <v>445</v>
      </c>
      <c r="AI35" t="str">
        <f>VLOOKUP(AnalizaCzyste[[#This Row],[Jak się nazywa uczelnia którą ukończyłeś? (proszę o wybranie jednej uczelni podlegającej ocenie)]],KategorieUczelni[],2,0)</f>
        <v>Publiczna</v>
      </c>
      <c r="AJ35" t="str">
        <f>VLOOKUP(AnalizaCzyste[[#This Row],[Jak się nazywa uczelnia którą ukończyłeś? (proszę o wybranie jednej uczelni podlegającej ocenie)]],KategorieUczelni[],3,0)</f>
        <v>Nietechniczna</v>
      </c>
      <c r="AK35">
        <f>COUNTIF(AnalizaCzyste[[#This Row],[Czy jesteś absolwentem uczelni wyższej?]],"*"&amp;"Tak"&amp;"*")</f>
        <v>1</v>
      </c>
      <c r="AL35">
        <v>2019</v>
      </c>
      <c r="AM35" t="s">
        <v>148</v>
      </c>
      <c r="AN35" t="s">
        <v>601</v>
      </c>
      <c r="AO35" t="s">
        <v>162</v>
      </c>
      <c r="AP35" t="s">
        <v>162</v>
      </c>
      <c r="AQ35" t="s">
        <v>129</v>
      </c>
      <c r="AR35" t="s">
        <v>129</v>
      </c>
      <c r="AS35" t="s">
        <v>129</v>
      </c>
      <c r="AT35">
        <v>4</v>
      </c>
      <c r="AU35" t="s">
        <v>152</v>
      </c>
      <c r="AV35">
        <f>VLOOKUP(AnalizaCzyste[[#This Row],[w pierwszym roku po ukończeniu studiów : wybierz wartość z listy rozwijanej4]],Zarobki[],2,0)</f>
        <v>500</v>
      </c>
      <c r="AW35" t="s">
        <v>131</v>
      </c>
      <c r="AX35">
        <f>VLOOKUP(AnalizaCzyste[[#This Row],[w 3 lata po ukończeniu studiów : wybierz wartość z listy rozwijanej5]],Zarobki[],2,0)</f>
        <v>1500</v>
      </c>
      <c r="AY35" t="s">
        <v>671</v>
      </c>
      <c r="AZ35" t="s">
        <v>672</v>
      </c>
      <c r="BA35" t="s">
        <v>673</v>
      </c>
      <c r="BB35" t="s">
        <v>157</v>
      </c>
      <c r="BD35" s="1" t="s">
        <v>123</v>
      </c>
      <c r="CX35" s="1" t="s">
        <v>123</v>
      </c>
      <c r="DH35" s="1" t="s">
        <v>123</v>
      </c>
      <c r="DR35" s="1" t="s">
        <v>123</v>
      </c>
      <c r="EU35" s="1" t="s">
        <v>123</v>
      </c>
      <c r="EV35" t="s">
        <v>180</v>
      </c>
      <c r="EW35" t="s">
        <v>132</v>
      </c>
      <c r="FU35" s="1" t="s">
        <v>123</v>
      </c>
      <c r="FV35" t="s">
        <v>132</v>
      </c>
      <c r="FX35" t="s">
        <v>132</v>
      </c>
      <c r="HC35" t="s">
        <v>674</v>
      </c>
      <c r="HD35" t="s">
        <v>675</v>
      </c>
      <c r="HE35" t="s">
        <v>676</v>
      </c>
      <c r="HF35" t="s">
        <v>140</v>
      </c>
      <c r="HG35">
        <v>1994</v>
      </c>
      <c r="HH35" t="str">
        <f>VLOOKUP(AnalizaCzyste[[#This Row],[Rok urodzenia]],KategorieWiekowe[],2,1)</f>
        <v>26–35 lat</v>
      </c>
      <c r="HI35" t="s">
        <v>483</v>
      </c>
    </row>
    <row r="36" spans="1:221" x14ac:dyDescent="0.45">
      <c r="A36">
        <v>63</v>
      </c>
      <c r="B36">
        <f>_xlfn.IFNA(VLOOKUP(AnalizaCzyste[[#This Row],[Zakończono wypełnianie]],Zakończone[],2,0),"BRAK")</f>
        <v>37</v>
      </c>
      <c r="C36">
        <f t="shared" si="1"/>
        <v>43</v>
      </c>
      <c r="D36" t="s">
        <v>679</v>
      </c>
      <c r="E36" t="s">
        <v>118</v>
      </c>
      <c r="F36" t="s">
        <v>359</v>
      </c>
      <c r="J36" t="s">
        <v>119</v>
      </c>
      <c r="K36" t="s">
        <v>680</v>
      </c>
      <c r="L36" t="s">
        <v>681</v>
      </c>
      <c r="M36">
        <v>770</v>
      </c>
      <c r="O36">
        <v>0</v>
      </c>
      <c r="P36" t="s">
        <v>122</v>
      </c>
      <c r="Q36" s="1" t="s">
        <v>123</v>
      </c>
      <c r="AG36" s="1" t="s">
        <v>124</v>
      </c>
      <c r="AH36" s="20" t="s">
        <v>445</v>
      </c>
      <c r="AI36" s="20" t="str">
        <f>VLOOKUP(AnalizaCzyste[[#This Row],[Jak się nazywa uczelnia którą ukończyłeś? (proszę o wybranie jednej uczelni podlegającej ocenie)]],KategorieUczelni[],2,0)</f>
        <v>Publiczna</v>
      </c>
      <c r="AJ36" s="20" t="str">
        <f>VLOOKUP(AnalizaCzyste[[#This Row],[Jak się nazywa uczelnia którą ukończyłeś? (proszę o wybranie jednej uczelni podlegającej ocenie)]],KategorieUczelni[],3,0)</f>
        <v>Nietechniczna</v>
      </c>
      <c r="AK36" s="20">
        <f>COUNTIF(AnalizaCzyste[[#This Row],[Czy jesteś absolwentem uczelni wyższej?]],"*"&amp;"Tak"&amp;"*")</f>
        <v>1</v>
      </c>
      <c r="AL36">
        <v>2017</v>
      </c>
      <c r="AM36" t="s">
        <v>148</v>
      </c>
      <c r="AN36" t="s">
        <v>601</v>
      </c>
      <c r="AO36" t="s">
        <v>169</v>
      </c>
      <c r="AP36" t="s">
        <v>169</v>
      </c>
      <c r="AQ36" t="s">
        <v>150</v>
      </c>
      <c r="AR36" t="s">
        <v>236</v>
      </c>
      <c r="AS36" t="s">
        <v>169</v>
      </c>
      <c r="AT36" t="s">
        <v>683</v>
      </c>
      <c r="AU36" t="s">
        <v>131</v>
      </c>
      <c r="AV36">
        <f>VLOOKUP(AnalizaCzyste[[#This Row],[w pierwszym roku po ukończeniu studiów : wybierz wartość z listy rozwijanej4]],Zarobki[],2,0)</f>
        <v>1500</v>
      </c>
      <c r="AW36" t="s">
        <v>153</v>
      </c>
      <c r="AX36">
        <f>VLOOKUP(AnalizaCzyste[[#This Row],[w 3 lata po ukończeniu studiów : wybierz wartość z listy rozwijanej5]],Zarobki[],2,0)</f>
        <v>3500</v>
      </c>
      <c r="AY36" t="s">
        <v>684</v>
      </c>
      <c r="AZ36" t="s">
        <v>685</v>
      </c>
      <c r="BA36" t="s">
        <v>686</v>
      </c>
      <c r="BB36" t="s">
        <v>157</v>
      </c>
      <c r="BD36" s="1" t="s">
        <v>123</v>
      </c>
      <c r="CX36" s="1" t="s">
        <v>123</v>
      </c>
      <c r="DH36" s="1" t="s">
        <v>123</v>
      </c>
      <c r="DR36" s="1" t="s">
        <v>123</v>
      </c>
      <c r="EU36" s="1" t="s">
        <v>123</v>
      </c>
      <c r="EV36" t="s">
        <v>180</v>
      </c>
      <c r="EW36" t="s">
        <v>132</v>
      </c>
      <c r="FU36" s="1" t="s">
        <v>123</v>
      </c>
      <c r="FV36" t="s">
        <v>132</v>
      </c>
      <c r="FX36" t="s">
        <v>132</v>
      </c>
      <c r="HC36" t="s">
        <v>687</v>
      </c>
      <c r="HD36" t="s">
        <v>688</v>
      </c>
      <c r="HE36" t="s">
        <v>689</v>
      </c>
      <c r="HF36" t="s">
        <v>140</v>
      </c>
      <c r="HG36">
        <v>1994</v>
      </c>
      <c r="HH36" t="str">
        <f>VLOOKUP(AnalizaCzyste[[#This Row],[Rok urodzenia]],KategorieWiekowe[],2,1)</f>
        <v>26–35 lat</v>
      </c>
      <c r="HI36" t="s">
        <v>246</v>
      </c>
      <c r="HK36" t="s">
        <v>142</v>
      </c>
      <c r="HL36" t="s">
        <v>142</v>
      </c>
    </row>
    <row r="37" spans="1:221" x14ac:dyDescent="0.45">
      <c r="A37">
        <v>67</v>
      </c>
      <c r="B37">
        <f>_xlfn.IFNA(VLOOKUP(AnalizaCzyste[[#This Row],[Zakończono wypełnianie]],Zakończone[],2,0),"BRAK")</f>
        <v>38</v>
      </c>
      <c r="C37">
        <f t="shared" si="1"/>
        <v>41</v>
      </c>
      <c r="D37" t="s">
        <v>698</v>
      </c>
      <c r="E37" t="s">
        <v>118</v>
      </c>
      <c r="F37" t="s">
        <v>359</v>
      </c>
      <c r="J37" t="s">
        <v>119</v>
      </c>
      <c r="K37" t="s">
        <v>699</v>
      </c>
      <c r="L37" t="s">
        <v>700</v>
      </c>
      <c r="M37">
        <v>1910</v>
      </c>
      <c r="O37">
        <v>0</v>
      </c>
      <c r="P37" t="s">
        <v>122</v>
      </c>
      <c r="Q37" s="1" t="s">
        <v>123</v>
      </c>
      <c r="AG37" s="1" t="s">
        <v>124</v>
      </c>
      <c r="AH37" t="s">
        <v>701</v>
      </c>
      <c r="AI37" t="str">
        <f>VLOOKUP(AnalizaCzyste[[#This Row],[Jak się nazywa uczelnia którą ukończyłeś? (proszę o wybranie jednej uczelni podlegającej ocenie)]],KategorieUczelni[],2,0)</f>
        <v>Publiczna</v>
      </c>
      <c r="AJ37" t="str">
        <f>VLOOKUP(AnalizaCzyste[[#This Row],[Jak się nazywa uczelnia którą ukończyłeś? (proszę o wybranie jednej uczelni podlegającej ocenie)]],KategorieUczelni[],3,0)</f>
        <v>Nietechniczna</v>
      </c>
      <c r="AK37">
        <f>COUNTIF(AnalizaCzyste[[#This Row],[Czy jesteś absolwentem uczelni wyższej?]],"*"&amp;"Tak"&amp;"*")</f>
        <v>1</v>
      </c>
      <c r="AL37">
        <v>2020</v>
      </c>
      <c r="AM37" t="s">
        <v>148</v>
      </c>
      <c r="AN37" t="s">
        <v>702</v>
      </c>
      <c r="AO37" t="s">
        <v>162</v>
      </c>
      <c r="AP37" t="s">
        <v>162</v>
      </c>
      <c r="AQ37" t="s">
        <v>236</v>
      </c>
      <c r="AR37" t="s">
        <v>236</v>
      </c>
      <c r="AS37" t="s">
        <v>132</v>
      </c>
      <c r="AT37" t="s">
        <v>703</v>
      </c>
      <c r="AU37" t="s">
        <v>131</v>
      </c>
      <c r="AV37">
        <f>VLOOKUP(AnalizaCzyste[[#This Row],[w pierwszym roku po ukończeniu studiów : wybierz wartość z listy rozwijanej4]],Zarobki[],2,0)</f>
        <v>1500</v>
      </c>
      <c r="AW37" t="s">
        <v>132</v>
      </c>
      <c r="AX37" t="str">
        <f>VLOOKUP(AnalizaCzyste[[#This Row],[w 3 lata po ukończeniu studiów : wybierz wartość z listy rozwijanej5]],Zarobki[],2,0)</f>
        <v>N/D</v>
      </c>
      <c r="AY37" t="s">
        <v>704</v>
      </c>
      <c r="AZ37" t="s">
        <v>705</v>
      </c>
      <c r="BA37" t="s">
        <v>706</v>
      </c>
      <c r="BB37" t="s">
        <v>157</v>
      </c>
      <c r="BD37" s="1" t="s">
        <v>123</v>
      </c>
      <c r="CX37" s="1" t="s">
        <v>123</v>
      </c>
      <c r="DH37" s="1" t="s">
        <v>123</v>
      </c>
      <c r="DR37" s="1" t="s">
        <v>123</v>
      </c>
      <c r="EU37" s="1" t="s">
        <v>123</v>
      </c>
      <c r="EV37" t="s">
        <v>180</v>
      </c>
      <c r="EW37" t="s">
        <v>132</v>
      </c>
      <c r="FU37" s="1" t="s">
        <v>123</v>
      </c>
      <c r="FV37" t="s">
        <v>132</v>
      </c>
      <c r="FX37" t="s">
        <v>132</v>
      </c>
      <c r="HC37" t="s">
        <v>707</v>
      </c>
      <c r="HD37" t="s">
        <v>708</v>
      </c>
      <c r="HE37" t="s">
        <v>709</v>
      </c>
      <c r="HF37" t="s">
        <v>140</v>
      </c>
      <c r="HG37">
        <v>1994</v>
      </c>
      <c r="HH37" t="str">
        <f>VLOOKUP(AnalizaCzyste[[#This Row],[Rok urodzenia]],KategorieWiekowe[],2,1)</f>
        <v>26–35 lat</v>
      </c>
      <c r="HI37" t="s">
        <v>220</v>
      </c>
    </row>
    <row r="38" spans="1:221" x14ac:dyDescent="0.45">
      <c r="A38">
        <v>70</v>
      </c>
      <c r="B38">
        <f>_xlfn.IFNA(VLOOKUP(AnalizaCzyste[[#This Row],[Zakończono wypełnianie]],Zakończone[],2,0),"BRAK")</f>
        <v>39</v>
      </c>
      <c r="C38">
        <f t="shared" si="1"/>
        <v>60</v>
      </c>
      <c r="D38" t="s">
        <v>714</v>
      </c>
      <c r="E38" t="s">
        <v>118</v>
      </c>
      <c r="J38" t="s">
        <v>119</v>
      </c>
      <c r="K38" t="s">
        <v>715</v>
      </c>
      <c r="L38" t="s">
        <v>716</v>
      </c>
      <c r="M38">
        <v>1868</v>
      </c>
      <c r="O38">
        <v>0</v>
      </c>
      <c r="P38" t="s">
        <v>122</v>
      </c>
      <c r="Q38" s="1" t="s">
        <v>123</v>
      </c>
      <c r="AG38" s="1" t="s">
        <v>124</v>
      </c>
      <c r="AH38" t="s">
        <v>191</v>
      </c>
      <c r="AI38" t="str">
        <f>VLOOKUP(AnalizaCzyste[[#This Row],[Jak się nazywa uczelnia którą ukończyłeś? (proszę o wybranie jednej uczelni podlegającej ocenie)]],KategorieUczelni[],2,0)</f>
        <v>Publiczna</v>
      </c>
      <c r="AJ38" t="str">
        <f>VLOOKUP(AnalizaCzyste[[#This Row],[Jak się nazywa uczelnia którą ukończyłeś? (proszę o wybranie jednej uczelni podlegającej ocenie)]],KategorieUczelni[],3,0)</f>
        <v>Techniczna</v>
      </c>
      <c r="AK38">
        <f>COUNTIF(AnalizaCzyste[[#This Row],[Czy jesteś absolwentem uczelni wyższej?]],"*"&amp;"Tak"&amp;"*")</f>
        <v>1</v>
      </c>
      <c r="AL38">
        <v>2008</v>
      </c>
      <c r="AM38" t="s">
        <v>126</v>
      </c>
      <c r="AN38" t="s">
        <v>717</v>
      </c>
      <c r="AO38" t="s">
        <v>162</v>
      </c>
      <c r="AP38" t="s">
        <v>151</v>
      </c>
      <c r="AQ38" t="s">
        <v>162</v>
      </c>
      <c r="AR38" t="s">
        <v>236</v>
      </c>
      <c r="AS38" t="s">
        <v>236</v>
      </c>
      <c r="AT38" t="s">
        <v>718</v>
      </c>
      <c r="AU38" t="s">
        <v>131</v>
      </c>
      <c r="AV38">
        <f>VLOOKUP(AnalizaCzyste[[#This Row],[w pierwszym roku po ukończeniu studiów : wybierz wartość z listy rozwijanej4]],Zarobki[],2,0)</f>
        <v>1500</v>
      </c>
      <c r="AW38" t="s">
        <v>302</v>
      </c>
      <c r="AX38">
        <f>VLOOKUP(AnalizaCzyste[[#This Row],[w 3 lata po ukończeniu studiów : wybierz wartość z listy rozwijanej5]],Zarobki[],2,0)</f>
        <v>2500</v>
      </c>
      <c r="AY38" t="s">
        <v>719</v>
      </c>
      <c r="AZ38" t="s">
        <v>720</v>
      </c>
      <c r="BA38" t="s">
        <v>721</v>
      </c>
      <c r="BB38" t="s">
        <v>172</v>
      </c>
      <c r="BD38" s="1" t="s">
        <v>123</v>
      </c>
      <c r="CX38" s="1" t="s">
        <v>123</v>
      </c>
      <c r="DH38" s="1" t="s">
        <v>214</v>
      </c>
      <c r="DI38" t="s">
        <v>2275</v>
      </c>
      <c r="DJ38" t="s">
        <v>2276</v>
      </c>
      <c r="DK38" t="s">
        <v>150</v>
      </c>
      <c r="DL38" t="s">
        <v>162</v>
      </c>
      <c r="DM38" t="s">
        <v>151</v>
      </c>
      <c r="DN38" t="s">
        <v>162</v>
      </c>
      <c r="DO38" t="s">
        <v>128</v>
      </c>
      <c r="DP38" t="s">
        <v>128</v>
      </c>
      <c r="DQ38" t="s">
        <v>724</v>
      </c>
      <c r="DR38" s="1" t="s">
        <v>123</v>
      </c>
      <c r="EU38" s="1" t="s">
        <v>177</v>
      </c>
      <c r="EV38" t="s">
        <v>180</v>
      </c>
      <c r="EW38">
        <v>1</v>
      </c>
      <c r="EX38" t="s">
        <v>722</v>
      </c>
      <c r="EY38" t="s">
        <v>162</v>
      </c>
      <c r="EZ38" t="s">
        <v>150</v>
      </c>
      <c r="FA38" t="s">
        <v>236</v>
      </c>
      <c r="FB38" t="s">
        <v>178</v>
      </c>
      <c r="FC38" t="s">
        <v>725</v>
      </c>
      <c r="FD38" t="s">
        <v>726</v>
      </c>
      <c r="FE38" t="s">
        <v>173</v>
      </c>
      <c r="FU38" s="1" t="s">
        <v>123</v>
      </c>
      <c r="FV38" t="s">
        <v>132</v>
      </c>
      <c r="FX38" t="s">
        <v>132</v>
      </c>
      <c r="HC38" t="s">
        <v>727</v>
      </c>
      <c r="HD38" t="s">
        <v>728</v>
      </c>
      <c r="HE38" t="s">
        <v>729</v>
      </c>
      <c r="HF38" t="s">
        <v>186</v>
      </c>
      <c r="HG38">
        <v>1983</v>
      </c>
      <c r="HH38" t="str">
        <f>VLOOKUP(AnalizaCzyste[[#This Row],[Rok urodzenia]],KategorieWiekowe[],2,1)</f>
        <v>36–45 lat</v>
      </c>
      <c r="HI38" t="s">
        <v>141</v>
      </c>
      <c r="HK38" t="s">
        <v>730</v>
      </c>
      <c r="HM38" t="s">
        <v>731</v>
      </c>
    </row>
    <row r="39" spans="1:221" x14ac:dyDescent="0.45">
      <c r="A39">
        <v>74</v>
      </c>
      <c r="B39">
        <f>_xlfn.IFNA(VLOOKUP(AnalizaCzyste[[#This Row],[Zakończono wypełnianie]],Zakończone[],2,0),"BRAK")</f>
        <v>40</v>
      </c>
      <c r="C39">
        <f t="shared" si="1"/>
        <v>52</v>
      </c>
      <c r="D39" t="s">
        <v>739</v>
      </c>
      <c r="E39" t="s">
        <v>118</v>
      </c>
      <c r="J39" t="s">
        <v>119</v>
      </c>
      <c r="K39" t="s">
        <v>740</v>
      </c>
      <c r="L39" t="s">
        <v>741</v>
      </c>
      <c r="M39">
        <v>341</v>
      </c>
      <c r="O39">
        <v>0</v>
      </c>
      <c r="P39" t="s">
        <v>122</v>
      </c>
      <c r="Q39" s="1" t="s">
        <v>123</v>
      </c>
      <c r="AG39" s="1" t="s">
        <v>124</v>
      </c>
      <c r="AH39" t="s">
        <v>223</v>
      </c>
      <c r="AI39" t="str">
        <f>VLOOKUP(AnalizaCzyste[[#This Row],[Jak się nazywa uczelnia którą ukończyłeś? (proszę o wybranie jednej uczelni podlegającej ocenie)]],KategorieUczelni[],2,0)</f>
        <v>Publiczna</v>
      </c>
      <c r="AJ39" t="str">
        <f>VLOOKUP(AnalizaCzyste[[#This Row],[Jak się nazywa uczelnia którą ukończyłeś? (proszę o wybranie jednej uczelni podlegającej ocenie)]],KategorieUczelni[],3,0)</f>
        <v>Nietechniczna</v>
      </c>
      <c r="AK39">
        <f>COUNTIF(AnalizaCzyste[[#This Row],[Czy jesteś absolwentem uczelni wyższej?]],"*"&amp;"Tak"&amp;"*")</f>
        <v>1</v>
      </c>
      <c r="AL39">
        <v>2007</v>
      </c>
      <c r="AM39" t="s">
        <v>148</v>
      </c>
      <c r="AN39" t="s">
        <v>743</v>
      </c>
      <c r="AO39" t="s">
        <v>236</v>
      </c>
      <c r="AP39" t="s">
        <v>129</v>
      </c>
      <c r="AQ39" t="s">
        <v>128</v>
      </c>
      <c r="AR39" t="s">
        <v>162</v>
      </c>
      <c r="AS39" t="s">
        <v>150</v>
      </c>
      <c r="AT39" t="s">
        <v>237</v>
      </c>
      <c r="AU39" t="s">
        <v>302</v>
      </c>
      <c r="AV39">
        <f>VLOOKUP(AnalizaCzyste[[#This Row],[w pierwszym roku po ukończeniu studiów : wybierz wartość z listy rozwijanej4]],Zarobki[],2,0)</f>
        <v>2500</v>
      </c>
      <c r="AW39" t="s">
        <v>153</v>
      </c>
      <c r="AX39">
        <f>VLOOKUP(AnalizaCzyste[[#This Row],[w 3 lata po ukończeniu studiów : wybierz wartość z listy rozwijanej5]],Zarobki[],2,0)</f>
        <v>3500</v>
      </c>
      <c r="AY39" t="s">
        <v>744</v>
      </c>
      <c r="AZ39" t="s">
        <v>745</v>
      </c>
      <c r="BA39" t="s">
        <v>746</v>
      </c>
      <c r="BB39" t="s">
        <v>172</v>
      </c>
      <c r="BD39" s="1" t="s">
        <v>123</v>
      </c>
      <c r="CX39" s="1" t="s">
        <v>387</v>
      </c>
      <c r="CY39" t="s">
        <v>191</v>
      </c>
      <c r="CZ39" t="s">
        <v>748</v>
      </c>
      <c r="DA39" t="s">
        <v>150</v>
      </c>
      <c r="DB39" t="s">
        <v>150</v>
      </c>
      <c r="DC39" t="s">
        <v>169</v>
      </c>
      <c r="DD39" t="s">
        <v>169</v>
      </c>
      <c r="DE39" t="s">
        <v>150</v>
      </c>
      <c r="DF39" t="s">
        <v>150</v>
      </c>
      <c r="DG39" t="s">
        <v>749</v>
      </c>
      <c r="DH39" s="1" t="s">
        <v>123</v>
      </c>
      <c r="DR39" s="1" t="s">
        <v>123</v>
      </c>
      <c r="EU39" s="1" t="s">
        <v>123</v>
      </c>
      <c r="EV39" t="s">
        <v>178</v>
      </c>
      <c r="EW39" t="s">
        <v>132</v>
      </c>
      <c r="FU39" s="1" t="s">
        <v>123</v>
      </c>
      <c r="FV39" t="s">
        <v>132</v>
      </c>
      <c r="FX39" t="s">
        <v>132</v>
      </c>
      <c r="HC39" t="s">
        <v>750</v>
      </c>
      <c r="HD39" t="s">
        <v>751</v>
      </c>
      <c r="HE39" t="s">
        <v>752</v>
      </c>
      <c r="HF39" t="s">
        <v>186</v>
      </c>
      <c r="HG39">
        <v>1983</v>
      </c>
      <c r="HH39" t="str">
        <f>VLOOKUP(AnalizaCzyste[[#This Row],[Rok urodzenia]],KategorieWiekowe[],2,1)</f>
        <v>36–45 lat</v>
      </c>
      <c r="HI39" t="s">
        <v>398</v>
      </c>
      <c r="HK39" t="s">
        <v>753</v>
      </c>
      <c r="HL39" t="s">
        <v>532</v>
      </c>
    </row>
    <row r="40" spans="1:221" x14ac:dyDescent="0.45">
      <c r="A40">
        <v>75</v>
      </c>
      <c r="B40">
        <f>_xlfn.IFNA(VLOOKUP(AnalizaCzyste[[#This Row],[Zakończono wypełnianie]],Zakończone[],2,0),"BRAK")</f>
        <v>41</v>
      </c>
      <c r="C40">
        <f t="shared" si="1"/>
        <v>57</v>
      </c>
      <c r="D40" t="s">
        <v>754</v>
      </c>
      <c r="E40" t="s">
        <v>118</v>
      </c>
      <c r="F40" t="s">
        <v>755</v>
      </c>
      <c r="J40" t="s">
        <v>119</v>
      </c>
      <c r="K40" t="s">
        <v>756</v>
      </c>
      <c r="L40" t="s">
        <v>757</v>
      </c>
      <c r="M40">
        <v>487</v>
      </c>
      <c r="O40">
        <v>0</v>
      </c>
      <c r="P40" t="s">
        <v>122</v>
      </c>
      <c r="Q40" s="1" t="s">
        <v>416</v>
      </c>
      <c r="R40" t="s">
        <v>147</v>
      </c>
      <c r="S40" t="s">
        <v>148</v>
      </c>
      <c r="T40" t="s">
        <v>758</v>
      </c>
      <c r="U40" t="s">
        <v>236</v>
      </c>
      <c r="V40" t="s">
        <v>129</v>
      </c>
      <c r="W40" t="s">
        <v>236</v>
      </c>
      <c r="X40" t="s">
        <v>718</v>
      </c>
      <c r="Y40" t="s">
        <v>759</v>
      </c>
      <c r="Z40" t="s">
        <v>194</v>
      </c>
      <c r="AA40" t="s">
        <v>760</v>
      </c>
      <c r="AB40" t="s">
        <v>761</v>
      </c>
      <c r="AC40" t="s">
        <v>762</v>
      </c>
      <c r="AD40" t="s">
        <v>157</v>
      </c>
      <c r="AF40">
        <v>2</v>
      </c>
      <c r="AG40" s="1" t="s">
        <v>124</v>
      </c>
      <c r="AH40" t="s">
        <v>223</v>
      </c>
      <c r="AI40" t="str">
        <f>VLOOKUP(AnalizaCzyste[[#This Row],[Jak się nazywa uczelnia którą ukończyłeś? (proszę o wybranie jednej uczelni podlegającej ocenie)]],KategorieUczelni[],2,0)</f>
        <v>Publiczna</v>
      </c>
      <c r="AJ40" t="str">
        <f>VLOOKUP(AnalizaCzyste[[#This Row],[Jak się nazywa uczelnia którą ukończyłeś? (proszę o wybranie jednej uczelni podlegającej ocenie)]],KategorieUczelni[],3,0)</f>
        <v>Nietechniczna</v>
      </c>
      <c r="AK40">
        <f>COUNTIF(AnalizaCzyste[[#This Row],[Czy jesteś absolwentem uczelni wyższej?]],"*"&amp;"Tak"&amp;"*")</f>
        <v>1</v>
      </c>
      <c r="AL40">
        <v>2012</v>
      </c>
      <c r="AM40" t="s">
        <v>148</v>
      </c>
      <c r="AN40" t="s">
        <v>764</v>
      </c>
      <c r="AO40" t="s">
        <v>236</v>
      </c>
      <c r="AP40" t="s">
        <v>236</v>
      </c>
      <c r="AQ40" t="s">
        <v>236</v>
      </c>
      <c r="AR40" t="s">
        <v>129</v>
      </c>
      <c r="AS40" t="s">
        <v>236</v>
      </c>
      <c r="AT40" t="s">
        <v>237</v>
      </c>
      <c r="AU40" t="s">
        <v>302</v>
      </c>
      <c r="AV40">
        <f>VLOOKUP(AnalizaCzyste[[#This Row],[w pierwszym roku po ukończeniu studiów : wybierz wartość z listy rozwijanej4]],Zarobki[],2,0)</f>
        <v>2500</v>
      </c>
      <c r="AW40" t="s">
        <v>153</v>
      </c>
      <c r="AX40">
        <f>VLOOKUP(AnalizaCzyste[[#This Row],[w 3 lata po ukończeniu studiów : wybierz wartość z listy rozwijanej5]],Zarobki[],2,0)</f>
        <v>3500</v>
      </c>
      <c r="AY40" t="s">
        <v>765</v>
      </c>
      <c r="AZ40" t="s">
        <v>766</v>
      </c>
      <c r="BA40" t="s">
        <v>767</v>
      </c>
      <c r="BB40" t="s">
        <v>230</v>
      </c>
      <c r="BD40" s="1" t="s">
        <v>123</v>
      </c>
      <c r="CX40" s="1" t="s">
        <v>123</v>
      </c>
      <c r="DH40" s="1" t="s">
        <v>123</v>
      </c>
      <c r="DR40" s="1" t="s">
        <v>123</v>
      </c>
      <c r="EU40" s="1" t="s">
        <v>123</v>
      </c>
      <c r="EV40" t="s">
        <v>180</v>
      </c>
      <c r="EW40" t="s">
        <v>132</v>
      </c>
      <c r="FU40" s="1" t="s">
        <v>123</v>
      </c>
      <c r="FV40" t="s">
        <v>132</v>
      </c>
      <c r="FX40" t="s">
        <v>132</v>
      </c>
      <c r="HC40" t="s">
        <v>768</v>
      </c>
      <c r="HD40" t="s">
        <v>769</v>
      </c>
      <c r="HE40" t="s">
        <v>770</v>
      </c>
      <c r="HF40" t="s">
        <v>186</v>
      </c>
      <c r="HG40">
        <v>1990</v>
      </c>
      <c r="HH40" t="str">
        <f>VLOOKUP(AnalizaCzyste[[#This Row],[Rok urodzenia]],KategorieWiekowe[],2,1)</f>
        <v>26–35 lat</v>
      </c>
      <c r="HI40" t="s">
        <v>141</v>
      </c>
      <c r="HK40" t="s">
        <v>771</v>
      </c>
      <c r="HL40" t="s">
        <v>772</v>
      </c>
    </row>
    <row r="41" spans="1:221" x14ac:dyDescent="0.45">
      <c r="A41">
        <v>76</v>
      </c>
      <c r="B41">
        <f>_xlfn.IFNA(VLOOKUP(AnalizaCzyste[[#This Row],[Zakończono wypełnianie]],Zakończone[],2,0),"BRAK")</f>
        <v>42</v>
      </c>
      <c r="C41">
        <f t="shared" si="1"/>
        <v>59</v>
      </c>
      <c r="D41" t="s">
        <v>773</v>
      </c>
      <c r="E41" t="s">
        <v>118</v>
      </c>
      <c r="F41" t="s">
        <v>774</v>
      </c>
      <c r="J41" t="s">
        <v>119</v>
      </c>
      <c r="K41" t="s">
        <v>775</v>
      </c>
      <c r="L41" t="s">
        <v>776</v>
      </c>
      <c r="M41">
        <v>1636</v>
      </c>
      <c r="O41">
        <v>0</v>
      </c>
      <c r="P41" t="s">
        <v>122</v>
      </c>
      <c r="Q41" s="1" t="s">
        <v>123</v>
      </c>
      <c r="AG41" s="1" t="s">
        <v>124</v>
      </c>
      <c r="AH41" t="s">
        <v>1461</v>
      </c>
      <c r="AI41" t="str">
        <f>VLOOKUP(AnalizaCzyste[[#This Row],[Jak się nazywa uczelnia którą ukończyłeś? (proszę o wybranie jednej uczelni podlegającej ocenie)]],KategorieUczelni[],2,0)</f>
        <v>Publiczna</v>
      </c>
      <c r="AJ41" t="str">
        <f>VLOOKUP(AnalizaCzyste[[#This Row],[Jak się nazywa uczelnia którą ukończyłeś? (proszę o wybranie jednej uczelni podlegającej ocenie)]],KategorieUczelni[],3,0)</f>
        <v>Nietechniczna</v>
      </c>
      <c r="AK41">
        <f>COUNTIF(AnalizaCzyste[[#This Row],[Czy jesteś absolwentem uczelni wyższej?]],"*"&amp;"Tak"&amp;"*")</f>
        <v>1</v>
      </c>
      <c r="AL41">
        <v>2013</v>
      </c>
      <c r="AM41" t="s">
        <v>148</v>
      </c>
      <c r="AN41" t="s">
        <v>429</v>
      </c>
      <c r="AO41" t="s">
        <v>128</v>
      </c>
      <c r="AP41" t="s">
        <v>151</v>
      </c>
      <c r="AQ41" t="s">
        <v>162</v>
      </c>
      <c r="AR41" t="s">
        <v>129</v>
      </c>
      <c r="AS41" t="s">
        <v>236</v>
      </c>
      <c r="AT41">
        <v>0</v>
      </c>
      <c r="AU41" t="s">
        <v>131</v>
      </c>
      <c r="AV41">
        <f>VLOOKUP(AnalizaCzyste[[#This Row],[w pierwszym roku po ukończeniu studiów : wybierz wartość z listy rozwijanej4]],Zarobki[],2,0)</f>
        <v>1500</v>
      </c>
      <c r="AW41" t="s">
        <v>131</v>
      </c>
      <c r="AX41">
        <f>VLOOKUP(AnalizaCzyste[[#This Row],[w 3 lata po ukończeniu studiów : wybierz wartość z listy rozwijanej5]],Zarobki[],2,0)</f>
        <v>1500</v>
      </c>
      <c r="AY41" t="s">
        <v>778</v>
      </c>
      <c r="AZ41" t="s">
        <v>779</v>
      </c>
      <c r="BA41" t="s">
        <v>780</v>
      </c>
      <c r="BB41" t="s">
        <v>157</v>
      </c>
      <c r="BD41" s="1" t="s">
        <v>123</v>
      </c>
      <c r="CX41" s="1" t="s">
        <v>123</v>
      </c>
      <c r="DH41" s="1" t="s">
        <v>214</v>
      </c>
      <c r="DI41" t="s">
        <v>1461</v>
      </c>
      <c r="DJ41" t="s">
        <v>781</v>
      </c>
      <c r="DK41" t="s">
        <v>129</v>
      </c>
      <c r="DL41" t="s">
        <v>150</v>
      </c>
      <c r="DM41" t="s">
        <v>129</v>
      </c>
      <c r="DN41" t="s">
        <v>236</v>
      </c>
      <c r="DO41" t="s">
        <v>151</v>
      </c>
      <c r="DP41" t="s">
        <v>151</v>
      </c>
      <c r="DQ41" t="s">
        <v>782</v>
      </c>
      <c r="DR41" s="1" t="s">
        <v>123</v>
      </c>
      <c r="EU41" s="1" t="s">
        <v>177</v>
      </c>
      <c r="EV41" t="s">
        <v>180</v>
      </c>
      <c r="EW41">
        <v>1</v>
      </c>
      <c r="EX41" t="s">
        <v>783</v>
      </c>
      <c r="EY41" t="s">
        <v>150</v>
      </c>
      <c r="EZ41" t="s">
        <v>150</v>
      </c>
      <c r="FA41" t="s">
        <v>236</v>
      </c>
      <c r="FB41" t="s">
        <v>178</v>
      </c>
      <c r="FC41" t="s">
        <v>784</v>
      </c>
      <c r="FD41" t="s">
        <v>785</v>
      </c>
      <c r="FE41" t="s">
        <v>173</v>
      </c>
      <c r="FU41" s="1" t="s">
        <v>123</v>
      </c>
      <c r="FV41" t="s">
        <v>132</v>
      </c>
      <c r="HC41" t="s">
        <v>786</v>
      </c>
      <c r="HD41" t="s">
        <v>787</v>
      </c>
      <c r="HE41" t="s">
        <v>788</v>
      </c>
      <c r="HF41" t="s">
        <v>140</v>
      </c>
      <c r="HG41">
        <v>1988</v>
      </c>
      <c r="HH41" t="str">
        <f>VLOOKUP(AnalizaCzyste[[#This Row],[Rok urodzenia]],KategorieWiekowe[],2,1)</f>
        <v>26–35 lat</v>
      </c>
      <c r="HI41" t="s">
        <v>246</v>
      </c>
      <c r="HK41" t="s">
        <v>789</v>
      </c>
      <c r="HM41" t="s">
        <v>790</v>
      </c>
    </row>
    <row r="42" spans="1:221" x14ac:dyDescent="0.45">
      <c r="A42">
        <v>77</v>
      </c>
      <c r="B42">
        <f>_xlfn.IFNA(VLOOKUP(AnalizaCzyste[[#This Row],[Zakończono wypełnianie]],Zakończone[],2,0),"BRAK")</f>
        <v>43</v>
      </c>
      <c r="C42">
        <f t="shared" si="1"/>
        <v>39</v>
      </c>
      <c r="D42" t="s">
        <v>773</v>
      </c>
      <c r="E42" t="s">
        <v>118</v>
      </c>
      <c r="F42" t="s">
        <v>774</v>
      </c>
      <c r="J42" t="s">
        <v>119</v>
      </c>
      <c r="K42" t="s">
        <v>791</v>
      </c>
      <c r="L42" t="s">
        <v>792</v>
      </c>
      <c r="M42">
        <v>333</v>
      </c>
      <c r="O42">
        <v>0</v>
      </c>
      <c r="P42" t="s">
        <v>122</v>
      </c>
      <c r="Q42" s="1" t="s">
        <v>123</v>
      </c>
      <c r="AG42" s="1" t="s">
        <v>124</v>
      </c>
      <c r="AH42" t="s">
        <v>223</v>
      </c>
      <c r="AI42" t="str">
        <f>VLOOKUP(AnalizaCzyste[[#This Row],[Jak się nazywa uczelnia którą ukończyłeś? (proszę o wybranie jednej uczelni podlegającej ocenie)]],KategorieUczelni[],2,0)</f>
        <v>Publiczna</v>
      </c>
      <c r="AJ42" t="str">
        <f>VLOOKUP(AnalizaCzyste[[#This Row],[Jak się nazywa uczelnia którą ukończyłeś? (proszę o wybranie jednej uczelni podlegającej ocenie)]],KategorieUczelni[],3,0)</f>
        <v>Nietechniczna</v>
      </c>
      <c r="AK42">
        <f>COUNTIF(AnalizaCzyste[[#This Row],[Czy jesteś absolwentem uczelni wyższej?]],"*"&amp;"Tak"&amp;"*")</f>
        <v>1</v>
      </c>
      <c r="AL42">
        <v>2012</v>
      </c>
      <c r="AM42" t="s">
        <v>148</v>
      </c>
      <c r="AN42" t="s">
        <v>793</v>
      </c>
      <c r="AO42" t="s">
        <v>151</v>
      </c>
      <c r="AP42" t="s">
        <v>151</v>
      </c>
      <c r="AQ42" t="s">
        <v>129</v>
      </c>
      <c r="AR42" t="s">
        <v>129</v>
      </c>
      <c r="AS42" t="s">
        <v>128</v>
      </c>
      <c r="AT42">
        <v>3</v>
      </c>
      <c r="AU42" t="s">
        <v>131</v>
      </c>
      <c r="AV42">
        <f>VLOOKUP(AnalizaCzyste[[#This Row],[w pierwszym roku po ukończeniu studiów : wybierz wartość z listy rozwijanej4]],Zarobki[],2,0)</f>
        <v>1500</v>
      </c>
      <c r="AW42" t="s">
        <v>302</v>
      </c>
      <c r="AX42">
        <f>VLOOKUP(AnalizaCzyste[[#This Row],[w 3 lata po ukończeniu studiów : wybierz wartość z listy rozwijanej5]],Zarobki[],2,0)</f>
        <v>2500</v>
      </c>
      <c r="AY42" t="s">
        <v>386</v>
      </c>
      <c r="AZ42" t="s">
        <v>794</v>
      </c>
      <c r="BA42" t="s">
        <v>780</v>
      </c>
      <c r="BB42" t="s">
        <v>157</v>
      </c>
      <c r="BD42" s="1" t="s">
        <v>123</v>
      </c>
      <c r="CX42" s="1" t="s">
        <v>123</v>
      </c>
      <c r="DH42" s="1" t="s">
        <v>123</v>
      </c>
      <c r="DR42" s="1" t="s">
        <v>123</v>
      </c>
      <c r="EU42" s="1" t="s">
        <v>123</v>
      </c>
      <c r="FU42" s="1" t="s">
        <v>123</v>
      </c>
      <c r="FV42" t="s">
        <v>132</v>
      </c>
      <c r="HC42" t="s">
        <v>786</v>
      </c>
      <c r="HD42" t="s">
        <v>787</v>
      </c>
      <c r="HE42" t="s">
        <v>788</v>
      </c>
      <c r="HF42" t="s">
        <v>186</v>
      </c>
      <c r="HG42">
        <v>1987</v>
      </c>
      <c r="HH42" t="str">
        <f>VLOOKUP(AnalizaCzyste[[#This Row],[Rok urodzenia]],KategorieWiekowe[],2,1)</f>
        <v>26–35 lat</v>
      </c>
      <c r="HI42" t="s">
        <v>141</v>
      </c>
      <c r="HK42" t="s">
        <v>795</v>
      </c>
    </row>
    <row r="43" spans="1:221" x14ac:dyDescent="0.45">
      <c r="A43">
        <v>78</v>
      </c>
      <c r="B43">
        <f>_xlfn.IFNA(VLOOKUP(AnalizaCzyste[[#This Row],[Zakończono wypełnianie]],Zakończone[],2,0),"BRAK")</f>
        <v>44</v>
      </c>
      <c r="C43">
        <f t="shared" si="1"/>
        <v>40</v>
      </c>
      <c r="D43" t="s">
        <v>796</v>
      </c>
      <c r="E43" t="s">
        <v>118</v>
      </c>
      <c r="F43" t="s">
        <v>797</v>
      </c>
      <c r="J43" t="s">
        <v>119</v>
      </c>
      <c r="K43" t="s">
        <v>798</v>
      </c>
      <c r="L43" t="s">
        <v>799</v>
      </c>
      <c r="M43">
        <v>2364</v>
      </c>
      <c r="O43">
        <v>0</v>
      </c>
      <c r="P43" t="s">
        <v>122</v>
      </c>
      <c r="Q43" s="1" t="s">
        <v>123</v>
      </c>
      <c r="AG43" s="1" t="s">
        <v>124</v>
      </c>
      <c r="AH43" t="s">
        <v>800</v>
      </c>
      <c r="AI43" t="str">
        <f>VLOOKUP(AnalizaCzyste[[#This Row],[Jak się nazywa uczelnia którą ukończyłeś? (proszę o wybranie jednej uczelni podlegającej ocenie)]],KategorieUczelni[],2,0)</f>
        <v>Publiczna</v>
      </c>
      <c r="AJ43" t="str">
        <f>VLOOKUP(AnalizaCzyste[[#This Row],[Jak się nazywa uczelnia którą ukończyłeś? (proszę o wybranie jednej uczelni podlegającej ocenie)]],KategorieUczelni[],3,0)</f>
        <v>Nietechniczna</v>
      </c>
      <c r="AK43">
        <f>COUNTIF(AnalizaCzyste[[#This Row],[Czy jesteś absolwentem uczelni wyższej?]],"*"&amp;"Tak"&amp;"*")</f>
        <v>1</v>
      </c>
      <c r="AL43">
        <v>2002</v>
      </c>
      <c r="AM43" t="s">
        <v>126</v>
      </c>
      <c r="AN43" t="s">
        <v>801</v>
      </c>
      <c r="AO43" t="s">
        <v>150</v>
      </c>
      <c r="AP43" t="s">
        <v>162</v>
      </c>
      <c r="AQ43" t="s">
        <v>151</v>
      </c>
      <c r="AR43" t="s">
        <v>129</v>
      </c>
      <c r="AS43" t="s">
        <v>236</v>
      </c>
      <c r="AT43">
        <v>3</v>
      </c>
      <c r="AU43" t="s">
        <v>152</v>
      </c>
      <c r="AV43">
        <f>VLOOKUP(AnalizaCzyste[[#This Row],[w pierwszym roku po ukończeniu studiów : wybierz wartość z listy rozwijanej4]],Zarobki[],2,0)</f>
        <v>500</v>
      </c>
      <c r="AW43" t="s">
        <v>152</v>
      </c>
      <c r="AX43">
        <f>VLOOKUP(AnalizaCzyste[[#This Row],[w 3 lata po ukończeniu studiów : wybierz wartość z listy rozwijanej5]],Zarobki[],2,0)</f>
        <v>500</v>
      </c>
      <c r="AY43" t="s">
        <v>802</v>
      </c>
      <c r="AZ43" t="s">
        <v>803</v>
      </c>
      <c r="BA43" t="s">
        <v>804</v>
      </c>
      <c r="BB43" t="s">
        <v>157</v>
      </c>
      <c r="BD43" s="1" t="s">
        <v>123</v>
      </c>
      <c r="CX43" s="1" t="s">
        <v>123</v>
      </c>
      <c r="DH43" s="1" t="s">
        <v>123</v>
      </c>
      <c r="DR43" s="1" t="s">
        <v>123</v>
      </c>
      <c r="EU43" s="1" t="s">
        <v>123</v>
      </c>
      <c r="FU43" s="1" t="s">
        <v>123</v>
      </c>
      <c r="FV43" t="s">
        <v>132</v>
      </c>
      <c r="HC43" t="s">
        <v>805</v>
      </c>
      <c r="HD43" t="s">
        <v>806</v>
      </c>
      <c r="HE43" t="s">
        <v>807</v>
      </c>
      <c r="HF43" t="s">
        <v>140</v>
      </c>
      <c r="HG43">
        <v>1978</v>
      </c>
      <c r="HH43" t="str">
        <f>VLOOKUP(AnalizaCzyste[[#This Row],[Rok urodzenia]],KategorieWiekowe[],2,1)</f>
        <v>36–45 lat</v>
      </c>
      <c r="HI43" t="s">
        <v>141</v>
      </c>
      <c r="HK43" t="s">
        <v>386</v>
      </c>
      <c r="HL43" t="s">
        <v>386</v>
      </c>
    </row>
    <row r="44" spans="1:221" x14ac:dyDescent="0.45">
      <c r="A44">
        <v>80</v>
      </c>
      <c r="B44">
        <f>_xlfn.IFNA(VLOOKUP(AnalizaCzyste[[#This Row],[Zakończono wypełnianie]],Zakończone[],2,0),"BRAK")</f>
        <v>45</v>
      </c>
      <c r="C44">
        <f t="shared" si="1"/>
        <v>41</v>
      </c>
      <c r="D44" t="s">
        <v>370</v>
      </c>
      <c r="E44" t="s">
        <v>118</v>
      </c>
      <c r="F44" t="s">
        <v>774</v>
      </c>
      <c r="J44" t="s">
        <v>119</v>
      </c>
      <c r="K44" t="s">
        <v>811</v>
      </c>
      <c r="L44" t="s">
        <v>812</v>
      </c>
      <c r="M44">
        <v>1671</v>
      </c>
      <c r="O44">
        <v>0</v>
      </c>
      <c r="P44" t="s">
        <v>122</v>
      </c>
      <c r="Q44" s="1" t="s">
        <v>123</v>
      </c>
      <c r="AG44" s="1" t="s">
        <v>124</v>
      </c>
      <c r="AH44" t="s">
        <v>813</v>
      </c>
      <c r="AI44" t="str">
        <f>VLOOKUP(AnalizaCzyste[[#This Row],[Jak się nazywa uczelnia którą ukończyłeś? (proszę o wybranie jednej uczelni podlegającej ocenie)]],KategorieUczelni[],2,0)</f>
        <v>Publiczna</v>
      </c>
      <c r="AJ44" t="str">
        <f>VLOOKUP(AnalizaCzyste[[#This Row],[Jak się nazywa uczelnia którą ukończyłeś? (proszę o wybranie jednej uczelni podlegającej ocenie)]],KategorieUczelni[],3,0)</f>
        <v>Nietechniczna</v>
      </c>
      <c r="AK44">
        <f>COUNTIF(AnalizaCzyste[[#This Row],[Czy jesteś absolwentem uczelni wyższej?]],"*"&amp;"Tak"&amp;"*")</f>
        <v>1</v>
      </c>
      <c r="AL44">
        <v>1956</v>
      </c>
      <c r="AM44" t="s">
        <v>148</v>
      </c>
      <c r="AN44" t="s">
        <v>601</v>
      </c>
      <c r="AO44" t="s">
        <v>162</v>
      </c>
      <c r="AP44" t="s">
        <v>162</v>
      </c>
      <c r="AQ44" t="s">
        <v>150</v>
      </c>
      <c r="AR44" t="s">
        <v>236</v>
      </c>
      <c r="AS44" t="s">
        <v>236</v>
      </c>
      <c r="AT44" t="s">
        <v>814</v>
      </c>
      <c r="AU44" t="s">
        <v>131</v>
      </c>
      <c r="AV44">
        <f>VLOOKUP(AnalizaCzyste[[#This Row],[w pierwszym roku po ukończeniu studiów : wybierz wartość z listy rozwijanej4]],Zarobki[],2,0)</f>
        <v>1500</v>
      </c>
      <c r="AW44" t="s">
        <v>131</v>
      </c>
      <c r="AX44">
        <f>VLOOKUP(AnalizaCzyste[[#This Row],[w 3 lata po ukończeniu studiów : wybierz wartość z listy rozwijanej5]],Zarobki[],2,0)</f>
        <v>1500</v>
      </c>
      <c r="AZ44" t="s">
        <v>815</v>
      </c>
      <c r="BA44" t="s">
        <v>816</v>
      </c>
      <c r="BB44" t="s">
        <v>172</v>
      </c>
      <c r="BC44" t="s">
        <v>817</v>
      </c>
      <c r="BD44" s="1" t="s">
        <v>123</v>
      </c>
      <c r="CX44" s="1" t="s">
        <v>123</v>
      </c>
      <c r="DH44" s="1" t="s">
        <v>123</v>
      </c>
      <c r="DR44" s="1" t="s">
        <v>123</v>
      </c>
      <c r="EU44" s="1" t="s">
        <v>123</v>
      </c>
      <c r="EV44" t="s">
        <v>180</v>
      </c>
      <c r="EW44" t="s">
        <v>132</v>
      </c>
      <c r="FU44" s="1" t="s">
        <v>123</v>
      </c>
      <c r="FV44" t="s">
        <v>132</v>
      </c>
      <c r="FX44" t="s">
        <v>132</v>
      </c>
      <c r="HC44" t="s">
        <v>818</v>
      </c>
      <c r="HD44" t="s">
        <v>819</v>
      </c>
      <c r="HE44" t="s">
        <v>820</v>
      </c>
      <c r="HF44" t="s">
        <v>140</v>
      </c>
      <c r="HG44">
        <v>1933</v>
      </c>
      <c r="HH44" t="str">
        <f>VLOOKUP(AnalizaCzyste[[#This Row],[Rok urodzenia]],KategorieWiekowe[],2,1)</f>
        <v>powyżej 65 lat</v>
      </c>
      <c r="HI44" t="s">
        <v>220</v>
      </c>
    </row>
    <row r="45" spans="1:221" x14ac:dyDescent="0.45">
      <c r="A45">
        <v>81</v>
      </c>
      <c r="B45">
        <f>_xlfn.IFNA(VLOOKUP(AnalizaCzyste[[#This Row],[Zakończono wypełnianie]],Zakończone[],2,0),"BRAK")</f>
        <v>46</v>
      </c>
      <c r="C45">
        <f t="shared" si="1"/>
        <v>37</v>
      </c>
      <c r="D45" t="s">
        <v>370</v>
      </c>
      <c r="E45" t="s">
        <v>118</v>
      </c>
      <c r="F45" t="s">
        <v>774</v>
      </c>
      <c r="J45" t="s">
        <v>119</v>
      </c>
      <c r="K45" t="s">
        <v>821</v>
      </c>
      <c r="L45" t="s">
        <v>822</v>
      </c>
      <c r="M45">
        <v>3447</v>
      </c>
      <c r="O45">
        <v>0</v>
      </c>
      <c r="P45" t="s">
        <v>122</v>
      </c>
      <c r="Q45" s="1" t="s">
        <v>123</v>
      </c>
      <c r="AG45" s="1" t="s">
        <v>124</v>
      </c>
      <c r="AH45" t="s">
        <v>813</v>
      </c>
      <c r="AI45" t="str">
        <f>VLOOKUP(AnalizaCzyste[[#This Row],[Jak się nazywa uczelnia którą ukończyłeś? (proszę o wybranie jednej uczelni podlegającej ocenie)]],KategorieUczelni[],2,0)</f>
        <v>Publiczna</v>
      </c>
      <c r="AJ45" t="str">
        <f>VLOOKUP(AnalizaCzyste[[#This Row],[Jak się nazywa uczelnia którą ukończyłeś? (proszę o wybranie jednej uczelni podlegającej ocenie)]],KategorieUczelni[],3,0)</f>
        <v>Nietechniczna</v>
      </c>
      <c r="AK45">
        <f>COUNTIF(AnalizaCzyste[[#This Row],[Czy jesteś absolwentem uczelni wyższej?]],"*"&amp;"Tak"&amp;"*")</f>
        <v>1</v>
      </c>
      <c r="AL45">
        <v>1960</v>
      </c>
      <c r="AM45" t="s">
        <v>148</v>
      </c>
      <c r="AN45" t="s">
        <v>823</v>
      </c>
      <c r="AO45" t="s">
        <v>150</v>
      </c>
      <c r="AP45" t="s">
        <v>150</v>
      </c>
      <c r="AQ45" t="s">
        <v>151</v>
      </c>
      <c r="AR45" t="s">
        <v>236</v>
      </c>
      <c r="AS45" t="s">
        <v>236</v>
      </c>
      <c r="AT45" t="s">
        <v>814</v>
      </c>
      <c r="AU45" t="s">
        <v>131</v>
      </c>
      <c r="AV45">
        <f>VLOOKUP(AnalizaCzyste[[#This Row],[w pierwszym roku po ukończeniu studiów : wybierz wartość z listy rozwijanej4]],Zarobki[],2,0)</f>
        <v>1500</v>
      </c>
      <c r="AW45" t="s">
        <v>131</v>
      </c>
      <c r="AX45">
        <f>VLOOKUP(AnalizaCzyste[[#This Row],[w 3 lata po ukończeniu studiów : wybierz wartość z listy rozwijanej5]],Zarobki[],2,0)</f>
        <v>1500</v>
      </c>
      <c r="AZ45" t="s">
        <v>824</v>
      </c>
      <c r="BA45" t="s">
        <v>825</v>
      </c>
      <c r="BB45" t="s">
        <v>157</v>
      </c>
      <c r="BD45" s="1" t="s">
        <v>123</v>
      </c>
      <c r="CX45" s="1" t="s">
        <v>123</v>
      </c>
      <c r="DH45" s="1" t="s">
        <v>123</v>
      </c>
      <c r="DR45" s="1" t="s">
        <v>123</v>
      </c>
      <c r="EU45" s="1" t="s">
        <v>123</v>
      </c>
      <c r="FU45" s="1" t="s">
        <v>123</v>
      </c>
      <c r="FV45" t="s">
        <v>132</v>
      </c>
      <c r="HC45" t="s">
        <v>826</v>
      </c>
      <c r="HD45" t="s">
        <v>824</v>
      </c>
      <c r="HE45" t="s">
        <v>827</v>
      </c>
      <c r="HF45" t="s">
        <v>186</v>
      </c>
      <c r="HG45">
        <v>1934</v>
      </c>
      <c r="HH45" t="str">
        <f>VLOOKUP(AnalizaCzyste[[#This Row],[Rok urodzenia]],KategorieWiekowe[],2,1)</f>
        <v>powyżej 65 lat</v>
      </c>
      <c r="HI45" t="s">
        <v>220</v>
      </c>
    </row>
    <row r="46" spans="1:221" hidden="1" x14ac:dyDescent="0.45">
      <c r="A46">
        <v>82</v>
      </c>
      <c r="B46">
        <f>_xlfn.IFNA(VLOOKUP(AnalizaCzyste[[#This Row],[Zakończono wypełnianie]],Zakończone[],2,0),"BRAK")</f>
        <v>47</v>
      </c>
      <c r="C46">
        <f t="shared" si="1"/>
        <v>34</v>
      </c>
      <c r="D46" t="s">
        <v>828</v>
      </c>
      <c r="E46" t="s">
        <v>118</v>
      </c>
      <c r="J46" t="s">
        <v>119</v>
      </c>
      <c r="K46" t="s">
        <v>829</v>
      </c>
      <c r="L46" t="s">
        <v>830</v>
      </c>
      <c r="M46">
        <v>3349</v>
      </c>
      <c r="O46">
        <v>0</v>
      </c>
      <c r="P46" t="s">
        <v>122</v>
      </c>
      <c r="Q46" s="1" t="s">
        <v>123</v>
      </c>
      <c r="AG46" s="1" t="s">
        <v>123</v>
      </c>
      <c r="AI46" t="e">
        <f>VLOOKUP(AnalizaCzyste[[#This Row],[Jak się nazywa uczelnia którą ukończyłeś? (proszę o wybranie jednej uczelni podlegającej ocenie)]],KategorieUczelni[],2,0)</f>
        <v>#N/A</v>
      </c>
      <c r="AJ46" t="e">
        <f>VLOOKUP(AnalizaCzyste[[#This Row],[Jak się nazywa uczelnia którą ukończyłeś? (proszę o wybranie jednej uczelni podlegającej ocenie)]],KategorieUczelni[],3,0)</f>
        <v>#N/A</v>
      </c>
      <c r="AK46">
        <f>COUNTIF(AnalizaCzyste[[#This Row],[Czy jesteś absolwentem uczelni wyższej?]],"*"&amp;"Tak"&amp;"*")</f>
        <v>0</v>
      </c>
      <c r="AV46" t="e">
        <f>VLOOKUP(AnalizaCzyste[[#This Row],[w pierwszym roku po ukończeniu studiów : wybierz wartość z listy rozwijanej4]],Zarobki[],2,0)</f>
        <v>#N/A</v>
      </c>
      <c r="AX46" t="e">
        <f>VLOOKUP(AnalizaCzyste[[#This Row],[w 3 lata po ukończeniu studiów : wybierz wartość z listy rozwijanej5]],Zarobki[],2,0)</f>
        <v>#N/A</v>
      </c>
      <c r="BD46" s="1" t="s">
        <v>123</v>
      </c>
      <c r="CX46" s="1" t="s">
        <v>123</v>
      </c>
      <c r="DH46" s="1" t="s">
        <v>123</v>
      </c>
      <c r="DR46" s="1" t="s">
        <v>123</v>
      </c>
      <c r="EU46" s="1" t="s">
        <v>177</v>
      </c>
      <c r="EV46" t="s">
        <v>178</v>
      </c>
      <c r="EW46">
        <v>1</v>
      </c>
      <c r="EX46" t="s">
        <v>191</v>
      </c>
      <c r="EY46" t="s">
        <v>162</v>
      </c>
      <c r="EZ46" t="s">
        <v>162</v>
      </c>
      <c r="FA46" t="s">
        <v>128</v>
      </c>
      <c r="FB46" t="s">
        <v>178</v>
      </c>
      <c r="FC46" t="s">
        <v>831</v>
      </c>
      <c r="FD46" t="s">
        <v>832</v>
      </c>
      <c r="FE46" t="s">
        <v>173</v>
      </c>
      <c r="FU46" s="1" t="s">
        <v>123</v>
      </c>
      <c r="FV46" t="s">
        <v>132</v>
      </c>
      <c r="FX46" t="s">
        <v>132</v>
      </c>
      <c r="HC46" t="s">
        <v>833</v>
      </c>
      <c r="HD46" t="s">
        <v>834</v>
      </c>
      <c r="HE46" t="s">
        <v>835</v>
      </c>
      <c r="HF46" t="s">
        <v>140</v>
      </c>
      <c r="HG46">
        <v>1977</v>
      </c>
      <c r="HH46" t="str">
        <f>VLOOKUP(AnalizaCzyste[[#This Row],[Rok urodzenia]],KategorieWiekowe[],2,1)</f>
        <v>36–45 lat</v>
      </c>
      <c r="HI46" t="s">
        <v>398</v>
      </c>
      <c r="HK46" t="s">
        <v>836</v>
      </c>
    </row>
    <row r="47" spans="1:221" x14ac:dyDescent="0.45">
      <c r="A47">
        <v>83</v>
      </c>
      <c r="B47">
        <f>_xlfn.IFNA(VLOOKUP(AnalizaCzyste[[#This Row],[Zakończono wypełnianie]],Zakończone[],2,0),"BRAK")</f>
        <v>48</v>
      </c>
      <c r="C47">
        <f t="shared" si="1"/>
        <v>81</v>
      </c>
      <c r="D47" t="s">
        <v>837</v>
      </c>
      <c r="E47" t="s">
        <v>118</v>
      </c>
      <c r="J47" t="s">
        <v>119</v>
      </c>
      <c r="K47" t="s">
        <v>838</v>
      </c>
      <c r="L47" t="s">
        <v>839</v>
      </c>
      <c r="M47">
        <v>3312</v>
      </c>
      <c r="O47">
        <v>0</v>
      </c>
      <c r="P47" t="s">
        <v>122</v>
      </c>
      <c r="Q47" s="1" t="s">
        <v>123</v>
      </c>
      <c r="AG47" s="1" t="s">
        <v>124</v>
      </c>
      <c r="AH47" s="20" t="s">
        <v>191</v>
      </c>
      <c r="AI47" s="20" t="str">
        <f>VLOOKUP(AnalizaCzyste[[#This Row],[Jak się nazywa uczelnia którą ukończyłeś? (proszę o wybranie jednej uczelni podlegającej ocenie)]],KategorieUczelni[],2,0)</f>
        <v>Publiczna</v>
      </c>
      <c r="AJ47" s="20" t="str">
        <f>VLOOKUP(AnalizaCzyste[[#This Row],[Jak się nazywa uczelnia którą ukończyłeś? (proszę o wybranie jednej uczelni podlegającej ocenie)]],KategorieUczelni[],3,0)</f>
        <v>Techniczna</v>
      </c>
      <c r="AK47" s="20">
        <f>COUNTIF(AnalizaCzyste[[#This Row],[Czy jesteś absolwentem uczelni wyższej?]],"*"&amp;"Tak"&amp;"*")</f>
        <v>1</v>
      </c>
      <c r="AL47">
        <v>1978</v>
      </c>
      <c r="AM47" t="s">
        <v>126</v>
      </c>
      <c r="AN47" t="s">
        <v>841</v>
      </c>
      <c r="AO47" t="s">
        <v>169</v>
      </c>
      <c r="AP47" t="s">
        <v>169</v>
      </c>
      <c r="AQ47" t="s">
        <v>151</v>
      </c>
      <c r="AR47" t="s">
        <v>150</v>
      </c>
      <c r="AS47" t="s">
        <v>150</v>
      </c>
      <c r="AT47">
        <v>2</v>
      </c>
      <c r="AU47" t="s">
        <v>302</v>
      </c>
      <c r="AV47">
        <f>VLOOKUP(AnalizaCzyste[[#This Row],[w pierwszym roku po ukończeniu studiów : wybierz wartość z listy rozwijanej4]],Zarobki[],2,0)</f>
        <v>2500</v>
      </c>
      <c r="AW47" t="s">
        <v>226</v>
      </c>
      <c r="AX47">
        <f>VLOOKUP(AnalizaCzyste[[#This Row],[w 3 lata po ukończeniu studiów : wybierz wartość z listy rozwijanej5]],Zarobki[],2,0)</f>
        <v>4500</v>
      </c>
      <c r="AY47" t="s">
        <v>842</v>
      </c>
      <c r="AZ47" t="s">
        <v>843</v>
      </c>
      <c r="BA47" t="s">
        <v>386</v>
      </c>
      <c r="BB47" t="s">
        <v>157</v>
      </c>
      <c r="BD47" s="1" t="s">
        <v>159</v>
      </c>
      <c r="BE47">
        <v>2</v>
      </c>
      <c r="BF47" t="s">
        <v>191</v>
      </c>
      <c r="BG47">
        <v>2005</v>
      </c>
      <c r="BH47" t="s">
        <v>126</v>
      </c>
      <c r="BI47" t="s">
        <v>844</v>
      </c>
      <c r="BJ47" t="s">
        <v>150</v>
      </c>
      <c r="BK47" t="s">
        <v>150</v>
      </c>
      <c r="BL47" t="s">
        <v>169</v>
      </c>
      <c r="BM47" t="s">
        <v>162</v>
      </c>
      <c r="BN47" t="s">
        <v>162</v>
      </c>
      <c r="BO47">
        <v>3</v>
      </c>
      <c r="BP47" t="s">
        <v>845</v>
      </c>
      <c r="BQ47" t="s">
        <v>157</v>
      </c>
      <c r="BS47" t="s">
        <v>148</v>
      </c>
      <c r="BT47" t="s">
        <v>166</v>
      </c>
      <c r="BU47" t="s">
        <v>191</v>
      </c>
      <c r="BV47">
        <v>2007</v>
      </c>
      <c r="BW47" t="s">
        <v>126</v>
      </c>
      <c r="BX47" t="s">
        <v>844</v>
      </c>
      <c r="BY47" t="s">
        <v>150</v>
      </c>
      <c r="BZ47" t="s">
        <v>150</v>
      </c>
      <c r="CA47" t="s">
        <v>150</v>
      </c>
      <c r="CB47" t="s">
        <v>162</v>
      </c>
      <c r="CC47" t="s">
        <v>162</v>
      </c>
      <c r="CD47">
        <v>3</v>
      </c>
      <c r="CE47" t="s">
        <v>148</v>
      </c>
      <c r="CF47" t="s">
        <v>157</v>
      </c>
      <c r="CH47" t="s">
        <v>148</v>
      </c>
      <c r="CI47" t="s">
        <v>173</v>
      </c>
      <c r="CX47" s="1" t="s">
        <v>123</v>
      </c>
      <c r="DH47" s="1" t="s">
        <v>214</v>
      </c>
      <c r="DI47" t="s">
        <v>2275</v>
      </c>
      <c r="DJ47" t="s">
        <v>2276</v>
      </c>
      <c r="DK47" t="s">
        <v>150</v>
      </c>
      <c r="DL47" t="s">
        <v>150</v>
      </c>
      <c r="DM47" t="s">
        <v>150</v>
      </c>
      <c r="DN47" t="s">
        <v>150</v>
      </c>
      <c r="DO47" t="s">
        <v>150</v>
      </c>
      <c r="DP47" t="s">
        <v>162</v>
      </c>
      <c r="DQ47" t="s">
        <v>848</v>
      </c>
      <c r="DR47" s="1" t="s">
        <v>123</v>
      </c>
      <c r="EU47" s="1" t="s">
        <v>123</v>
      </c>
      <c r="EV47" t="s">
        <v>180</v>
      </c>
      <c r="EW47" t="s">
        <v>132</v>
      </c>
      <c r="FU47" s="1" t="s">
        <v>123</v>
      </c>
      <c r="FV47" t="s">
        <v>132</v>
      </c>
      <c r="FX47" t="s">
        <v>132</v>
      </c>
      <c r="HC47" t="s">
        <v>849</v>
      </c>
      <c r="HD47" t="s">
        <v>850</v>
      </c>
      <c r="HE47" t="s">
        <v>851</v>
      </c>
      <c r="HF47" t="s">
        <v>186</v>
      </c>
      <c r="HG47">
        <v>1954</v>
      </c>
      <c r="HH47" t="str">
        <f>VLOOKUP(AnalizaCzyste[[#This Row],[Rok urodzenia]],KategorieWiekowe[],2,1)</f>
        <v>powyżej 65 lat</v>
      </c>
      <c r="HI47" t="s">
        <v>141</v>
      </c>
      <c r="HK47" t="s">
        <v>852</v>
      </c>
      <c r="HL47" t="s">
        <v>853</v>
      </c>
    </row>
    <row r="48" spans="1:221" x14ac:dyDescent="0.45">
      <c r="A48">
        <v>84</v>
      </c>
      <c r="B48">
        <f>_xlfn.IFNA(VLOOKUP(AnalizaCzyste[[#This Row],[Zakończono wypełnianie]],Zakończone[],2,0),"BRAK")</f>
        <v>49</v>
      </c>
      <c r="C48">
        <f t="shared" si="1"/>
        <v>55</v>
      </c>
      <c r="D48" t="s">
        <v>854</v>
      </c>
      <c r="E48" t="s">
        <v>118</v>
      </c>
      <c r="J48" t="s">
        <v>119</v>
      </c>
      <c r="K48" t="s">
        <v>855</v>
      </c>
      <c r="L48" t="s">
        <v>856</v>
      </c>
      <c r="M48">
        <v>1349</v>
      </c>
      <c r="O48">
        <v>0</v>
      </c>
      <c r="P48" t="s">
        <v>122</v>
      </c>
      <c r="Q48" s="1" t="s">
        <v>416</v>
      </c>
      <c r="R48" t="s">
        <v>179</v>
      </c>
      <c r="S48" t="s">
        <v>148</v>
      </c>
      <c r="T48" t="s">
        <v>857</v>
      </c>
      <c r="U48" t="s">
        <v>162</v>
      </c>
      <c r="V48" t="s">
        <v>162</v>
      </c>
      <c r="W48" t="s">
        <v>151</v>
      </c>
      <c r="X48" t="s">
        <v>718</v>
      </c>
      <c r="Y48" t="s">
        <v>152</v>
      </c>
      <c r="Z48" t="s">
        <v>759</v>
      </c>
      <c r="AA48" t="s">
        <v>858</v>
      </c>
      <c r="AB48" t="s">
        <v>859</v>
      </c>
      <c r="AC48" t="s">
        <v>860</v>
      </c>
      <c r="AE48" t="s">
        <v>861</v>
      </c>
      <c r="AF48">
        <v>2</v>
      </c>
      <c r="AG48" s="1" t="s">
        <v>124</v>
      </c>
      <c r="AH48" t="s">
        <v>862</v>
      </c>
      <c r="AI48" t="str">
        <f>VLOOKUP(AnalizaCzyste[[#This Row],[Jak się nazywa uczelnia którą ukończyłeś? (proszę o wybranie jednej uczelni podlegającej ocenie)]],KategorieUczelni[],2,0)</f>
        <v>Publiczna</v>
      </c>
      <c r="AJ48" t="str">
        <f>VLOOKUP(AnalizaCzyste[[#This Row],[Jak się nazywa uczelnia którą ukończyłeś? (proszę o wybranie jednej uczelni podlegającej ocenie)]],KategorieUczelni[],3,0)</f>
        <v>Nietechniczna</v>
      </c>
      <c r="AK48">
        <f>COUNTIF(AnalizaCzyste[[#This Row],[Czy jesteś absolwentem uczelni wyższej?]],"*"&amp;"Tak"&amp;"*")</f>
        <v>1</v>
      </c>
      <c r="AL48">
        <v>2019</v>
      </c>
      <c r="AM48" t="s">
        <v>148</v>
      </c>
      <c r="AN48" t="s">
        <v>863</v>
      </c>
      <c r="AO48" t="s">
        <v>150</v>
      </c>
      <c r="AP48" t="s">
        <v>150</v>
      </c>
      <c r="AQ48" t="s">
        <v>169</v>
      </c>
      <c r="AR48" t="s">
        <v>151</v>
      </c>
      <c r="AS48" t="s">
        <v>150</v>
      </c>
      <c r="AT48" t="s">
        <v>864</v>
      </c>
      <c r="AU48" t="s">
        <v>302</v>
      </c>
      <c r="AV48">
        <f>VLOOKUP(AnalizaCzyste[[#This Row],[w pierwszym roku po ukończeniu studiów : wybierz wartość z listy rozwijanej4]],Zarobki[],2,0)</f>
        <v>2500</v>
      </c>
      <c r="AW48" t="s">
        <v>759</v>
      </c>
      <c r="AX48">
        <f>VLOOKUP(AnalizaCzyste[[#This Row],[w 3 lata po ukończeniu studiów : wybierz wartość z listy rozwijanej5]],Zarobki[],2,0)</f>
        <v>5500</v>
      </c>
      <c r="AY48" t="s">
        <v>865</v>
      </c>
      <c r="AZ48" t="s">
        <v>866</v>
      </c>
      <c r="BA48" t="s">
        <v>867</v>
      </c>
      <c r="BB48" t="s">
        <v>157</v>
      </c>
      <c r="BD48" s="1" t="s">
        <v>123</v>
      </c>
      <c r="CX48" s="1" t="s">
        <v>123</v>
      </c>
      <c r="DH48" s="1" t="s">
        <v>123</v>
      </c>
      <c r="DR48" s="1" t="s">
        <v>123</v>
      </c>
      <c r="EU48" s="1" t="s">
        <v>123</v>
      </c>
      <c r="FU48" s="1" t="s">
        <v>123</v>
      </c>
      <c r="FV48" t="s">
        <v>132</v>
      </c>
      <c r="HC48" t="s">
        <v>868</v>
      </c>
      <c r="HD48" t="s">
        <v>869</v>
      </c>
      <c r="HE48" t="s">
        <v>870</v>
      </c>
      <c r="HF48" t="s">
        <v>186</v>
      </c>
      <c r="HG48">
        <v>1991</v>
      </c>
      <c r="HH48" t="str">
        <f>VLOOKUP(AnalizaCzyste[[#This Row],[Rok urodzenia]],KategorieWiekowe[],2,1)</f>
        <v>26–35 lat</v>
      </c>
      <c r="HI48" t="s">
        <v>220</v>
      </c>
      <c r="HJ48" t="s">
        <v>871</v>
      </c>
      <c r="HK48" t="s">
        <v>872</v>
      </c>
      <c r="HL48" t="s">
        <v>386</v>
      </c>
    </row>
    <row r="49" spans="1:220" x14ac:dyDescent="0.45">
      <c r="A49">
        <v>85</v>
      </c>
      <c r="B49">
        <f>_xlfn.IFNA(VLOOKUP(AnalizaCzyste[[#This Row],[Zakończono wypełnianie]],Zakończone[],2,0),"BRAK")</f>
        <v>50</v>
      </c>
      <c r="C49">
        <f t="shared" si="1"/>
        <v>40</v>
      </c>
      <c r="D49" t="s">
        <v>873</v>
      </c>
      <c r="E49" t="s">
        <v>118</v>
      </c>
      <c r="F49" t="s">
        <v>797</v>
      </c>
      <c r="J49" t="s">
        <v>119</v>
      </c>
      <c r="K49" t="s">
        <v>874</v>
      </c>
      <c r="L49" t="s">
        <v>875</v>
      </c>
      <c r="M49">
        <v>1971</v>
      </c>
      <c r="O49">
        <v>0</v>
      </c>
      <c r="P49" t="s">
        <v>122</v>
      </c>
      <c r="Q49" s="1" t="s">
        <v>123</v>
      </c>
      <c r="AG49" s="1" t="s">
        <v>124</v>
      </c>
      <c r="AH49" t="s">
        <v>223</v>
      </c>
      <c r="AI49" t="str">
        <f>VLOOKUP(AnalizaCzyste[[#This Row],[Jak się nazywa uczelnia którą ukończyłeś? (proszę o wybranie jednej uczelni podlegającej ocenie)]],KategorieUczelni[],2,0)</f>
        <v>Publiczna</v>
      </c>
      <c r="AJ49" t="str">
        <f>VLOOKUP(AnalizaCzyste[[#This Row],[Jak się nazywa uczelnia którą ukończyłeś? (proszę o wybranie jednej uczelni podlegającej ocenie)]],KategorieUczelni[],3,0)</f>
        <v>Nietechniczna</v>
      </c>
      <c r="AK49">
        <f>COUNTIF(AnalizaCzyste[[#This Row],[Czy jesteś absolwentem uczelni wyższej?]],"*"&amp;"Tak"&amp;"*")</f>
        <v>1</v>
      </c>
      <c r="AL49">
        <v>2012</v>
      </c>
      <c r="AM49" t="s">
        <v>148</v>
      </c>
      <c r="AN49" t="s">
        <v>876</v>
      </c>
      <c r="AO49" t="s">
        <v>150</v>
      </c>
      <c r="AP49" t="s">
        <v>162</v>
      </c>
      <c r="AQ49" t="s">
        <v>128</v>
      </c>
      <c r="AR49" t="s">
        <v>236</v>
      </c>
      <c r="AS49" t="s">
        <v>151</v>
      </c>
      <c r="AT49">
        <v>2</v>
      </c>
      <c r="AU49" t="s">
        <v>131</v>
      </c>
      <c r="AV49">
        <f>VLOOKUP(AnalizaCzyste[[#This Row],[w pierwszym roku po ukończeniu studiów : wybierz wartość z listy rozwijanej4]],Zarobki[],2,0)</f>
        <v>1500</v>
      </c>
      <c r="AW49" t="s">
        <v>153</v>
      </c>
      <c r="AX49">
        <f>VLOOKUP(AnalizaCzyste[[#This Row],[w 3 lata po ukończeniu studiów : wybierz wartość z listy rozwijanej5]],Zarobki[],2,0)</f>
        <v>3500</v>
      </c>
      <c r="AY49" t="s">
        <v>877</v>
      </c>
      <c r="AZ49" t="s">
        <v>532</v>
      </c>
      <c r="BA49" t="s">
        <v>532</v>
      </c>
      <c r="BB49" t="s">
        <v>157</v>
      </c>
      <c r="BC49" t="s">
        <v>878</v>
      </c>
      <c r="BD49" s="1" t="s">
        <v>123</v>
      </c>
      <c r="CX49" s="1" t="s">
        <v>123</v>
      </c>
      <c r="DH49" s="1" t="s">
        <v>123</v>
      </c>
      <c r="DR49" s="1" t="s">
        <v>123</v>
      </c>
      <c r="EU49" s="1" t="s">
        <v>123</v>
      </c>
      <c r="FU49" s="1" t="s">
        <v>123</v>
      </c>
      <c r="FV49" t="s">
        <v>132</v>
      </c>
      <c r="HC49" t="s">
        <v>532</v>
      </c>
      <c r="HD49" t="s">
        <v>532</v>
      </c>
      <c r="HE49" t="s">
        <v>532</v>
      </c>
      <c r="HF49" t="s">
        <v>186</v>
      </c>
      <c r="HG49">
        <v>1988</v>
      </c>
      <c r="HH49" t="str">
        <f>VLOOKUP(AnalizaCzyste[[#This Row],[Rok urodzenia]],KategorieWiekowe[],2,1)</f>
        <v>26–35 lat</v>
      </c>
      <c r="HI49" t="s">
        <v>246</v>
      </c>
      <c r="HL49" t="s">
        <v>879</v>
      </c>
    </row>
    <row r="50" spans="1:220" x14ac:dyDescent="0.45">
      <c r="A50">
        <v>86</v>
      </c>
      <c r="B50">
        <f>_xlfn.IFNA(VLOOKUP(AnalizaCzyste[[#This Row],[Zakończono wypełnianie]],Zakończone[],2,0),"BRAK")</f>
        <v>51</v>
      </c>
      <c r="C50">
        <f t="shared" si="1"/>
        <v>49</v>
      </c>
      <c r="D50" t="s">
        <v>873</v>
      </c>
      <c r="E50" t="s">
        <v>118</v>
      </c>
      <c r="F50" t="s">
        <v>797</v>
      </c>
      <c r="J50" t="s">
        <v>119</v>
      </c>
      <c r="K50" t="s">
        <v>880</v>
      </c>
      <c r="L50" t="s">
        <v>881</v>
      </c>
      <c r="M50">
        <v>2138</v>
      </c>
      <c r="O50">
        <v>0</v>
      </c>
      <c r="P50" t="s">
        <v>122</v>
      </c>
      <c r="Q50" s="1" t="s">
        <v>123</v>
      </c>
      <c r="AG50" s="1" t="s">
        <v>124</v>
      </c>
      <c r="AH50" t="s">
        <v>191</v>
      </c>
      <c r="AI50" t="str">
        <f>VLOOKUP(AnalizaCzyste[[#This Row],[Jak się nazywa uczelnia którą ukończyłeś? (proszę o wybranie jednej uczelni podlegającej ocenie)]],KategorieUczelni[],2,0)</f>
        <v>Publiczna</v>
      </c>
      <c r="AJ50" t="str">
        <f>VLOOKUP(AnalizaCzyste[[#This Row],[Jak się nazywa uczelnia którą ukończyłeś? (proszę o wybranie jednej uczelni podlegającej ocenie)]],KategorieUczelni[],3,0)</f>
        <v>Techniczna</v>
      </c>
      <c r="AK50">
        <f>COUNTIF(AnalizaCzyste[[#This Row],[Czy jesteś absolwentem uczelni wyższej?]],"*"&amp;"Tak"&amp;"*")</f>
        <v>1</v>
      </c>
      <c r="AL50">
        <v>2005</v>
      </c>
      <c r="AM50" t="s">
        <v>126</v>
      </c>
      <c r="AN50" t="s">
        <v>882</v>
      </c>
      <c r="AO50" t="s">
        <v>162</v>
      </c>
      <c r="AP50" t="s">
        <v>162</v>
      </c>
      <c r="AQ50" t="s">
        <v>162</v>
      </c>
      <c r="AR50" t="s">
        <v>236</v>
      </c>
      <c r="AS50" t="s">
        <v>128</v>
      </c>
      <c r="AT50" t="s">
        <v>883</v>
      </c>
      <c r="AU50" t="s">
        <v>131</v>
      </c>
      <c r="AV50">
        <f>VLOOKUP(AnalizaCzyste[[#This Row],[w pierwszym roku po ukończeniu studiów : wybierz wartość z listy rozwijanej4]],Zarobki[],2,0)</f>
        <v>1500</v>
      </c>
      <c r="AW50" t="s">
        <v>302</v>
      </c>
      <c r="AX50">
        <f>VLOOKUP(AnalizaCzyste[[#This Row],[w 3 lata po ukończeniu studiów : wybierz wartość z listy rozwijanej5]],Zarobki[],2,0)</f>
        <v>2500</v>
      </c>
      <c r="AY50" t="s">
        <v>884</v>
      </c>
      <c r="AZ50" t="s">
        <v>532</v>
      </c>
      <c r="BA50" t="s">
        <v>532</v>
      </c>
      <c r="BB50" t="s">
        <v>157</v>
      </c>
      <c r="BC50" t="s">
        <v>878</v>
      </c>
      <c r="BD50" s="1" t="s">
        <v>123</v>
      </c>
      <c r="CX50" s="1" t="s">
        <v>123</v>
      </c>
      <c r="DH50" s="1" t="s">
        <v>123</v>
      </c>
      <c r="DR50" s="1" t="s">
        <v>123</v>
      </c>
      <c r="EU50" s="1" t="s">
        <v>177</v>
      </c>
      <c r="EV50" t="s">
        <v>178</v>
      </c>
      <c r="EW50">
        <v>1</v>
      </c>
      <c r="EX50" t="s">
        <v>747</v>
      </c>
      <c r="EY50" t="s">
        <v>162</v>
      </c>
      <c r="EZ50" t="s">
        <v>162</v>
      </c>
      <c r="FA50" t="s">
        <v>151</v>
      </c>
      <c r="FB50" t="s">
        <v>178</v>
      </c>
      <c r="FC50" t="s">
        <v>885</v>
      </c>
      <c r="FD50" t="s">
        <v>886</v>
      </c>
      <c r="FE50" t="s">
        <v>173</v>
      </c>
      <c r="FU50" s="1" t="s">
        <v>123</v>
      </c>
      <c r="FV50" t="s">
        <v>132</v>
      </c>
      <c r="HC50" t="s">
        <v>887</v>
      </c>
      <c r="HD50" t="s">
        <v>532</v>
      </c>
      <c r="HE50" t="s">
        <v>532</v>
      </c>
      <c r="HF50" t="s">
        <v>140</v>
      </c>
      <c r="HG50">
        <v>1981</v>
      </c>
      <c r="HH50" t="str">
        <f>VLOOKUP(AnalizaCzyste[[#This Row],[Rok urodzenia]],KategorieWiekowe[],2,1)</f>
        <v>36–45 lat</v>
      </c>
      <c r="HI50" t="s">
        <v>141</v>
      </c>
    </row>
    <row r="51" spans="1:220" x14ac:dyDescent="0.45">
      <c r="A51">
        <v>87</v>
      </c>
      <c r="B51">
        <f>_xlfn.IFNA(VLOOKUP(AnalizaCzyste[[#This Row],[Zakończono wypełnianie]],Zakończone[],2,0),"BRAK")</f>
        <v>52</v>
      </c>
      <c r="C51">
        <f t="shared" si="1"/>
        <v>51</v>
      </c>
      <c r="D51" t="s">
        <v>873</v>
      </c>
      <c r="E51" t="s">
        <v>118</v>
      </c>
      <c r="F51" t="s">
        <v>797</v>
      </c>
      <c r="J51" t="s">
        <v>119</v>
      </c>
      <c r="K51" t="s">
        <v>888</v>
      </c>
      <c r="L51" t="s">
        <v>889</v>
      </c>
      <c r="M51">
        <v>1595</v>
      </c>
      <c r="O51">
        <v>0</v>
      </c>
      <c r="P51" t="s">
        <v>122</v>
      </c>
      <c r="Q51" s="1" t="s">
        <v>123</v>
      </c>
      <c r="AG51" s="1" t="s">
        <v>124</v>
      </c>
      <c r="AH51" s="20" t="s">
        <v>191</v>
      </c>
      <c r="AI51" s="20" t="str">
        <f>VLOOKUP(AnalizaCzyste[[#This Row],[Jak się nazywa uczelnia którą ukończyłeś? (proszę o wybranie jednej uczelni podlegającej ocenie)]],KategorieUczelni[],2,0)</f>
        <v>Publiczna</v>
      </c>
      <c r="AJ51" s="20" t="str">
        <f>VLOOKUP(AnalizaCzyste[[#This Row],[Jak się nazywa uczelnia którą ukończyłeś? (proszę o wybranie jednej uczelni podlegającej ocenie)]],KategorieUczelni[],3,0)</f>
        <v>Techniczna</v>
      </c>
      <c r="AK51" s="20">
        <f>COUNTIF(AnalizaCzyste[[#This Row],[Czy jesteś absolwentem uczelni wyższej?]],"*"&amp;"Tak"&amp;"*")</f>
        <v>1</v>
      </c>
      <c r="AL51">
        <v>1975</v>
      </c>
      <c r="AM51" t="s">
        <v>126</v>
      </c>
      <c r="AN51" t="s">
        <v>890</v>
      </c>
      <c r="AO51" t="s">
        <v>150</v>
      </c>
      <c r="AP51" t="s">
        <v>162</v>
      </c>
      <c r="AQ51" t="s">
        <v>128</v>
      </c>
      <c r="AR51" t="s">
        <v>169</v>
      </c>
      <c r="AS51" t="s">
        <v>169</v>
      </c>
      <c r="AT51" t="s">
        <v>883</v>
      </c>
      <c r="AU51" t="s">
        <v>194</v>
      </c>
      <c r="AV51">
        <f>VLOOKUP(AnalizaCzyste[[#This Row],[w pierwszym roku po ukończeniu studiów : wybierz wartość z listy rozwijanej4]],Zarobki[],2,0)</f>
        <v>10500</v>
      </c>
      <c r="AW51" t="s">
        <v>194</v>
      </c>
      <c r="AX51">
        <f>VLOOKUP(AnalizaCzyste[[#This Row],[w 3 lata po ukończeniu studiów : wybierz wartość z listy rozwijanej5]],Zarobki[],2,0)</f>
        <v>10500</v>
      </c>
      <c r="AY51" t="s">
        <v>891</v>
      </c>
      <c r="AZ51" t="s">
        <v>532</v>
      </c>
      <c r="BA51" t="s">
        <v>532</v>
      </c>
      <c r="BB51" t="s">
        <v>892</v>
      </c>
      <c r="BD51" s="1" t="s">
        <v>159</v>
      </c>
      <c r="BE51">
        <v>1</v>
      </c>
      <c r="BF51" t="s">
        <v>893</v>
      </c>
      <c r="BG51">
        <v>2002</v>
      </c>
      <c r="BH51" t="s">
        <v>126</v>
      </c>
      <c r="BI51" t="s">
        <v>801</v>
      </c>
      <c r="BJ51" t="s">
        <v>150</v>
      </c>
      <c r="BK51" t="s">
        <v>150</v>
      </c>
      <c r="BL51" t="s">
        <v>150</v>
      </c>
      <c r="BM51" t="s">
        <v>236</v>
      </c>
      <c r="BN51" t="s">
        <v>128</v>
      </c>
      <c r="BO51">
        <v>3</v>
      </c>
      <c r="BQ51" t="s">
        <v>157</v>
      </c>
      <c r="BT51" t="s">
        <v>173</v>
      </c>
      <c r="CX51" s="1" t="s">
        <v>123</v>
      </c>
      <c r="DH51" s="1" t="s">
        <v>123</v>
      </c>
      <c r="DR51" s="1" t="s">
        <v>123</v>
      </c>
      <c r="EU51" s="1" t="s">
        <v>123</v>
      </c>
      <c r="FU51" s="1" t="s">
        <v>123</v>
      </c>
      <c r="FV51" t="s">
        <v>132</v>
      </c>
      <c r="HC51" t="s">
        <v>532</v>
      </c>
      <c r="HD51" t="s">
        <v>532</v>
      </c>
      <c r="HE51" t="s">
        <v>532</v>
      </c>
      <c r="HF51" t="s">
        <v>186</v>
      </c>
      <c r="HG51">
        <v>1950</v>
      </c>
      <c r="HH51" t="str">
        <f>VLOOKUP(AnalizaCzyste[[#This Row],[Rok urodzenia]],KategorieWiekowe[],2,1)</f>
        <v>powyżej 65 lat</v>
      </c>
      <c r="HI51" t="s">
        <v>141</v>
      </c>
    </row>
    <row r="52" spans="1:220" x14ac:dyDescent="0.45">
      <c r="A52">
        <v>88</v>
      </c>
      <c r="B52">
        <f>_xlfn.IFNA(VLOOKUP(AnalizaCzyste[[#This Row],[Zakończono wypełnianie]],Zakończone[],2,0),"BRAK")</f>
        <v>53</v>
      </c>
      <c r="C52">
        <f t="shared" si="1"/>
        <v>52</v>
      </c>
      <c r="D52" t="s">
        <v>873</v>
      </c>
      <c r="E52" t="s">
        <v>118</v>
      </c>
      <c r="F52" t="s">
        <v>797</v>
      </c>
      <c r="J52" t="s">
        <v>119</v>
      </c>
      <c r="K52" t="s">
        <v>895</v>
      </c>
      <c r="L52" t="s">
        <v>896</v>
      </c>
      <c r="M52">
        <v>1418</v>
      </c>
      <c r="O52">
        <v>0</v>
      </c>
      <c r="P52" t="s">
        <v>122</v>
      </c>
      <c r="Q52" s="1" t="s">
        <v>123</v>
      </c>
      <c r="AG52" s="1" t="s">
        <v>124</v>
      </c>
      <c r="AH52" s="20" t="s">
        <v>191</v>
      </c>
      <c r="AI52" s="20" t="str">
        <f>VLOOKUP(AnalizaCzyste[[#This Row],[Jak się nazywa uczelnia którą ukończyłeś? (proszę o wybranie jednej uczelni podlegającej ocenie)]],KategorieUczelni[],2,0)</f>
        <v>Publiczna</v>
      </c>
      <c r="AJ52" s="20" t="str">
        <f>VLOOKUP(AnalizaCzyste[[#This Row],[Jak się nazywa uczelnia którą ukończyłeś? (proszę o wybranie jednej uczelni podlegającej ocenie)]],KategorieUczelni[],3,0)</f>
        <v>Techniczna</v>
      </c>
      <c r="AK52" s="20">
        <f>COUNTIF(AnalizaCzyste[[#This Row],[Czy jesteś absolwentem uczelni wyższej?]],"*"&amp;"Tak"&amp;"*")</f>
        <v>1</v>
      </c>
      <c r="AL52">
        <v>1975</v>
      </c>
      <c r="AM52" t="s">
        <v>126</v>
      </c>
      <c r="AN52" t="s">
        <v>897</v>
      </c>
      <c r="AO52" t="s">
        <v>150</v>
      </c>
      <c r="AP52" t="s">
        <v>162</v>
      </c>
      <c r="AQ52" t="s">
        <v>150</v>
      </c>
      <c r="AR52" t="s">
        <v>162</v>
      </c>
      <c r="AS52" t="s">
        <v>162</v>
      </c>
      <c r="AT52" t="s">
        <v>898</v>
      </c>
      <c r="AU52" t="s">
        <v>153</v>
      </c>
      <c r="AV52">
        <f>VLOOKUP(AnalizaCzyste[[#This Row],[w pierwszym roku po ukończeniu studiów : wybierz wartość z listy rozwijanej4]],Zarobki[],2,0)</f>
        <v>3500</v>
      </c>
      <c r="AW52" t="s">
        <v>153</v>
      </c>
      <c r="AX52">
        <f>VLOOKUP(AnalizaCzyste[[#This Row],[w 3 lata po ukończeniu studiów : wybierz wartość z listy rozwijanej5]],Zarobki[],2,0)</f>
        <v>3500</v>
      </c>
      <c r="AZ52" t="s">
        <v>532</v>
      </c>
      <c r="BA52" t="s">
        <v>532</v>
      </c>
      <c r="BB52" t="s">
        <v>157</v>
      </c>
      <c r="BD52" s="1" t="s">
        <v>159</v>
      </c>
      <c r="BE52">
        <v>1</v>
      </c>
      <c r="BF52" t="s">
        <v>191</v>
      </c>
      <c r="BG52">
        <v>2011</v>
      </c>
      <c r="BH52" t="s">
        <v>126</v>
      </c>
      <c r="BI52" t="s">
        <v>127</v>
      </c>
      <c r="BJ52" t="s">
        <v>162</v>
      </c>
      <c r="BK52" t="s">
        <v>150</v>
      </c>
      <c r="BL52" t="s">
        <v>236</v>
      </c>
      <c r="BM52" t="s">
        <v>132</v>
      </c>
      <c r="BN52" t="s">
        <v>132</v>
      </c>
      <c r="BO52" t="s">
        <v>900</v>
      </c>
      <c r="BP52" t="s">
        <v>901</v>
      </c>
      <c r="BQ52" t="s">
        <v>157</v>
      </c>
      <c r="BR52" t="s">
        <v>878</v>
      </c>
      <c r="BT52" t="s">
        <v>173</v>
      </c>
      <c r="CX52" s="1" t="s">
        <v>123</v>
      </c>
      <c r="DH52" s="1" t="s">
        <v>123</v>
      </c>
      <c r="DR52" s="1" t="s">
        <v>123</v>
      </c>
      <c r="EU52" s="1" t="s">
        <v>123</v>
      </c>
      <c r="FU52" s="1" t="s">
        <v>123</v>
      </c>
      <c r="FV52" t="s">
        <v>132</v>
      </c>
      <c r="HC52" t="s">
        <v>532</v>
      </c>
      <c r="HD52" t="s">
        <v>532</v>
      </c>
      <c r="HE52" t="s">
        <v>532</v>
      </c>
      <c r="HF52" t="s">
        <v>140</v>
      </c>
      <c r="HG52">
        <v>1950</v>
      </c>
      <c r="HH52" t="str">
        <f>VLOOKUP(AnalizaCzyste[[#This Row],[Rok urodzenia]],KategorieWiekowe[],2,1)</f>
        <v>powyżej 65 lat</v>
      </c>
      <c r="HI52" t="s">
        <v>141</v>
      </c>
    </row>
    <row r="53" spans="1:220" x14ac:dyDescent="0.45">
      <c r="A53">
        <v>89</v>
      </c>
      <c r="B53">
        <f>_xlfn.IFNA(VLOOKUP(AnalizaCzyste[[#This Row],[Zakończono wypełnianie]],Zakończone[],2,0),"BRAK")</f>
        <v>54</v>
      </c>
      <c r="C53">
        <f t="shared" si="1"/>
        <v>41</v>
      </c>
      <c r="D53" t="s">
        <v>902</v>
      </c>
      <c r="E53" t="s">
        <v>118</v>
      </c>
      <c r="J53" t="s">
        <v>119</v>
      </c>
      <c r="K53" t="s">
        <v>903</v>
      </c>
      <c r="L53" t="s">
        <v>904</v>
      </c>
      <c r="M53">
        <v>255</v>
      </c>
      <c r="O53">
        <v>0</v>
      </c>
      <c r="P53" t="s">
        <v>122</v>
      </c>
      <c r="Q53" s="1" t="s">
        <v>123</v>
      </c>
      <c r="AG53" s="1" t="s">
        <v>124</v>
      </c>
      <c r="AH53" t="s">
        <v>191</v>
      </c>
      <c r="AI53" t="str">
        <f>VLOOKUP(AnalizaCzyste[[#This Row],[Jak się nazywa uczelnia którą ukończyłeś? (proszę o wybranie jednej uczelni podlegającej ocenie)]],KategorieUczelni[],2,0)</f>
        <v>Publiczna</v>
      </c>
      <c r="AJ53" t="str">
        <f>VLOOKUP(AnalizaCzyste[[#This Row],[Jak się nazywa uczelnia którą ukończyłeś? (proszę o wybranie jednej uczelni podlegającej ocenie)]],KategorieUczelni[],3,0)</f>
        <v>Techniczna</v>
      </c>
      <c r="AK53">
        <f>COUNTIF(AnalizaCzyste[[#This Row],[Czy jesteś absolwentem uczelni wyższej?]],"*"&amp;"Tak"&amp;"*")</f>
        <v>1</v>
      </c>
      <c r="AL53">
        <v>2009</v>
      </c>
      <c r="AM53" t="s">
        <v>126</v>
      </c>
      <c r="AN53" t="s">
        <v>906</v>
      </c>
      <c r="AO53" t="s">
        <v>151</v>
      </c>
      <c r="AP53" t="s">
        <v>151</v>
      </c>
      <c r="AQ53" t="s">
        <v>150</v>
      </c>
      <c r="AR53" t="s">
        <v>128</v>
      </c>
      <c r="AS53" t="s">
        <v>162</v>
      </c>
      <c r="AT53" t="s">
        <v>907</v>
      </c>
      <c r="AU53" t="s">
        <v>131</v>
      </c>
      <c r="AV53">
        <f>VLOOKUP(AnalizaCzyste[[#This Row],[w pierwszym roku po ukończeniu studiów : wybierz wartość z listy rozwijanej4]],Zarobki[],2,0)</f>
        <v>1500</v>
      </c>
      <c r="AW53" t="s">
        <v>759</v>
      </c>
      <c r="AX53">
        <f>VLOOKUP(AnalizaCzyste[[#This Row],[w 3 lata po ukończeniu studiów : wybierz wartość z listy rozwijanej5]],Zarobki[],2,0)</f>
        <v>5500</v>
      </c>
      <c r="AY53" t="s">
        <v>908</v>
      </c>
      <c r="AZ53" t="s">
        <v>908</v>
      </c>
      <c r="BA53" t="s">
        <v>909</v>
      </c>
      <c r="BB53" t="s">
        <v>172</v>
      </c>
      <c r="BD53" s="1" t="s">
        <v>123</v>
      </c>
      <c r="CX53" s="1" t="s">
        <v>123</v>
      </c>
      <c r="DH53" s="1" t="s">
        <v>123</v>
      </c>
      <c r="DR53" s="1" t="s">
        <v>123</v>
      </c>
      <c r="EU53" s="1" t="s">
        <v>123</v>
      </c>
      <c r="EV53" t="s">
        <v>180</v>
      </c>
      <c r="EW53" t="s">
        <v>132</v>
      </c>
      <c r="FU53" s="1" t="s">
        <v>123</v>
      </c>
      <c r="FV53" t="s">
        <v>132</v>
      </c>
      <c r="FX53" t="s">
        <v>132</v>
      </c>
      <c r="HC53" t="s">
        <v>910</v>
      </c>
      <c r="HD53" t="s">
        <v>911</v>
      </c>
      <c r="HE53" t="s">
        <v>912</v>
      </c>
      <c r="HF53" t="s">
        <v>186</v>
      </c>
      <c r="HG53">
        <v>1983</v>
      </c>
      <c r="HH53" t="str">
        <f>VLOOKUP(AnalizaCzyste[[#This Row],[Rok urodzenia]],KategorieWiekowe[],2,1)</f>
        <v>36–45 lat</v>
      </c>
      <c r="HI53" t="s">
        <v>141</v>
      </c>
    </row>
    <row r="54" spans="1:220" x14ac:dyDescent="0.45">
      <c r="A54">
        <v>91</v>
      </c>
      <c r="B54">
        <f>_xlfn.IFNA(VLOOKUP(AnalizaCzyste[[#This Row],[Zakończono wypełnianie]],Zakończone[],2,0),"BRAK")</f>
        <v>55</v>
      </c>
      <c r="C54">
        <f t="shared" si="1"/>
        <v>83</v>
      </c>
      <c r="D54" t="s">
        <v>915</v>
      </c>
      <c r="E54" t="s">
        <v>118</v>
      </c>
      <c r="J54" t="s">
        <v>119</v>
      </c>
      <c r="K54" t="s">
        <v>916</v>
      </c>
      <c r="L54" t="s">
        <v>917</v>
      </c>
      <c r="M54">
        <v>76609</v>
      </c>
      <c r="O54">
        <v>0</v>
      </c>
      <c r="P54" t="s">
        <v>122</v>
      </c>
      <c r="Q54" s="1" t="s">
        <v>123</v>
      </c>
      <c r="AG54" s="1" t="s">
        <v>124</v>
      </c>
      <c r="AH54" t="s">
        <v>223</v>
      </c>
      <c r="AI54" t="str">
        <f>VLOOKUP(AnalizaCzyste[[#This Row],[Jak się nazywa uczelnia którą ukończyłeś? (proszę o wybranie jednej uczelni podlegającej ocenie)]],KategorieUczelni[],2,0)</f>
        <v>Publiczna</v>
      </c>
      <c r="AJ54" t="str">
        <f>VLOOKUP(AnalizaCzyste[[#This Row],[Jak się nazywa uczelnia którą ukończyłeś? (proszę o wybranie jednej uczelni podlegającej ocenie)]],KategorieUczelni[],3,0)</f>
        <v>Nietechniczna</v>
      </c>
      <c r="AK54">
        <f>COUNTIF(AnalizaCzyste[[#This Row],[Czy jesteś absolwentem uczelni wyższej?]],"*"&amp;"Tak"&amp;"*")</f>
        <v>1</v>
      </c>
      <c r="AL54">
        <v>1980</v>
      </c>
      <c r="AM54" t="s">
        <v>148</v>
      </c>
      <c r="AN54" t="s">
        <v>919</v>
      </c>
      <c r="AO54" t="s">
        <v>169</v>
      </c>
      <c r="AP54" t="s">
        <v>169</v>
      </c>
      <c r="AQ54" t="s">
        <v>150</v>
      </c>
      <c r="AR54" t="s">
        <v>128</v>
      </c>
      <c r="AS54" t="s">
        <v>128</v>
      </c>
      <c r="AT54" t="s">
        <v>920</v>
      </c>
      <c r="AU54" t="s">
        <v>302</v>
      </c>
      <c r="AV54">
        <f>VLOOKUP(AnalizaCzyste[[#This Row],[w pierwszym roku po ukończeniu studiów : wybierz wartość z listy rozwijanej4]],Zarobki[],2,0)</f>
        <v>2500</v>
      </c>
      <c r="AW54" t="s">
        <v>302</v>
      </c>
      <c r="AX54">
        <f>VLOOKUP(AnalizaCzyste[[#This Row],[w 3 lata po ukończeniu studiów : wybierz wartość z listy rozwijanej5]],Zarobki[],2,0)</f>
        <v>2500</v>
      </c>
      <c r="AY54" t="s">
        <v>921</v>
      </c>
      <c r="AZ54" t="s">
        <v>922</v>
      </c>
      <c r="BA54" t="s">
        <v>923</v>
      </c>
      <c r="BB54" t="s">
        <v>157</v>
      </c>
      <c r="BD54" s="1" t="s">
        <v>159</v>
      </c>
      <c r="BE54">
        <v>2</v>
      </c>
      <c r="BF54" t="s">
        <v>223</v>
      </c>
      <c r="BG54">
        <v>2009</v>
      </c>
      <c r="BH54" t="s">
        <v>148</v>
      </c>
      <c r="BI54" t="s">
        <v>743</v>
      </c>
      <c r="BJ54" t="s">
        <v>169</v>
      </c>
      <c r="BK54" t="s">
        <v>169</v>
      </c>
      <c r="BL54" t="s">
        <v>169</v>
      </c>
      <c r="BM54" t="s">
        <v>128</v>
      </c>
      <c r="BN54" t="s">
        <v>128</v>
      </c>
      <c r="BO54" t="s">
        <v>925</v>
      </c>
      <c r="BP54" t="s">
        <v>926</v>
      </c>
      <c r="BQ54" t="s">
        <v>157</v>
      </c>
      <c r="BS54" t="s">
        <v>927</v>
      </c>
      <c r="BT54" t="s">
        <v>173</v>
      </c>
      <c r="CX54" s="1" t="s">
        <v>387</v>
      </c>
      <c r="CY54" t="s">
        <v>223</v>
      </c>
      <c r="CZ54" t="s">
        <v>928</v>
      </c>
      <c r="DA54" t="s">
        <v>169</v>
      </c>
      <c r="DB54" t="s">
        <v>162</v>
      </c>
      <c r="DC54" t="s">
        <v>128</v>
      </c>
      <c r="DD54" t="s">
        <v>169</v>
      </c>
      <c r="DE54" t="s">
        <v>169</v>
      </c>
      <c r="DF54" t="s">
        <v>169</v>
      </c>
      <c r="DG54" t="s">
        <v>929</v>
      </c>
      <c r="DH54" s="1" t="s">
        <v>214</v>
      </c>
      <c r="DI54" t="s">
        <v>223</v>
      </c>
      <c r="DJ54" t="s">
        <v>928</v>
      </c>
      <c r="DK54" t="s">
        <v>169</v>
      </c>
      <c r="DL54" t="s">
        <v>162</v>
      </c>
      <c r="DM54" t="s">
        <v>128</v>
      </c>
      <c r="DN54" t="s">
        <v>169</v>
      </c>
      <c r="DO54" t="s">
        <v>169</v>
      </c>
      <c r="DP54" t="s">
        <v>150</v>
      </c>
      <c r="DQ54" t="s">
        <v>930</v>
      </c>
      <c r="DR54" s="1" t="s">
        <v>123</v>
      </c>
      <c r="EU54" s="1" t="s">
        <v>177</v>
      </c>
      <c r="EV54" t="s">
        <v>180</v>
      </c>
      <c r="EW54">
        <v>1</v>
      </c>
      <c r="EX54" t="s">
        <v>223</v>
      </c>
      <c r="EY54" t="s">
        <v>169</v>
      </c>
      <c r="EZ54" t="s">
        <v>169</v>
      </c>
      <c r="FA54" t="s">
        <v>236</v>
      </c>
      <c r="FB54" t="s">
        <v>180</v>
      </c>
      <c r="FC54" t="s">
        <v>931</v>
      </c>
      <c r="FD54" t="s">
        <v>932</v>
      </c>
      <c r="FE54" t="s">
        <v>173</v>
      </c>
      <c r="FU54" s="1" t="s">
        <v>123</v>
      </c>
      <c r="FV54" t="s">
        <v>132</v>
      </c>
      <c r="FX54" t="s">
        <v>132</v>
      </c>
      <c r="HC54" t="s">
        <v>933</v>
      </c>
      <c r="HD54" t="s">
        <v>934</v>
      </c>
      <c r="HE54" t="s">
        <v>935</v>
      </c>
      <c r="HF54" t="s">
        <v>140</v>
      </c>
      <c r="HG54">
        <v>1957</v>
      </c>
      <c r="HH54" t="str">
        <f>VLOOKUP(AnalizaCzyste[[#This Row],[Rok urodzenia]],KategorieWiekowe[],2,1)</f>
        <v>56–65 lat</v>
      </c>
      <c r="HI54" t="s">
        <v>141</v>
      </c>
      <c r="HK54" t="s">
        <v>936</v>
      </c>
    </row>
    <row r="55" spans="1:220" x14ac:dyDescent="0.45">
      <c r="A55">
        <v>93</v>
      </c>
      <c r="B55">
        <f>_xlfn.IFNA(VLOOKUP(AnalizaCzyste[[#This Row],[Zakończono wypełnianie]],Zakończone[],2,0),"BRAK")</f>
        <v>56</v>
      </c>
      <c r="C55">
        <f t="shared" si="1"/>
        <v>52</v>
      </c>
      <c r="D55" t="s">
        <v>938</v>
      </c>
      <c r="E55" t="s">
        <v>118</v>
      </c>
      <c r="J55" t="s">
        <v>119</v>
      </c>
      <c r="K55" t="s">
        <v>939</v>
      </c>
      <c r="L55" t="s">
        <v>940</v>
      </c>
      <c r="M55">
        <v>451</v>
      </c>
      <c r="O55">
        <v>0</v>
      </c>
      <c r="P55" t="s">
        <v>122</v>
      </c>
      <c r="Q55" s="1" t="s">
        <v>123</v>
      </c>
      <c r="AG55" s="1" t="s">
        <v>124</v>
      </c>
      <c r="AH55" t="s">
        <v>223</v>
      </c>
      <c r="AI55" t="str">
        <f>VLOOKUP(AnalizaCzyste[[#This Row],[Jak się nazywa uczelnia którą ukończyłeś? (proszę o wybranie jednej uczelni podlegającej ocenie)]],KategorieUczelni[],2,0)</f>
        <v>Publiczna</v>
      </c>
      <c r="AJ55" t="str">
        <f>VLOOKUP(AnalizaCzyste[[#This Row],[Jak się nazywa uczelnia którą ukończyłeś? (proszę o wybranie jednej uczelni podlegającej ocenie)]],KategorieUczelni[],3,0)</f>
        <v>Nietechniczna</v>
      </c>
      <c r="AK55">
        <f>COUNTIF(AnalizaCzyste[[#This Row],[Czy jesteś absolwentem uczelni wyższej?]],"*"&amp;"Tak"&amp;"*")</f>
        <v>1</v>
      </c>
      <c r="AL55">
        <v>2004</v>
      </c>
      <c r="AM55" t="s">
        <v>148</v>
      </c>
      <c r="AN55" t="s">
        <v>942</v>
      </c>
      <c r="AO55" t="s">
        <v>150</v>
      </c>
      <c r="AP55" t="s">
        <v>150</v>
      </c>
      <c r="AQ55" t="s">
        <v>150</v>
      </c>
      <c r="AR55" t="s">
        <v>150</v>
      </c>
      <c r="AS55" t="s">
        <v>169</v>
      </c>
      <c r="AT55" t="s">
        <v>237</v>
      </c>
      <c r="AU55" t="s">
        <v>302</v>
      </c>
      <c r="AV55">
        <f>VLOOKUP(AnalizaCzyste[[#This Row],[w pierwszym roku po ukończeniu studiów : wybierz wartość z listy rozwijanej4]],Zarobki[],2,0)</f>
        <v>2500</v>
      </c>
      <c r="AW55" t="s">
        <v>943</v>
      </c>
      <c r="AX55">
        <f>VLOOKUP(AnalizaCzyste[[#This Row],[w 3 lata po ukończeniu studiów : wybierz wartość z listy rozwijanej5]],Zarobki[],2,0)</f>
        <v>8500</v>
      </c>
      <c r="AY55" t="s">
        <v>944</v>
      </c>
      <c r="AZ55" t="s">
        <v>945</v>
      </c>
      <c r="BA55" t="s">
        <v>946</v>
      </c>
      <c r="BB55" t="s">
        <v>157</v>
      </c>
      <c r="BD55" s="1" t="s">
        <v>123</v>
      </c>
      <c r="CX55" s="1" t="s">
        <v>123</v>
      </c>
      <c r="DH55" s="1" t="s">
        <v>123</v>
      </c>
      <c r="DR55" s="1" t="s">
        <v>123</v>
      </c>
      <c r="EU55" s="1" t="s">
        <v>177</v>
      </c>
      <c r="EV55" t="s">
        <v>178</v>
      </c>
      <c r="EW55">
        <v>1</v>
      </c>
      <c r="EX55" t="s">
        <v>747</v>
      </c>
      <c r="EY55" t="s">
        <v>169</v>
      </c>
      <c r="EZ55" t="s">
        <v>169</v>
      </c>
      <c r="FA55" t="s">
        <v>169</v>
      </c>
      <c r="FB55" t="s">
        <v>178</v>
      </c>
      <c r="FC55" t="s">
        <v>947</v>
      </c>
      <c r="FD55" t="s">
        <v>948</v>
      </c>
      <c r="FE55" t="s">
        <v>173</v>
      </c>
      <c r="FU55" s="1" t="s">
        <v>123</v>
      </c>
      <c r="FV55" t="s">
        <v>132</v>
      </c>
      <c r="FX55" t="s">
        <v>132</v>
      </c>
      <c r="HC55" t="s">
        <v>949</v>
      </c>
      <c r="HD55" t="s">
        <v>950</v>
      </c>
      <c r="HE55" t="s">
        <v>951</v>
      </c>
      <c r="HF55" t="s">
        <v>186</v>
      </c>
      <c r="HG55">
        <v>1984</v>
      </c>
      <c r="HH55" t="str">
        <f>VLOOKUP(AnalizaCzyste[[#This Row],[Rok urodzenia]],KategorieWiekowe[],2,1)</f>
        <v>36–45 lat</v>
      </c>
      <c r="HI55" t="s">
        <v>141</v>
      </c>
      <c r="HJ55" t="s">
        <v>952</v>
      </c>
      <c r="HK55" t="s">
        <v>953</v>
      </c>
      <c r="HL55" t="s">
        <v>954</v>
      </c>
    </row>
    <row r="56" spans="1:220" hidden="1" x14ac:dyDescent="0.45">
      <c r="A56">
        <v>94</v>
      </c>
      <c r="B56">
        <f>_xlfn.IFNA(VLOOKUP(AnalizaCzyste[[#This Row],[Zakończono wypełnianie]],Zakończone[],2,0),"BRAK")</f>
        <v>57</v>
      </c>
      <c r="C56">
        <f t="shared" si="1"/>
        <v>38</v>
      </c>
      <c r="D56" t="s">
        <v>955</v>
      </c>
      <c r="E56" t="s">
        <v>118</v>
      </c>
      <c r="F56" t="s">
        <v>774</v>
      </c>
      <c r="J56" t="s">
        <v>119</v>
      </c>
      <c r="K56" t="s">
        <v>956</v>
      </c>
      <c r="L56" t="s">
        <v>957</v>
      </c>
      <c r="M56">
        <v>1186</v>
      </c>
      <c r="O56">
        <v>0</v>
      </c>
      <c r="P56" t="s">
        <v>122</v>
      </c>
      <c r="Q56" s="1" t="s">
        <v>416</v>
      </c>
      <c r="R56" t="s">
        <v>223</v>
      </c>
      <c r="S56" t="s">
        <v>148</v>
      </c>
      <c r="T56" t="s">
        <v>958</v>
      </c>
      <c r="U56" t="s">
        <v>151</v>
      </c>
      <c r="V56" t="s">
        <v>128</v>
      </c>
      <c r="W56" t="s">
        <v>236</v>
      </c>
      <c r="X56" t="s">
        <v>959</v>
      </c>
      <c r="Y56" t="s">
        <v>302</v>
      </c>
      <c r="Z56" t="s">
        <v>153</v>
      </c>
      <c r="AA56" t="s">
        <v>960</v>
      </c>
      <c r="AB56" t="s">
        <v>961</v>
      </c>
      <c r="AC56" t="s">
        <v>962</v>
      </c>
      <c r="AD56" t="s">
        <v>157</v>
      </c>
      <c r="AF56">
        <v>4</v>
      </c>
      <c r="AG56" s="1" t="s">
        <v>123</v>
      </c>
      <c r="AI56" t="e">
        <f>VLOOKUP(AnalizaCzyste[[#This Row],[Jak się nazywa uczelnia którą ukończyłeś? (proszę o wybranie jednej uczelni podlegającej ocenie)]],KategorieUczelni[],2,0)</f>
        <v>#N/A</v>
      </c>
      <c r="AJ56" t="e">
        <f>VLOOKUP(AnalizaCzyste[[#This Row],[Jak się nazywa uczelnia którą ukończyłeś? (proszę o wybranie jednej uczelni podlegającej ocenie)]],KategorieUczelni[],3,0)</f>
        <v>#N/A</v>
      </c>
      <c r="AK56">
        <f>COUNTIF(AnalizaCzyste[[#This Row],[Czy jesteś absolwentem uczelni wyższej?]],"*"&amp;"Tak"&amp;"*")</f>
        <v>0</v>
      </c>
      <c r="AV56" t="e">
        <f>VLOOKUP(AnalizaCzyste[[#This Row],[w pierwszym roku po ukończeniu studiów : wybierz wartość z listy rozwijanej4]],Zarobki[],2,0)</f>
        <v>#N/A</v>
      </c>
      <c r="AX56" t="e">
        <f>VLOOKUP(AnalizaCzyste[[#This Row],[w 3 lata po ukończeniu studiów : wybierz wartość z listy rozwijanej5]],Zarobki[],2,0)</f>
        <v>#N/A</v>
      </c>
      <c r="BD56" s="1" t="s">
        <v>123</v>
      </c>
      <c r="CX56" s="1" t="s">
        <v>123</v>
      </c>
      <c r="DH56" s="1" t="s">
        <v>123</v>
      </c>
      <c r="DR56" s="1" t="s">
        <v>123</v>
      </c>
      <c r="EU56" s="1" t="s">
        <v>123</v>
      </c>
      <c r="EV56" t="s">
        <v>180</v>
      </c>
      <c r="EW56" t="s">
        <v>132</v>
      </c>
      <c r="FU56" s="1" t="s">
        <v>123</v>
      </c>
      <c r="FV56" t="s">
        <v>132</v>
      </c>
      <c r="HC56" t="s">
        <v>826</v>
      </c>
      <c r="HD56" t="s">
        <v>824</v>
      </c>
      <c r="HE56" t="s">
        <v>820</v>
      </c>
      <c r="HF56" t="s">
        <v>140</v>
      </c>
      <c r="HG56">
        <v>1993</v>
      </c>
      <c r="HH56" t="str">
        <f>VLOOKUP(AnalizaCzyste[[#This Row],[Rok urodzenia]],KategorieWiekowe[],2,1)</f>
        <v>26–35 lat</v>
      </c>
      <c r="HI56" t="s">
        <v>483</v>
      </c>
    </row>
    <row r="57" spans="1:220" x14ac:dyDescent="0.45">
      <c r="A57">
        <v>96</v>
      </c>
      <c r="B57">
        <f>_xlfn.IFNA(VLOOKUP(AnalizaCzyste[[#This Row],[Zakończono wypełnianie]],Zakończone[],2,0),"BRAK")</f>
        <v>59</v>
      </c>
      <c r="C57">
        <f t="shared" si="1"/>
        <v>42</v>
      </c>
      <c r="D57" t="s">
        <v>370</v>
      </c>
      <c r="E57" t="s">
        <v>118</v>
      </c>
      <c r="F57" t="s">
        <v>774</v>
      </c>
      <c r="J57" t="s">
        <v>119</v>
      </c>
      <c r="K57" t="s">
        <v>967</v>
      </c>
      <c r="L57" t="s">
        <v>968</v>
      </c>
      <c r="M57">
        <v>5160</v>
      </c>
      <c r="O57">
        <v>0</v>
      </c>
      <c r="P57" t="s">
        <v>122</v>
      </c>
      <c r="Q57" s="1" t="s">
        <v>123</v>
      </c>
      <c r="AG57" s="1" t="s">
        <v>124</v>
      </c>
      <c r="AH57" t="s">
        <v>191</v>
      </c>
      <c r="AI57" t="str">
        <f>VLOOKUP(AnalizaCzyste[[#This Row],[Jak się nazywa uczelnia którą ukończyłeś? (proszę o wybranie jednej uczelni podlegającej ocenie)]],KategorieUczelni[],2,0)</f>
        <v>Publiczna</v>
      </c>
      <c r="AJ57" t="str">
        <f>VLOOKUP(AnalizaCzyste[[#This Row],[Jak się nazywa uczelnia którą ukończyłeś? (proszę o wybranie jednej uczelni podlegającej ocenie)]],KategorieUczelni[],3,0)</f>
        <v>Techniczna</v>
      </c>
      <c r="AK57">
        <f>COUNTIF(AnalizaCzyste[[#This Row],[Czy jesteś absolwentem uczelni wyższej?]],"*"&amp;"Tak"&amp;"*")</f>
        <v>1</v>
      </c>
      <c r="AL57">
        <v>2000</v>
      </c>
      <c r="AM57" t="s">
        <v>148</v>
      </c>
      <c r="AN57" t="s">
        <v>969</v>
      </c>
      <c r="AO57" t="s">
        <v>151</v>
      </c>
      <c r="AP57" t="s">
        <v>151</v>
      </c>
      <c r="AQ57" t="s">
        <v>162</v>
      </c>
      <c r="AR57" t="s">
        <v>162</v>
      </c>
      <c r="AS57" t="s">
        <v>150</v>
      </c>
      <c r="AT57">
        <v>0</v>
      </c>
      <c r="AU57" t="s">
        <v>153</v>
      </c>
      <c r="AV57">
        <f>VLOOKUP(AnalizaCzyste[[#This Row],[w pierwszym roku po ukończeniu studiów : wybierz wartość z listy rozwijanej4]],Zarobki[],2,0)</f>
        <v>3500</v>
      </c>
      <c r="AW57" t="s">
        <v>226</v>
      </c>
      <c r="AX57">
        <f>VLOOKUP(AnalizaCzyste[[#This Row],[w 3 lata po ukończeniu studiów : wybierz wartość z listy rozwijanej5]],Zarobki[],2,0)</f>
        <v>4500</v>
      </c>
      <c r="AY57" t="s">
        <v>802</v>
      </c>
      <c r="AZ57" t="s">
        <v>824</v>
      </c>
      <c r="BA57" t="s">
        <v>780</v>
      </c>
      <c r="BB57" t="s">
        <v>230</v>
      </c>
      <c r="BC57" t="s">
        <v>970</v>
      </c>
      <c r="BD57" s="1" t="s">
        <v>123</v>
      </c>
      <c r="CX57" s="1" t="s">
        <v>123</v>
      </c>
      <c r="DH57" s="1" t="s">
        <v>123</v>
      </c>
      <c r="DR57" s="1" t="s">
        <v>123</v>
      </c>
      <c r="EU57" s="1" t="s">
        <v>123</v>
      </c>
      <c r="FU57" s="1" t="s">
        <v>123</v>
      </c>
      <c r="FV57" t="s">
        <v>132</v>
      </c>
      <c r="FX57" t="s">
        <v>132</v>
      </c>
      <c r="HC57" t="s">
        <v>786</v>
      </c>
      <c r="HD57" t="s">
        <v>787</v>
      </c>
      <c r="HE57" t="s">
        <v>807</v>
      </c>
      <c r="HF57" t="s">
        <v>186</v>
      </c>
      <c r="HG57">
        <v>1968</v>
      </c>
      <c r="HH57" t="str">
        <f>VLOOKUP(AnalizaCzyste[[#This Row],[Rok urodzenia]],KategorieWiekowe[],2,1)</f>
        <v>46–55 lat</v>
      </c>
      <c r="HI57" t="s">
        <v>398</v>
      </c>
      <c r="HJ57" t="s">
        <v>971</v>
      </c>
      <c r="HK57" t="s">
        <v>972</v>
      </c>
    </row>
    <row r="58" spans="1:220" x14ac:dyDescent="0.45">
      <c r="A58">
        <v>97</v>
      </c>
      <c r="B58">
        <f>_xlfn.IFNA(VLOOKUP(AnalizaCzyste[[#This Row],[Zakończono wypełnianie]],Zakończone[],2,0),"BRAK")</f>
        <v>60</v>
      </c>
      <c r="C58">
        <f t="shared" si="1"/>
        <v>43</v>
      </c>
      <c r="D58" t="s">
        <v>370</v>
      </c>
      <c r="E58" t="s">
        <v>118</v>
      </c>
      <c r="F58" t="s">
        <v>774</v>
      </c>
      <c r="J58" t="s">
        <v>119</v>
      </c>
      <c r="K58" t="s">
        <v>973</v>
      </c>
      <c r="L58" t="s">
        <v>974</v>
      </c>
      <c r="M58">
        <v>1963</v>
      </c>
      <c r="O58">
        <v>0</v>
      </c>
      <c r="P58" t="s">
        <v>122</v>
      </c>
      <c r="Q58" s="1" t="s">
        <v>123</v>
      </c>
      <c r="AG58" s="1" t="s">
        <v>124</v>
      </c>
      <c r="AH58" t="s">
        <v>975</v>
      </c>
      <c r="AI58" t="str">
        <f>VLOOKUP(AnalizaCzyste[[#This Row],[Jak się nazywa uczelnia którą ukończyłeś? (proszę o wybranie jednej uczelni podlegającej ocenie)]],KategorieUczelni[],2,0)</f>
        <v>Publiczna</v>
      </c>
      <c r="AJ58" t="str">
        <f>VLOOKUP(AnalizaCzyste[[#This Row],[Jak się nazywa uczelnia którą ukończyłeś? (proszę o wybranie jednej uczelni podlegającej ocenie)]],KategorieUczelni[],3,0)</f>
        <v>Nietechniczna</v>
      </c>
      <c r="AK58">
        <f>COUNTIF(AnalizaCzyste[[#This Row],[Czy jesteś absolwentem uczelni wyższej?]],"*"&amp;"Tak"&amp;"*")</f>
        <v>1</v>
      </c>
      <c r="AL58">
        <v>1996</v>
      </c>
      <c r="AM58" t="s">
        <v>148</v>
      </c>
      <c r="AN58" t="s">
        <v>601</v>
      </c>
      <c r="AO58" t="s">
        <v>128</v>
      </c>
      <c r="AP58" t="s">
        <v>151</v>
      </c>
      <c r="AQ58" t="s">
        <v>169</v>
      </c>
      <c r="AR58" t="s">
        <v>129</v>
      </c>
      <c r="AS58" t="s">
        <v>129</v>
      </c>
      <c r="AT58" t="s">
        <v>976</v>
      </c>
      <c r="AU58" t="s">
        <v>131</v>
      </c>
      <c r="AV58">
        <f>VLOOKUP(AnalizaCzyste[[#This Row],[w pierwszym roku po ukończeniu studiów : wybierz wartość z listy rozwijanej4]],Zarobki[],2,0)</f>
        <v>1500</v>
      </c>
      <c r="AW58" t="s">
        <v>131</v>
      </c>
      <c r="AX58">
        <f>VLOOKUP(AnalizaCzyste[[#This Row],[w 3 lata po ukończeniu studiów : wybierz wartość z listy rozwijanej5]],Zarobki[],2,0)</f>
        <v>1500</v>
      </c>
      <c r="AY58" t="s">
        <v>802</v>
      </c>
      <c r="AZ58" t="s">
        <v>824</v>
      </c>
      <c r="BA58" t="s">
        <v>977</v>
      </c>
      <c r="BB58" t="s">
        <v>230</v>
      </c>
      <c r="BD58" s="1" t="s">
        <v>123</v>
      </c>
      <c r="CX58" s="1" t="s">
        <v>123</v>
      </c>
      <c r="DH58" s="1" t="s">
        <v>123</v>
      </c>
      <c r="DR58" s="1" t="s">
        <v>123</v>
      </c>
      <c r="EU58" s="1" t="s">
        <v>123</v>
      </c>
      <c r="EV58" t="s">
        <v>178</v>
      </c>
      <c r="EW58" t="s">
        <v>132</v>
      </c>
      <c r="FU58" s="1" t="s">
        <v>123</v>
      </c>
      <c r="FV58" t="s">
        <v>132</v>
      </c>
      <c r="FX58" t="s">
        <v>132</v>
      </c>
      <c r="HC58" t="s">
        <v>978</v>
      </c>
      <c r="HD58" t="s">
        <v>819</v>
      </c>
      <c r="HE58" t="s">
        <v>979</v>
      </c>
      <c r="HF58" t="s">
        <v>140</v>
      </c>
      <c r="HG58">
        <v>1962</v>
      </c>
      <c r="HH58" t="str">
        <f>VLOOKUP(AnalizaCzyste[[#This Row],[Rok urodzenia]],KategorieWiekowe[],2,1)</f>
        <v>56–65 lat</v>
      </c>
      <c r="HI58" t="s">
        <v>220</v>
      </c>
      <c r="HK58" t="s">
        <v>980</v>
      </c>
      <c r="HL58" t="s">
        <v>386</v>
      </c>
    </row>
    <row r="59" spans="1:220" x14ac:dyDescent="0.45">
      <c r="A59">
        <v>99</v>
      </c>
      <c r="B59">
        <f>_xlfn.IFNA(VLOOKUP(AnalizaCzyste[[#This Row],[Zakończono wypełnianie]],Zakończone[],2,0),"BRAK")</f>
        <v>61</v>
      </c>
      <c r="C59">
        <f t="shared" si="1"/>
        <v>37</v>
      </c>
      <c r="D59" t="s">
        <v>984</v>
      </c>
      <c r="E59" t="s">
        <v>118</v>
      </c>
      <c r="F59" t="s">
        <v>774</v>
      </c>
      <c r="J59" t="s">
        <v>119</v>
      </c>
      <c r="K59" t="s">
        <v>985</v>
      </c>
      <c r="L59" t="s">
        <v>986</v>
      </c>
      <c r="M59">
        <v>1348</v>
      </c>
      <c r="O59">
        <v>0</v>
      </c>
      <c r="P59" t="s">
        <v>122</v>
      </c>
      <c r="Q59" s="1" t="s">
        <v>123</v>
      </c>
      <c r="AG59" s="1" t="s">
        <v>124</v>
      </c>
      <c r="AH59" t="s">
        <v>987</v>
      </c>
      <c r="AI59" t="str">
        <f>VLOOKUP(AnalizaCzyste[[#This Row],[Jak się nazywa uczelnia którą ukończyłeś? (proszę o wybranie jednej uczelni podlegającej ocenie)]],KategorieUczelni[],2,0)</f>
        <v>Niepubliczna</v>
      </c>
      <c r="AJ59" t="str">
        <f>VLOOKUP(AnalizaCzyste[[#This Row],[Jak się nazywa uczelnia którą ukończyłeś? (proszę o wybranie jednej uczelni podlegającej ocenie)]],KategorieUczelni[],3,0)</f>
        <v>Nietechniczna</v>
      </c>
      <c r="AK59">
        <f>COUNTIF(AnalizaCzyste[[#This Row],[Czy jesteś absolwentem uczelni wyższej?]],"*"&amp;"Tak"&amp;"*")</f>
        <v>1</v>
      </c>
      <c r="AL59">
        <v>2015</v>
      </c>
      <c r="AM59" t="s">
        <v>148</v>
      </c>
      <c r="AN59" t="s">
        <v>988</v>
      </c>
      <c r="AO59" t="s">
        <v>169</v>
      </c>
      <c r="AP59" t="s">
        <v>150</v>
      </c>
      <c r="AQ59" t="s">
        <v>151</v>
      </c>
      <c r="AR59" t="s">
        <v>151</v>
      </c>
      <c r="AS59" t="s">
        <v>151</v>
      </c>
      <c r="AT59" t="s">
        <v>883</v>
      </c>
      <c r="AU59" t="s">
        <v>131</v>
      </c>
      <c r="AV59">
        <f>VLOOKUP(AnalizaCzyste[[#This Row],[w pierwszym roku po ukończeniu studiów : wybierz wartość z listy rozwijanej4]],Zarobki[],2,0)</f>
        <v>1500</v>
      </c>
      <c r="AW59" t="s">
        <v>302</v>
      </c>
      <c r="AX59">
        <f>VLOOKUP(AnalizaCzyste[[#This Row],[w 3 lata po ukończeniu studiów : wybierz wartość z listy rozwijanej5]],Zarobki[],2,0)</f>
        <v>2500</v>
      </c>
      <c r="AZ59" t="s">
        <v>989</v>
      </c>
      <c r="BA59" t="s">
        <v>990</v>
      </c>
      <c r="BB59" t="s">
        <v>157</v>
      </c>
      <c r="BD59" s="1" t="s">
        <v>123</v>
      </c>
      <c r="CX59" s="1" t="s">
        <v>123</v>
      </c>
      <c r="DH59" s="1" t="s">
        <v>123</v>
      </c>
      <c r="DR59" s="1" t="s">
        <v>123</v>
      </c>
      <c r="EU59" s="1" t="s">
        <v>123</v>
      </c>
      <c r="FU59" s="1" t="s">
        <v>123</v>
      </c>
      <c r="FV59" t="s">
        <v>132</v>
      </c>
      <c r="HC59" t="s">
        <v>786</v>
      </c>
      <c r="HD59" t="s">
        <v>991</v>
      </c>
      <c r="HE59" t="s">
        <v>820</v>
      </c>
      <c r="HF59" t="s">
        <v>140</v>
      </c>
      <c r="HG59">
        <v>1991</v>
      </c>
      <c r="HH59" t="str">
        <f>VLOOKUP(AnalizaCzyste[[#This Row],[Rok urodzenia]],KategorieWiekowe[],2,1)</f>
        <v>26–35 lat</v>
      </c>
      <c r="HI59" t="s">
        <v>220</v>
      </c>
    </row>
    <row r="60" spans="1:220" x14ac:dyDescent="0.45">
      <c r="A60">
        <v>100</v>
      </c>
      <c r="B60">
        <f>_xlfn.IFNA(VLOOKUP(AnalizaCzyste[[#This Row],[Zakończono wypełnianie]],Zakończone[],2,0),"BRAK")</f>
        <v>62</v>
      </c>
      <c r="C60">
        <f t="shared" si="1"/>
        <v>43</v>
      </c>
      <c r="D60" t="s">
        <v>984</v>
      </c>
      <c r="E60" t="s">
        <v>118</v>
      </c>
      <c r="F60" t="s">
        <v>992</v>
      </c>
      <c r="J60" t="s">
        <v>119</v>
      </c>
      <c r="K60" t="s">
        <v>993</v>
      </c>
      <c r="L60" t="s">
        <v>994</v>
      </c>
      <c r="M60">
        <v>1026</v>
      </c>
      <c r="O60">
        <v>0</v>
      </c>
      <c r="P60" t="s">
        <v>122</v>
      </c>
      <c r="Q60" s="1" t="s">
        <v>123</v>
      </c>
      <c r="AG60" s="1" t="s">
        <v>124</v>
      </c>
      <c r="AH60" t="s">
        <v>995</v>
      </c>
      <c r="AI60" t="str">
        <f>VLOOKUP(AnalizaCzyste[[#This Row],[Jak się nazywa uczelnia którą ukończyłeś? (proszę o wybranie jednej uczelni podlegającej ocenie)]],KategorieUczelni[],2,0)</f>
        <v>Publiczna</v>
      </c>
      <c r="AJ60" t="str">
        <f>VLOOKUP(AnalizaCzyste[[#This Row],[Jak się nazywa uczelnia którą ukończyłeś? (proszę o wybranie jednej uczelni podlegającej ocenie)]],KategorieUczelni[],3,0)</f>
        <v>Nietechniczna</v>
      </c>
      <c r="AK60">
        <f>COUNTIF(AnalizaCzyste[[#This Row],[Czy jesteś absolwentem uczelni wyższej?]],"*"&amp;"Tak"&amp;"*")</f>
        <v>1</v>
      </c>
      <c r="AL60">
        <v>2010</v>
      </c>
      <c r="AM60" t="s">
        <v>148</v>
      </c>
      <c r="AN60" t="s">
        <v>429</v>
      </c>
      <c r="AO60" t="s">
        <v>169</v>
      </c>
      <c r="AP60" t="s">
        <v>169</v>
      </c>
      <c r="AQ60" t="s">
        <v>150</v>
      </c>
      <c r="AR60" t="s">
        <v>236</v>
      </c>
      <c r="AS60" t="s">
        <v>128</v>
      </c>
      <c r="AT60" t="s">
        <v>883</v>
      </c>
      <c r="AU60" t="s">
        <v>152</v>
      </c>
      <c r="AV60">
        <f>VLOOKUP(AnalizaCzyste[[#This Row],[w pierwszym roku po ukończeniu studiów : wybierz wartość z listy rozwijanej4]],Zarobki[],2,0)</f>
        <v>500</v>
      </c>
      <c r="AW60" t="s">
        <v>131</v>
      </c>
      <c r="AX60">
        <f>VLOOKUP(AnalizaCzyste[[#This Row],[w 3 lata po ukończeniu studiów : wybierz wartość z listy rozwijanej5]],Zarobki[],2,0)</f>
        <v>1500</v>
      </c>
      <c r="AY60" t="s">
        <v>996</v>
      </c>
      <c r="AZ60" t="s">
        <v>794</v>
      </c>
      <c r="BA60" t="s">
        <v>780</v>
      </c>
      <c r="BB60" t="s">
        <v>230</v>
      </c>
      <c r="BD60" s="1" t="s">
        <v>123</v>
      </c>
      <c r="CX60" s="1" t="s">
        <v>123</v>
      </c>
      <c r="DH60" s="1" t="s">
        <v>123</v>
      </c>
      <c r="DR60" s="1" t="s">
        <v>123</v>
      </c>
      <c r="EU60" s="1" t="s">
        <v>123</v>
      </c>
      <c r="EV60" t="s">
        <v>180</v>
      </c>
      <c r="EW60" t="s">
        <v>132</v>
      </c>
      <c r="FU60" s="1" t="s">
        <v>123</v>
      </c>
      <c r="FV60" t="s">
        <v>132</v>
      </c>
      <c r="FX60" t="s">
        <v>132</v>
      </c>
      <c r="HC60" t="s">
        <v>786</v>
      </c>
      <c r="HD60" t="s">
        <v>819</v>
      </c>
      <c r="HE60" t="s">
        <v>820</v>
      </c>
      <c r="HF60" t="s">
        <v>186</v>
      </c>
      <c r="HG60">
        <v>1986</v>
      </c>
      <c r="HH60" t="str">
        <f>VLOOKUP(AnalizaCzyste[[#This Row],[Rok urodzenia]],KategorieWiekowe[],2,1)</f>
        <v>26–35 lat</v>
      </c>
      <c r="HI60" t="s">
        <v>483</v>
      </c>
      <c r="HK60" t="s">
        <v>386</v>
      </c>
      <c r="HL60" t="s">
        <v>386</v>
      </c>
    </row>
    <row r="61" spans="1:220" x14ac:dyDescent="0.45">
      <c r="A61">
        <v>102</v>
      </c>
      <c r="B61">
        <f>_xlfn.IFNA(VLOOKUP(AnalizaCzyste[[#This Row],[Zakończono wypełnianie]],Zakończone[],2,0),"BRAK")</f>
        <v>63</v>
      </c>
      <c r="C61">
        <f t="shared" si="1"/>
        <v>50</v>
      </c>
      <c r="D61" t="s">
        <v>999</v>
      </c>
      <c r="E61" t="s">
        <v>118</v>
      </c>
      <c r="F61" t="s">
        <v>260</v>
      </c>
      <c r="J61" t="s">
        <v>119</v>
      </c>
      <c r="K61" t="s">
        <v>1000</v>
      </c>
      <c r="L61" t="s">
        <v>1001</v>
      </c>
      <c r="M61">
        <v>18013</v>
      </c>
      <c r="O61">
        <v>0</v>
      </c>
      <c r="P61" t="s">
        <v>122</v>
      </c>
      <c r="Q61" s="1" t="s">
        <v>123</v>
      </c>
      <c r="AG61" s="1" t="s">
        <v>124</v>
      </c>
      <c r="AH61" t="s">
        <v>2271</v>
      </c>
      <c r="AI61" t="str">
        <f>VLOOKUP(AnalizaCzyste[[#This Row],[Jak się nazywa uczelnia którą ukończyłeś? (proszę o wybranie jednej uczelni podlegającej ocenie)]],KategorieUczelni[],2,0)</f>
        <v>Publiczna</v>
      </c>
      <c r="AJ61" t="str">
        <f>VLOOKUP(AnalizaCzyste[[#This Row],[Jak się nazywa uczelnia którą ukończyłeś? (proszę o wybranie jednej uczelni podlegającej ocenie)]],KategorieUczelni[],3,0)</f>
        <v>Nietechniczna</v>
      </c>
      <c r="AK61">
        <f>COUNTIF(AnalizaCzyste[[#This Row],[Czy jesteś absolwentem uczelni wyższej?]],"*"&amp;"Tak"&amp;"*")</f>
        <v>1</v>
      </c>
      <c r="AL61">
        <v>1996</v>
      </c>
      <c r="AM61" t="s">
        <v>148</v>
      </c>
      <c r="AN61" t="s">
        <v>1003</v>
      </c>
      <c r="AO61" t="s">
        <v>150</v>
      </c>
      <c r="AP61" t="s">
        <v>150</v>
      </c>
      <c r="AQ61" t="s">
        <v>162</v>
      </c>
      <c r="AR61" t="s">
        <v>129</v>
      </c>
      <c r="AS61" t="s">
        <v>236</v>
      </c>
      <c r="AT61">
        <v>1</v>
      </c>
      <c r="AU61" t="s">
        <v>131</v>
      </c>
      <c r="AV61">
        <f>VLOOKUP(AnalizaCzyste[[#This Row],[w pierwszym roku po ukończeniu studiów : wybierz wartość z listy rozwijanej4]],Zarobki[],2,0)</f>
        <v>1500</v>
      </c>
      <c r="AW61" t="s">
        <v>153</v>
      </c>
      <c r="AX61">
        <f>VLOOKUP(AnalizaCzyste[[#This Row],[w 3 lata po ukończeniu studiów : wybierz wartość z listy rozwijanej5]],Zarobki[],2,0)</f>
        <v>3500</v>
      </c>
      <c r="AY61" t="s">
        <v>1004</v>
      </c>
      <c r="AZ61" t="s">
        <v>1005</v>
      </c>
      <c r="BA61" t="s">
        <v>532</v>
      </c>
      <c r="BB61" t="s">
        <v>157</v>
      </c>
      <c r="BC61" t="s">
        <v>1006</v>
      </c>
      <c r="BD61" s="1" t="s">
        <v>123</v>
      </c>
      <c r="CX61" s="1" t="s">
        <v>123</v>
      </c>
      <c r="DH61" s="1" t="s">
        <v>123</v>
      </c>
      <c r="DR61" s="1" t="s">
        <v>123</v>
      </c>
      <c r="EU61" s="1" t="s">
        <v>177</v>
      </c>
      <c r="EV61" t="s">
        <v>178</v>
      </c>
      <c r="EW61" t="s">
        <v>132</v>
      </c>
      <c r="EX61" t="s">
        <v>1002</v>
      </c>
      <c r="EY61" t="s">
        <v>236</v>
      </c>
      <c r="EZ61" t="s">
        <v>236</v>
      </c>
      <c r="FA61" t="s">
        <v>151</v>
      </c>
      <c r="FB61" t="s">
        <v>178</v>
      </c>
      <c r="FC61" t="s">
        <v>1007</v>
      </c>
      <c r="FD61" t="s">
        <v>1008</v>
      </c>
      <c r="FE61" t="s">
        <v>173</v>
      </c>
      <c r="FU61" s="1" t="s">
        <v>123</v>
      </c>
      <c r="FV61" t="s">
        <v>132</v>
      </c>
      <c r="FX61" t="s">
        <v>132</v>
      </c>
      <c r="HC61" t="s">
        <v>1009</v>
      </c>
      <c r="HD61" t="s">
        <v>1007</v>
      </c>
      <c r="HE61" t="s">
        <v>1009</v>
      </c>
      <c r="HF61" t="s">
        <v>186</v>
      </c>
      <c r="HG61">
        <v>1966</v>
      </c>
      <c r="HH61" t="str">
        <f>VLOOKUP(AnalizaCzyste[[#This Row],[Rok urodzenia]],KategorieWiekowe[],2,1)</f>
        <v>46–55 lat</v>
      </c>
      <c r="HI61" t="s">
        <v>141</v>
      </c>
    </row>
    <row r="62" spans="1:220" x14ac:dyDescent="0.45">
      <c r="A62">
        <v>105</v>
      </c>
      <c r="B62">
        <f>_xlfn.IFNA(VLOOKUP(AnalizaCzyste[[#This Row],[Zakończono wypełnianie]],Zakończone[],2,0),"BRAK")</f>
        <v>64</v>
      </c>
      <c r="C62">
        <f t="shared" si="1"/>
        <v>41</v>
      </c>
      <c r="D62" t="s">
        <v>1014</v>
      </c>
      <c r="E62" t="s">
        <v>118</v>
      </c>
      <c r="J62" t="s">
        <v>119</v>
      </c>
      <c r="K62" t="s">
        <v>1015</v>
      </c>
      <c r="L62" t="s">
        <v>1016</v>
      </c>
      <c r="M62">
        <v>1293</v>
      </c>
      <c r="O62">
        <v>0</v>
      </c>
      <c r="P62" t="s">
        <v>122</v>
      </c>
      <c r="Q62" s="1" t="s">
        <v>123</v>
      </c>
      <c r="AG62" s="1" t="s">
        <v>124</v>
      </c>
      <c r="AH62" t="s">
        <v>223</v>
      </c>
      <c r="AI62" t="str">
        <f>VLOOKUP(AnalizaCzyste[[#This Row],[Jak się nazywa uczelnia którą ukończyłeś? (proszę o wybranie jednej uczelni podlegającej ocenie)]],KategorieUczelni[],2,0)</f>
        <v>Publiczna</v>
      </c>
      <c r="AJ62" t="str">
        <f>VLOOKUP(AnalizaCzyste[[#This Row],[Jak się nazywa uczelnia którą ukończyłeś? (proszę o wybranie jednej uczelni podlegającej ocenie)]],KategorieUczelni[],3,0)</f>
        <v>Nietechniczna</v>
      </c>
      <c r="AK62">
        <f>COUNTIF(AnalizaCzyste[[#This Row],[Czy jesteś absolwentem uczelni wyższej?]],"*"&amp;"Tak"&amp;"*")</f>
        <v>1</v>
      </c>
      <c r="AL62">
        <v>2003</v>
      </c>
      <c r="AM62" t="s">
        <v>148</v>
      </c>
      <c r="AN62" t="s">
        <v>1017</v>
      </c>
      <c r="AO62" t="s">
        <v>128</v>
      </c>
      <c r="AP62" t="s">
        <v>128</v>
      </c>
      <c r="AQ62" t="s">
        <v>128</v>
      </c>
      <c r="AR62" t="s">
        <v>236</v>
      </c>
      <c r="AS62" t="s">
        <v>132</v>
      </c>
      <c r="AT62" t="s">
        <v>1018</v>
      </c>
      <c r="AU62" t="s">
        <v>131</v>
      </c>
      <c r="AV62">
        <f>VLOOKUP(AnalizaCzyste[[#This Row],[w pierwszym roku po ukończeniu studiów : wybierz wartość z listy rozwijanej4]],Zarobki[],2,0)</f>
        <v>1500</v>
      </c>
      <c r="AW62" t="s">
        <v>131</v>
      </c>
      <c r="AX62">
        <f>VLOOKUP(AnalizaCzyste[[#This Row],[w 3 lata po ukończeniu studiów : wybierz wartość z listy rozwijanej5]],Zarobki[],2,0)</f>
        <v>1500</v>
      </c>
      <c r="AZ62" t="s">
        <v>1019</v>
      </c>
      <c r="BA62" t="s">
        <v>1020</v>
      </c>
      <c r="BB62" t="s">
        <v>157</v>
      </c>
      <c r="BD62" s="1" t="s">
        <v>123</v>
      </c>
      <c r="CX62" s="1" t="s">
        <v>123</v>
      </c>
      <c r="DH62" s="1" t="s">
        <v>123</v>
      </c>
      <c r="DR62" s="1" t="s">
        <v>123</v>
      </c>
      <c r="EU62" s="1" t="s">
        <v>123</v>
      </c>
      <c r="EV62" t="s">
        <v>180</v>
      </c>
      <c r="EW62" t="s">
        <v>132</v>
      </c>
      <c r="FU62" s="1" t="s">
        <v>123</v>
      </c>
      <c r="FV62" t="s">
        <v>132</v>
      </c>
      <c r="FX62" t="s">
        <v>132</v>
      </c>
      <c r="HC62" t="s">
        <v>276</v>
      </c>
      <c r="HD62" t="s">
        <v>1021</v>
      </c>
      <c r="HE62" t="s">
        <v>1022</v>
      </c>
      <c r="HF62" t="s">
        <v>140</v>
      </c>
      <c r="HG62">
        <v>1980</v>
      </c>
      <c r="HH62" t="str">
        <f>VLOOKUP(AnalizaCzyste[[#This Row],[Rok urodzenia]],KategorieWiekowe[],2,1)</f>
        <v>36–45 lat</v>
      </c>
      <c r="HI62" t="s">
        <v>483</v>
      </c>
      <c r="HK62" t="s">
        <v>1023</v>
      </c>
    </row>
    <row r="63" spans="1:220" x14ac:dyDescent="0.45">
      <c r="A63">
        <v>110</v>
      </c>
      <c r="B63">
        <f>_xlfn.IFNA(VLOOKUP(AnalizaCzyste[[#This Row],[Zakończono wypełnianie]],Zakończone[],2,0),"BRAK")</f>
        <v>65</v>
      </c>
      <c r="C63">
        <f t="shared" si="1"/>
        <v>41</v>
      </c>
      <c r="D63" t="s">
        <v>1033</v>
      </c>
      <c r="E63" t="s">
        <v>118</v>
      </c>
      <c r="F63" t="s">
        <v>1034</v>
      </c>
      <c r="J63" t="s">
        <v>119</v>
      </c>
      <c r="K63" t="s">
        <v>1035</v>
      </c>
      <c r="L63" t="s">
        <v>1036</v>
      </c>
      <c r="M63">
        <v>1167</v>
      </c>
      <c r="O63">
        <v>0</v>
      </c>
      <c r="P63" t="s">
        <v>122</v>
      </c>
      <c r="Q63" s="1" t="s">
        <v>123</v>
      </c>
      <c r="AG63" s="1" t="s">
        <v>124</v>
      </c>
      <c r="AH63" s="42" t="s">
        <v>2318</v>
      </c>
      <c r="AI63" s="42" t="str">
        <f>VLOOKUP(AnalizaCzyste[[#This Row],[Jak się nazywa uczelnia którą ukończyłeś? (proszę o wybranie jednej uczelni podlegającej ocenie)]],KategorieUczelni[],2,0)</f>
        <v>Publiczna</v>
      </c>
      <c r="AJ63" s="42" t="str">
        <f>VLOOKUP(AnalizaCzyste[[#This Row],[Jak się nazywa uczelnia którą ukończyłeś? (proszę o wybranie jednej uczelni podlegającej ocenie)]],KategorieUczelni[],3,0)</f>
        <v>Techniczna</v>
      </c>
      <c r="AK63" s="42">
        <f>COUNTIF(AnalizaCzyste[[#This Row],[Czy jesteś absolwentem uczelni wyższej?]],"*"&amp;"Tak"&amp;"*")</f>
        <v>1</v>
      </c>
      <c r="AL63" s="42">
        <v>2007</v>
      </c>
      <c r="AM63" t="s">
        <v>126</v>
      </c>
      <c r="AN63" t="s">
        <v>1039</v>
      </c>
      <c r="AO63" t="s">
        <v>128</v>
      </c>
      <c r="AP63" t="s">
        <v>151</v>
      </c>
      <c r="AQ63" t="s">
        <v>236</v>
      </c>
      <c r="AR63" t="s">
        <v>129</v>
      </c>
      <c r="AS63" t="s">
        <v>129</v>
      </c>
      <c r="AT63">
        <v>5</v>
      </c>
      <c r="AU63" t="s">
        <v>302</v>
      </c>
      <c r="AV63">
        <f>VLOOKUP(AnalizaCzyste[[#This Row],[w pierwszym roku po ukończeniu studiów : wybierz wartość z listy rozwijanej4]],Zarobki[],2,0)</f>
        <v>2500</v>
      </c>
      <c r="AW63" t="s">
        <v>302</v>
      </c>
      <c r="AX63">
        <f>VLOOKUP(AnalizaCzyste[[#This Row],[w 3 lata po ukończeniu studiów : wybierz wartość z listy rozwijanej5]],Zarobki[],2,0)</f>
        <v>2500</v>
      </c>
      <c r="AZ63" t="s">
        <v>1040</v>
      </c>
      <c r="BA63" t="s">
        <v>1041</v>
      </c>
      <c r="BB63" t="s">
        <v>892</v>
      </c>
      <c r="BC63" t="s">
        <v>1042</v>
      </c>
      <c r="BD63" s="1" t="s">
        <v>123</v>
      </c>
      <c r="CX63" s="1" t="s">
        <v>123</v>
      </c>
      <c r="DH63" s="1" t="s">
        <v>123</v>
      </c>
      <c r="DR63" s="1" t="s">
        <v>123</v>
      </c>
      <c r="EU63" s="1" t="s">
        <v>123</v>
      </c>
      <c r="EV63" t="s">
        <v>180</v>
      </c>
      <c r="EW63" t="s">
        <v>132</v>
      </c>
      <c r="FU63" s="1" t="s">
        <v>123</v>
      </c>
      <c r="FV63" t="s">
        <v>132</v>
      </c>
      <c r="FX63" t="s">
        <v>132</v>
      </c>
      <c r="HC63" t="s">
        <v>1043</v>
      </c>
      <c r="HD63" t="s">
        <v>1044</v>
      </c>
      <c r="HE63" t="s">
        <v>1045</v>
      </c>
      <c r="HF63" t="s">
        <v>186</v>
      </c>
      <c r="HG63">
        <v>1982</v>
      </c>
      <c r="HH63" t="str">
        <f>VLOOKUP(AnalizaCzyste[[#This Row],[Rok urodzenia]],KategorieWiekowe[],2,1)</f>
        <v>36–45 lat</v>
      </c>
      <c r="HI63" t="s">
        <v>246</v>
      </c>
    </row>
    <row r="64" spans="1:220" x14ac:dyDescent="0.45">
      <c r="A64">
        <v>111</v>
      </c>
      <c r="B64">
        <f>_xlfn.IFNA(VLOOKUP(AnalizaCzyste[[#This Row],[Zakończono wypełnianie]],Zakończone[],2,0),"BRAK")</f>
        <v>66</v>
      </c>
      <c r="C64">
        <f t="shared" si="1"/>
        <v>43</v>
      </c>
      <c r="D64" t="s">
        <v>1046</v>
      </c>
      <c r="E64" t="s">
        <v>118</v>
      </c>
      <c r="J64" t="s">
        <v>119</v>
      </c>
      <c r="K64" t="s">
        <v>1047</v>
      </c>
      <c r="L64" t="s">
        <v>1048</v>
      </c>
      <c r="M64">
        <v>1978</v>
      </c>
      <c r="O64">
        <v>0</v>
      </c>
      <c r="P64" t="s">
        <v>122</v>
      </c>
      <c r="Q64" s="1" t="s">
        <v>123</v>
      </c>
      <c r="AG64" s="1" t="s">
        <v>124</v>
      </c>
      <c r="AH64" t="s">
        <v>1290</v>
      </c>
      <c r="AI64" t="str">
        <f>VLOOKUP(AnalizaCzyste[[#This Row],[Jak się nazywa uczelnia którą ukończyłeś? (proszę o wybranie jednej uczelni podlegającej ocenie)]],KategorieUczelni[],2,0)</f>
        <v>Niepubliczna</v>
      </c>
      <c r="AJ64" t="str">
        <f>VLOOKUP(AnalizaCzyste[[#This Row],[Jak się nazywa uczelnia którą ukończyłeś? (proszę o wybranie jednej uczelni podlegającej ocenie)]],KategorieUczelni[],3,0)</f>
        <v>Nietechniczna</v>
      </c>
      <c r="AK64">
        <f>COUNTIF(AnalizaCzyste[[#This Row],[Czy jesteś absolwentem uczelni wyższej?]],"*"&amp;"Tak"&amp;"*")</f>
        <v>1</v>
      </c>
      <c r="AL64">
        <v>2009</v>
      </c>
      <c r="AM64" t="s">
        <v>148</v>
      </c>
      <c r="AN64" t="s">
        <v>1050</v>
      </c>
      <c r="AO64" t="s">
        <v>150</v>
      </c>
      <c r="AP64" t="s">
        <v>162</v>
      </c>
      <c r="AQ64" t="s">
        <v>169</v>
      </c>
      <c r="AR64" t="s">
        <v>162</v>
      </c>
      <c r="AS64" t="s">
        <v>150</v>
      </c>
      <c r="AT64" t="s">
        <v>1051</v>
      </c>
      <c r="AU64" t="s">
        <v>302</v>
      </c>
      <c r="AV64">
        <f>VLOOKUP(AnalizaCzyste[[#This Row],[w pierwszym roku po ukończeniu studiów : wybierz wartość z listy rozwijanej4]],Zarobki[],2,0)</f>
        <v>2500</v>
      </c>
      <c r="AW64" t="s">
        <v>153</v>
      </c>
      <c r="AX64">
        <f>VLOOKUP(AnalizaCzyste[[#This Row],[w 3 lata po ukończeniu studiów : wybierz wartość z listy rozwijanej5]],Zarobki[],2,0)</f>
        <v>3500</v>
      </c>
      <c r="AY64" t="s">
        <v>1052</v>
      </c>
      <c r="AZ64" t="s">
        <v>1053</v>
      </c>
      <c r="BA64" t="s">
        <v>1054</v>
      </c>
      <c r="BB64" t="s">
        <v>230</v>
      </c>
      <c r="BC64" t="s">
        <v>1050</v>
      </c>
      <c r="BD64" s="1" t="s">
        <v>123</v>
      </c>
      <c r="CX64" s="1" t="s">
        <v>123</v>
      </c>
      <c r="DH64" s="1" t="s">
        <v>123</v>
      </c>
      <c r="DR64" s="1" t="s">
        <v>123</v>
      </c>
      <c r="EU64" s="1" t="s">
        <v>123</v>
      </c>
      <c r="EV64" t="s">
        <v>180</v>
      </c>
      <c r="EW64" t="s">
        <v>132</v>
      </c>
      <c r="FU64" s="1" t="s">
        <v>123</v>
      </c>
      <c r="FV64" t="s">
        <v>132</v>
      </c>
      <c r="FX64" t="s">
        <v>132</v>
      </c>
      <c r="HC64" t="s">
        <v>1055</v>
      </c>
      <c r="HD64" t="s">
        <v>1056</v>
      </c>
      <c r="HE64" t="s">
        <v>1057</v>
      </c>
      <c r="HF64" t="s">
        <v>186</v>
      </c>
      <c r="HG64">
        <v>1978</v>
      </c>
      <c r="HH64" t="str">
        <f>VLOOKUP(AnalizaCzyste[[#This Row],[Rok urodzenia]],KategorieWiekowe[],2,1)</f>
        <v>36–45 lat</v>
      </c>
      <c r="HI64" t="s">
        <v>141</v>
      </c>
      <c r="HK64" t="s">
        <v>1058</v>
      </c>
    </row>
    <row r="65" spans="1:220" x14ac:dyDescent="0.45">
      <c r="A65">
        <v>113</v>
      </c>
      <c r="B65">
        <f>_xlfn.IFNA(VLOOKUP(AnalizaCzyste[[#This Row],[Zakończono wypełnianie]],Zakończone[],2,0),"BRAK")</f>
        <v>67</v>
      </c>
      <c r="C65">
        <f t="shared" si="1"/>
        <v>38</v>
      </c>
      <c r="D65" t="s">
        <v>1065</v>
      </c>
      <c r="E65" t="s">
        <v>118</v>
      </c>
      <c r="J65" t="s">
        <v>119</v>
      </c>
      <c r="K65" t="s">
        <v>1066</v>
      </c>
      <c r="L65" t="s">
        <v>1067</v>
      </c>
      <c r="M65">
        <v>2803</v>
      </c>
      <c r="O65">
        <v>0</v>
      </c>
      <c r="P65" t="s">
        <v>122</v>
      </c>
      <c r="Q65" s="1" t="s">
        <v>123</v>
      </c>
      <c r="AG65" s="1" t="s">
        <v>124</v>
      </c>
      <c r="AH65" t="s">
        <v>1439</v>
      </c>
      <c r="AI65" t="str">
        <f>VLOOKUP(AnalizaCzyste[[#This Row],[Jak się nazywa uczelnia którą ukończyłeś? (proszę o wybranie jednej uczelni podlegającej ocenie)]],KategorieUczelni[],2,0)</f>
        <v>Niepubliczna</v>
      </c>
      <c r="AJ65" t="str">
        <f>VLOOKUP(AnalizaCzyste[[#This Row],[Jak się nazywa uczelnia którą ukończyłeś? (proszę o wybranie jednej uczelni podlegającej ocenie)]],KategorieUczelni[],3,0)</f>
        <v>Nietechniczna</v>
      </c>
      <c r="AK65">
        <f>COUNTIF(AnalizaCzyste[[#This Row],[Czy jesteś absolwentem uczelni wyższej?]],"*"&amp;"Tak"&amp;"*")</f>
        <v>1</v>
      </c>
      <c r="AL65">
        <v>2019</v>
      </c>
      <c r="AM65" t="s">
        <v>148</v>
      </c>
      <c r="AN65" t="s">
        <v>1069</v>
      </c>
      <c r="AO65" t="s">
        <v>128</v>
      </c>
      <c r="AP65" t="s">
        <v>151</v>
      </c>
      <c r="AQ65" t="s">
        <v>128</v>
      </c>
      <c r="AR65" t="s">
        <v>129</v>
      </c>
      <c r="AS65" t="s">
        <v>132</v>
      </c>
      <c r="AT65" t="s">
        <v>1070</v>
      </c>
      <c r="AU65" t="s">
        <v>153</v>
      </c>
      <c r="AV65">
        <f>VLOOKUP(AnalizaCzyste[[#This Row],[w pierwszym roku po ukończeniu studiów : wybierz wartość z listy rozwijanej4]],Zarobki[],2,0)</f>
        <v>3500</v>
      </c>
      <c r="AW65" t="s">
        <v>132</v>
      </c>
      <c r="AX65" t="str">
        <f>VLOOKUP(AnalizaCzyste[[#This Row],[w 3 lata po ukończeniu studiów : wybierz wartość z listy rozwijanej5]],Zarobki[],2,0)</f>
        <v>N/D</v>
      </c>
      <c r="AZ65" t="s">
        <v>1071</v>
      </c>
      <c r="BA65" t="s">
        <v>1072</v>
      </c>
      <c r="BB65" t="s">
        <v>892</v>
      </c>
      <c r="BD65" s="1" t="s">
        <v>123</v>
      </c>
      <c r="CX65" s="1" t="s">
        <v>123</v>
      </c>
      <c r="DH65" s="1" t="s">
        <v>123</v>
      </c>
      <c r="DR65" s="1" t="s">
        <v>123</v>
      </c>
      <c r="EU65" s="1" t="s">
        <v>123</v>
      </c>
      <c r="FU65" s="1" t="s">
        <v>123</v>
      </c>
      <c r="FV65" t="s">
        <v>132</v>
      </c>
      <c r="HC65" t="s">
        <v>1073</v>
      </c>
      <c r="HD65" t="s">
        <v>1074</v>
      </c>
      <c r="HE65" t="s">
        <v>1075</v>
      </c>
      <c r="HF65" t="s">
        <v>140</v>
      </c>
      <c r="HG65">
        <v>1991</v>
      </c>
      <c r="HH65" t="str">
        <f>VLOOKUP(AnalizaCzyste[[#This Row],[Rok urodzenia]],KategorieWiekowe[],2,1)</f>
        <v>26–35 lat</v>
      </c>
      <c r="HI65" t="s">
        <v>398</v>
      </c>
      <c r="HL65" t="s">
        <v>1076</v>
      </c>
    </row>
    <row r="66" spans="1:220" x14ac:dyDescent="0.45">
      <c r="A66">
        <v>114</v>
      </c>
      <c r="B66">
        <f>_xlfn.IFNA(VLOOKUP(AnalizaCzyste[[#This Row],[Zakończono wypełnianie]],Zakończone[],2,0),"BRAK")</f>
        <v>68</v>
      </c>
      <c r="C66">
        <f t="shared" si="1"/>
        <v>47</v>
      </c>
      <c r="D66" t="s">
        <v>1077</v>
      </c>
      <c r="E66" t="s">
        <v>118</v>
      </c>
      <c r="J66" t="s">
        <v>119</v>
      </c>
      <c r="K66" t="s">
        <v>1078</v>
      </c>
      <c r="L66" t="s">
        <v>1079</v>
      </c>
      <c r="M66">
        <v>862</v>
      </c>
      <c r="O66">
        <v>0</v>
      </c>
      <c r="P66" t="s">
        <v>122</v>
      </c>
      <c r="Q66" s="1" t="s">
        <v>123</v>
      </c>
      <c r="AG66" s="1" t="s">
        <v>124</v>
      </c>
      <c r="AH66" t="s">
        <v>223</v>
      </c>
      <c r="AI66" t="str">
        <f>VLOOKUP(AnalizaCzyste[[#This Row],[Jak się nazywa uczelnia którą ukończyłeś? (proszę o wybranie jednej uczelni podlegającej ocenie)]],KategorieUczelni[],2,0)</f>
        <v>Publiczna</v>
      </c>
      <c r="AJ66" t="str">
        <f>VLOOKUP(AnalizaCzyste[[#This Row],[Jak się nazywa uczelnia którą ukończyłeś? (proszę o wybranie jednej uczelni podlegającej ocenie)]],KategorieUczelni[],3,0)</f>
        <v>Nietechniczna</v>
      </c>
      <c r="AK66">
        <f>COUNTIF(AnalizaCzyste[[#This Row],[Czy jesteś absolwentem uczelni wyższej?]],"*"&amp;"Tak"&amp;"*")</f>
        <v>1</v>
      </c>
      <c r="AL66">
        <v>2007</v>
      </c>
      <c r="AM66" t="s">
        <v>148</v>
      </c>
      <c r="AN66" t="s">
        <v>969</v>
      </c>
      <c r="AO66" t="s">
        <v>151</v>
      </c>
      <c r="AP66" t="s">
        <v>151</v>
      </c>
      <c r="AQ66" t="s">
        <v>150</v>
      </c>
      <c r="AR66" t="s">
        <v>162</v>
      </c>
      <c r="AS66" t="s">
        <v>150</v>
      </c>
      <c r="AT66" t="s">
        <v>237</v>
      </c>
      <c r="AU66" t="s">
        <v>131</v>
      </c>
      <c r="AV66">
        <f>VLOOKUP(AnalizaCzyste[[#This Row],[w pierwszym roku po ukończeniu studiów : wybierz wartość z listy rozwijanej4]],Zarobki[],2,0)</f>
        <v>1500</v>
      </c>
      <c r="AW66" t="s">
        <v>302</v>
      </c>
      <c r="AX66">
        <f>VLOOKUP(AnalizaCzyste[[#This Row],[w 3 lata po ukończeniu studiów : wybierz wartość z listy rozwijanej5]],Zarobki[],2,0)</f>
        <v>2500</v>
      </c>
      <c r="AZ66" t="s">
        <v>1080</v>
      </c>
      <c r="BA66" t="s">
        <v>1081</v>
      </c>
      <c r="BB66" t="s">
        <v>230</v>
      </c>
      <c r="BD66" s="1" t="s">
        <v>123</v>
      </c>
      <c r="CX66" s="1" t="s">
        <v>123</v>
      </c>
      <c r="DH66" s="1" t="s">
        <v>123</v>
      </c>
      <c r="DR66" s="1" t="s">
        <v>123</v>
      </c>
      <c r="EU66" s="1" t="s">
        <v>123</v>
      </c>
      <c r="EV66" t="s">
        <v>178</v>
      </c>
      <c r="EW66" t="s">
        <v>132</v>
      </c>
      <c r="EX66" t="s">
        <v>1082</v>
      </c>
      <c r="EY66" t="s">
        <v>151</v>
      </c>
      <c r="EZ66" t="s">
        <v>151</v>
      </c>
      <c r="FA66" t="s">
        <v>151</v>
      </c>
      <c r="FB66" t="s">
        <v>178</v>
      </c>
      <c r="FD66" t="s">
        <v>1083</v>
      </c>
      <c r="FE66" t="s">
        <v>173</v>
      </c>
      <c r="FU66" s="1" t="s">
        <v>123</v>
      </c>
      <c r="FV66" t="s">
        <v>132</v>
      </c>
      <c r="FX66" t="s">
        <v>132</v>
      </c>
      <c r="HC66" t="s">
        <v>1084</v>
      </c>
      <c r="HD66" t="s">
        <v>1085</v>
      </c>
      <c r="HE66" t="s">
        <v>1086</v>
      </c>
      <c r="HF66" t="s">
        <v>140</v>
      </c>
      <c r="HG66">
        <v>1982</v>
      </c>
      <c r="HH66" t="str">
        <f>VLOOKUP(AnalizaCzyste[[#This Row],[Rok urodzenia]],KategorieWiekowe[],2,1)</f>
        <v>36–45 lat</v>
      </c>
      <c r="HI66" t="s">
        <v>141</v>
      </c>
    </row>
    <row r="67" spans="1:220" x14ac:dyDescent="0.45">
      <c r="A67">
        <v>115</v>
      </c>
      <c r="B67">
        <f>_xlfn.IFNA(VLOOKUP(AnalizaCzyste[[#This Row],[Zakończono wypełnianie]],Zakończone[],2,0),"BRAK")</f>
        <v>69</v>
      </c>
      <c r="C67">
        <f t="shared" ref="C67:C98" si="2">COUNTA(P67:HM67)</f>
        <v>38</v>
      </c>
      <c r="D67" t="s">
        <v>1087</v>
      </c>
      <c r="E67" t="s">
        <v>118</v>
      </c>
      <c r="J67" t="s">
        <v>119</v>
      </c>
      <c r="K67" t="s">
        <v>1088</v>
      </c>
      <c r="L67" t="s">
        <v>1089</v>
      </c>
      <c r="M67">
        <v>1206</v>
      </c>
      <c r="O67">
        <v>0</v>
      </c>
      <c r="P67" t="s">
        <v>122</v>
      </c>
      <c r="Q67" s="1" t="s">
        <v>123</v>
      </c>
      <c r="AG67" s="1" t="s">
        <v>124</v>
      </c>
      <c r="AH67" t="s">
        <v>1090</v>
      </c>
      <c r="AI67" t="str">
        <f>VLOOKUP(AnalizaCzyste[[#This Row],[Jak się nazywa uczelnia którą ukończyłeś? (proszę o wybranie jednej uczelni podlegającej ocenie)]],KategorieUczelni[],2,0)</f>
        <v>Publiczna</v>
      </c>
      <c r="AJ67" t="str">
        <f>VLOOKUP(AnalizaCzyste[[#This Row],[Jak się nazywa uczelnia którą ukończyłeś? (proszę o wybranie jednej uczelni podlegającej ocenie)]],KategorieUczelni[],3,0)</f>
        <v>Techniczna</v>
      </c>
      <c r="AK67">
        <f>COUNTIF(AnalizaCzyste[[#This Row],[Czy jesteś absolwentem uczelni wyższej?]],"*"&amp;"Tak"&amp;"*")</f>
        <v>1</v>
      </c>
      <c r="AL67">
        <v>2004</v>
      </c>
      <c r="AM67" t="s">
        <v>126</v>
      </c>
      <c r="AN67" t="s">
        <v>844</v>
      </c>
      <c r="AO67" t="s">
        <v>162</v>
      </c>
      <c r="AP67" t="s">
        <v>162</v>
      </c>
      <c r="AQ67" t="s">
        <v>150</v>
      </c>
      <c r="AR67" t="s">
        <v>151</v>
      </c>
      <c r="AS67" t="s">
        <v>150</v>
      </c>
      <c r="AT67" t="s">
        <v>237</v>
      </c>
      <c r="AU67" t="s">
        <v>302</v>
      </c>
      <c r="AV67">
        <f>VLOOKUP(AnalizaCzyste[[#This Row],[w pierwszym roku po ukończeniu studiów : wybierz wartość z listy rozwijanej4]],Zarobki[],2,0)</f>
        <v>2500</v>
      </c>
      <c r="AW67" t="s">
        <v>226</v>
      </c>
      <c r="AX67">
        <f>VLOOKUP(AnalizaCzyste[[#This Row],[w 3 lata po ukończeniu studiów : wybierz wartość z listy rozwijanej5]],Zarobki[],2,0)</f>
        <v>4500</v>
      </c>
      <c r="AY67" t="s">
        <v>1091</v>
      </c>
      <c r="AZ67" t="s">
        <v>1092</v>
      </c>
      <c r="BA67" t="s">
        <v>1093</v>
      </c>
      <c r="BB67" t="s">
        <v>157</v>
      </c>
      <c r="BD67" s="1" t="s">
        <v>123</v>
      </c>
      <c r="CX67" s="1" t="s">
        <v>123</v>
      </c>
      <c r="DH67" s="1" t="s">
        <v>123</v>
      </c>
      <c r="DR67" s="1" t="s">
        <v>123</v>
      </c>
      <c r="EU67" s="1" t="s">
        <v>123</v>
      </c>
      <c r="FU67" s="1" t="s">
        <v>123</v>
      </c>
      <c r="FV67" t="s">
        <v>132</v>
      </c>
      <c r="HC67" t="s">
        <v>1094</v>
      </c>
      <c r="HD67" t="s">
        <v>1095</v>
      </c>
      <c r="HE67" t="s">
        <v>1096</v>
      </c>
      <c r="HF67" t="s">
        <v>140</v>
      </c>
      <c r="HG67">
        <v>1976</v>
      </c>
      <c r="HH67" t="str">
        <f>VLOOKUP(AnalizaCzyste[[#This Row],[Rok urodzenia]],KategorieWiekowe[],2,1)</f>
        <v>36–45 lat</v>
      </c>
      <c r="HI67" t="s">
        <v>141</v>
      </c>
    </row>
    <row r="68" spans="1:220" x14ac:dyDescent="0.45">
      <c r="A68">
        <v>117</v>
      </c>
      <c r="B68">
        <f>_xlfn.IFNA(VLOOKUP(AnalizaCzyste[[#This Row],[Zakończono wypełnianie]],Zakończone[],2,0),"BRAK")</f>
        <v>70</v>
      </c>
      <c r="C68">
        <f t="shared" si="2"/>
        <v>36</v>
      </c>
      <c r="D68" t="s">
        <v>1098</v>
      </c>
      <c r="E68" t="s">
        <v>118</v>
      </c>
      <c r="J68" t="s">
        <v>119</v>
      </c>
      <c r="K68" t="s">
        <v>1099</v>
      </c>
      <c r="L68" t="s">
        <v>1100</v>
      </c>
      <c r="M68">
        <v>358</v>
      </c>
      <c r="O68">
        <v>0</v>
      </c>
      <c r="P68" t="s">
        <v>122</v>
      </c>
      <c r="Q68" s="1" t="s">
        <v>123</v>
      </c>
      <c r="AG68" s="1" t="s">
        <v>124</v>
      </c>
      <c r="AH68" t="s">
        <v>1090</v>
      </c>
      <c r="AI68" t="str">
        <f>VLOOKUP(AnalizaCzyste[[#This Row],[Jak się nazywa uczelnia którą ukończyłeś? (proszę o wybranie jednej uczelni podlegającej ocenie)]],KategorieUczelni[],2,0)</f>
        <v>Publiczna</v>
      </c>
      <c r="AJ68" t="str">
        <f>VLOOKUP(AnalizaCzyste[[#This Row],[Jak się nazywa uczelnia którą ukończyłeś? (proszę o wybranie jednej uczelni podlegającej ocenie)]],KategorieUczelni[],3,0)</f>
        <v>Techniczna</v>
      </c>
      <c r="AK68">
        <f>COUNTIF(AnalizaCzyste[[#This Row],[Czy jesteś absolwentem uczelni wyższej?]],"*"&amp;"Tak"&amp;"*")</f>
        <v>1</v>
      </c>
      <c r="AL68">
        <v>2018</v>
      </c>
      <c r="AM68" t="s">
        <v>126</v>
      </c>
      <c r="AN68" t="s">
        <v>844</v>
      </c>
      <c r="AO68" t="s">
        <v>150</v>
      </c>
      <c r="AP68" t="s">
        <v>151</v>
      </c>
      <c r="AQ68" t="s">
        <v>162</v>
      </c>
      <c r="AR68" t="s">
        <v>150</v>
      </c>
      <c r="AS68" t="s">
        <v>132</v>
      </c>
      <c r="AT68">
        <v>1</v>
      </c>
      <c r="AU68" t="s">
        <v>153</v>
      </c>
      <c r="AV68">
        <f>VLOOKUP(AnalizaCzyste[[#This Row],[w pierwszym roku po ukończeniu studiów : wybierz wartość z listy rozwijanej4]],Zarobki[],2,0)</f>
        <v>3500</v>
      </c>
      <c r="AW68" t="s">
        <v>132</v>
      </c>
      <c r="AX68" t="str">
        <f>VLOOKUP(AnalizaCzyste[[#This Row],[w 3 lata po ukończeniu studiów : wybierz wartość z listy rozwijanej5]],Zarobki[],2,0)</f>
        <v>N/D</v>
      </c>
      <c r="AZ68" t="s">
        <v>1101</v>
      </c>
      <c r="BA68" t="s">
        <v>1102</v>
      </c>
      <c r="BB68" t="s">
        <v>157</v>
      </c>
      <c r="BD68" s="1" t="s">
        <v>123</v>
      </c>
      <c r="CX68" s="1" t="s">
        <v>123</v>
      </c>
      <c r="DH68" s="1" t="s">
        <v>123</v>
      </c>
      <c r="DR68" s="1" t="s">
        <v>123</v>
      </c>
      <c r="EU68" s="1" t="s">
        <v>123</v>
      </c>
      <c r="FU68" s="1" t="s">
        <v>123</v>
      </c>
      <c r="HC68" t="s">
        <v>1103</v>
      </c>
      <c r="HD68" t="s">
        <v>1104</v>
      </c>
      <c r="HE68" t="s">
        <v>1105</v>
      </c>
      <c r="HF68" t="s">
        <v>140</v>
      </c>
      <c r="HG68">
        <v>1991</v>
      </c>
      <c r="HH68" t="str">
        <f>VLOOKUP(AnalizaCzyste[[#This Row],[Rok urodzenia]],KategorieWiekowe[],2,1)</f>
        <v>26–35 lat</v>
      </c>
      <c r="HI68" t="s">
        <v>141</v>
      </c>
    </row>
    <row r="69" spans="1:220" x14ac:dyDescent="0.45">
      <c r="A69">
        <v>122</v>
      </c>
      <c r="B69">
        <f>_xlfn.IFNA(VLOOKUP(AnalizaCzyste[[#This Row],[Zakończono wypełnianie]],Zakończone[],2,0),"BRAK")</f>
        <v>71</v>
      </c>
      <c r="C69">
        <f t="shared" si="2"/>
        <v>38</v>
      </c>
      <c r="D69" t="s">
        <v>1131</v>
      </c>
      <c r="E69" t="s">
        <v>118</v>
      </c>
      <c r="J69" t="s">
        <v>119</v>
      </c>
      <c r="K69" t="s">
        <v>1132</v>
      </c>
      <c r="L69" t="s">
        <v>1133</v>
      </c>
      <c r="M69">
        <v>3215</v>
      </c>
      <c r="O69">
        <v>0</v>
      </c>
      <c r="P69" t="s">
        <v>122</v>
      </c>
      <c r="Q69" s="1" t="s">
        <v>123</v>
      </c>
      <c r="AG69" s="1" t="s">
        <v>124</v>
      </c>
      <c r="AH69" t="s">
        <v>191</v>
      </c>
      <c r="AI69" t="str">
        <f>VLOOKUP(AnalizaCzyste[[#This Row],[Jak się nazywa uczelnia którą ukończyłeś? (proszę o wybranie jednej uczelni podlegającej ocenie)]],KategorieUczelni[],2,0)</f>
        <v>Publiczna</v>
      </c>
      <c r="AJ69" t="str">
        <f>VLOOKUP(AnalizaCzyste[[#This Row],[Jak się nazywa uczelnia którą ukończyłeś? (proszę o wybranie jednej uczelni podlegającej ocenie)]],KategorieUczelni[],3,0)</f>
        <v>Techniczna</v>
      </c>
      <c r="AK69">
        <f>COUNTIF(AnalizaCzyste[[#This Row],[Czy jesteś absolwentem uczelni wyższej?]],"*"&amp;"Tak"&amp;"*")</f>
        <v>1</v>
      </c>
      <c r="AL69">
        <v>2015</v>
      </c>
      <c r="AM69" t="s">
        <v>126</v>
      </c>
      <c r="AN69" t="s">
        <v>1134</v>
      </c>
      <c r="AO69" t="s">
        <v>128</v>
      </c>
      <c r="AP69" t="s">
        <v>151</v>
      </c>
      <c r="AQ69" t="s">
        <v>169</v>
      </c>
      <c r="AR69" t="s">
        <v>162</v>
      </c>
      <c r="AS69" t="s">
        <v>150</v>
      </c>
      <c r="AT69">
        <v>1</v>
      </c>
      <c r="AU69" t="s">
        <v>302</v>
      </c>
      <c r="AV69">
        <f>VLOOKUP(AnalizaCzyste[[#This Row],[w pierwszym roku po ukończeniu studiów : wybierz wartość z listy rozwijanej4]],Zarobki[],2,0)</f>
        <v>2500</v>
      </c>
      <c r="AW69" t="s">
        <v>226</v>
      </c>
      <c r="AX69">
        <f>VLOOKUP(AnalizaCzyste[[#This Row],[w 3 lata po ukończeniu studiów : wybierz wartość z listy rozwijanej5]],Zarobki[],2,0)</f>
        <v>4500</v>
      </c>
      <c r="AY69" t="s">
        <v>1135</v>
      </c>
      <c r="AZ69" t="s">
        <v>1136</v>
      </c>
      <c r="BA69" t="s">
        <v>1137</v>
      </c>
      <c r="BB69" t="s">
        <v>172</v>
      </c>
      <c r="BD69" s="1" t="s">
        <v>123</v>
      </c>
      <c r="CX69" s="1" t="s">
        <v>123</v>
      </c>
      <c r="DH69" s="1" t="s">
        <v>123</v>
      </c>
      <c r="DR69" s="1" t="s">
        <v>123</v>
      </c>
      <c r="EU69" s="1" t="s">
        <v>123</v>
      </c>
      <c r="FU69" s="1" t="s">
        <v>123</v>
      </c>
      <c r="HC69" t="s">
        <v>1138</v>
      </c>
      <c r="HD69" t="s">
        <v>1139</v>
      </c>
      <c r="HE69" t="s">
        <v>1140</v>
      </c>
      <c r="HF69" t="s">
        <v>186</v>
      </c>
      <c r="HG69">
        <v>1991</v>
      </c>
      <c r="HH69" t="str">
        <f>VLOOKUP(AnalizaCzyste[[#This Row],[Rok urodzenia]],KategorieWiekowe[],2,1)</f>
        <v>26–35 lat</v>
      </c>
      <c r="HI69" t="s">
        <v>141</v>
      </c>
      <c r="HK69" t="s">
        <v>1141</v>
      </c>
    </row>
    <row r="70" spans="1:220" x14ac:dyDescent="0.45">
      <c r="A70">
        <v>123</v>
      </c>
      <c r="B70">
        <f>_xlfn.IFNA(VLOOKUP(AnalizaCzyste[[#This Row],[Zakończono wypełnianie]],Zakończone[],2,0),"BRAK")</f>
        <v>72</v>
      </c>
      <c r="C70">
        <f t="shared" si="2"/>
        <v>38</v>
      </c>
      <c r="D70" t="s">
        <v>1142</v>
      </c>
      <c r="E70" t="s">
        <v>118</v>
      </c>
      <c r="J70" t="s">
        <v>119</v>
      </c>
      <c r="K70" t="s">
        <v>1143</v>
      </c>
      <c r="L70" t="s">
        <v>1144</v>
      </c>
      <c r="M70">
        <v>258</v>
      </c>
      <c r="O70">
        <v>0</v>
      </c>
      <c r="P70" t="s">
        <v>122</v>
      </c>
      <c r="Q70" s="1" t="s">
        <v>123</v>
      </c>
      <c r="AG70" s="1" t="s">
        <v>124</v>
      </c>
      <c r="AH70" t="s">
        <v>1439</v>
      </c>
      <c r="AI70" t="str">
        <f>VLOOKUP(AnalizaCzyste[[#This Row],[Jak się nazywa uczelnia którą ukończyłeś? (proszę o wybranie jednej uczelni podlegającej ocenie)]],KategorieUczelni[],2,0)</f>
        <v>Niepubliczna</v>
      </c>
      <c r="AJ70" t="str">
        <f>VLOOKUP(AnalizaCzyste[[#This Row],[Jak się nazywa uczelnia którą ukończyłeś? (proszę o wybranie jednej uczelni podlegającej ocenie)]],KategorieUczelni[],3,0)</f>
        <v>Nietechniczna</v>
      </c>
      <c r="AK70">
        <f>COUNTIF(AnalizaCzyste[[#This Row],[Czy jesteś absolwentem uczelni wyższej?]],"*"&amp;"Tak"&amp;"*")</f>
        <v>1</v>
      </c>
      <c r="AL70">
        <v>2016</v>
      </c>
      <c r="AM70" t="s">
        <v>126</v>
      </c>
      <c r="AN70" t="s">
        <v>1146</v>
      </c>
      <c r="AO70" t="s">
        <v>150</v>
      </c>
      <c r="AP70" t="s">
        <v>150</v>
      </c>
      <c r="AQ70" t="s">
        <v>169</v>
      </c>
      <c r="AR70" t="s">
        <v>169</v>
      </c>
      <c r="AS70" t="s">
        <v>169</v>
      </c>
      <c r="AT70">
        <v>3</v>
      </c>
      <c r="AU70" t="s">
        <v>302</v>
      </c>
      <c r="AV70">
        <f>VLOOKUP(AnalizaCzyste[[#This Row],[w pierwszym roku po ukończeniu studiów : wybierz wartość z listy rozwijanej4]],Zarobki[],2,0)</f>
        <v>2500</v>
      </c>
      <c r="AW70" t="s">
        <v>943</v>
      </c>
      <c r="AX70">
        <f>VLOOKUP(AnalizaCzyste[[#This Row],[w 3 lata po ukończeniu studiów : wybierz wartość z listy rozwijanej5]],Zarobki[],2,0)</f>
        <v>8500</v>
      </c>
      <c r="AZ70" t="s">
        <v>1147</v>
      </c>
      <c r="BA70" t="s">
        <v>1148</v>
      </c>
      <c r="BB70" t="s">
        <v>892</v>
      </c>
      <c r="BD70" s="1" t="s">
        <v>123</v>
      </c>
      <c r="CX70" s="1" t="s">
        <v>123</v>
      </c>
      <c r="DH70" s="1" t="s">
        <v>123</v>
      </c>
      <c r="DR70" s="1" t="s">
        <v>123</v>
      </c>
      <c r="EU70" s="1" t="s">
        <v>123</v>
      </c>
      <c r="EV70" t="s">
        <v>178</v>
      </c>
      <c r="EW70">
        <v>1</v>
      </c>
      <c r="FU70" s="1" t="s">
        <v>123</v>
      </c>
      <c r="HC70" t="s">
        <v>1149</v>
      </c>
      <c r="HD70" t="s">
        <v>1149</v>
      </c>
      <c r="HE70" t="s">
        <v>1150</v>
      </c>
      <c r="HF70" t="s">
        <v>186</v>
      </c>
      <c r="HG70">
        <v>1986</v>
      </c>
      <c r="HH70" t="str">
        <f>VLOOKUP(AnalizaCzyste[[#This Row],[Rok urodzenia]],KategorieWiekowe[],2,1)</f>
        <v>26–35 lat</v>
      </c>
      <c r="HI70" t="s">
        <v>398</v>
      </c>
    </row>
    <row r="71" spans="1:220" x14ac:dyDescent="0.45">
      <c r="A71">
        <v>124</v>
      </c>
      <c r="B71">
        <f>_xlfn.IFNA(VLOOKUP(AnalizaCzyste[[#This Row],[Zakończono wypełnianie]],Zakończone[],2,0),"BRAK")</f>
        <v>73</v>
      </c>
      <c r="C71">
        <f t="shared" si="2"/>
        <v>40</v>
      </c>
      <c r="D71" t="s">
        <v>1151</v>
      </c>
      <c r="E71" t="s">
        <v>118</v>
      </c>
      <c r="F71" t="s">
        <v>1152</v>
      </c>
      <c r="J71" t="s">
        <v>119</v>
      </c>
      <c r="K71" t="s">
        <v>1153</v>
      </c>
      <c r="L71" t="s">
        <v>1154</v>
      </c>
      <c r="M71">
        <v>1159</v>
      </c>
      <c r="O71">
        <v>0</v>
      </c>
      <c r="P71" t="s">
        <v>122</v>
      </c>
      <c r="Q71" s="1" t="s">
        <v>123</v>
      </c>
      <c r="AG71" s="1" t="s">
        <v>124</v>
      </c>
      <c r="AH71" t="s">
        <v>191</v>
      </c>
      <c r="AI71" t="str">
        <f>VLOOKUP(AnalizaCzyste[[#This Row],[Jak się nazywa uczelnia którą ukończyłeś? (proszę o wybranie jednej uczelni podlegającej ocenie)]],KategorieUczelni[],2,0)</f>
        <v>Publiczna</v>
      </c>
      <c r="AJ71" t="str">
        <f>VLOOKUP(AnalizaCzyste[[#This Row],[Jak się nazywa uczelnia którą ukończyłeś? (proszę o wybranie jednej uczelni podlegającej ocenie)]],KategorieUczelni[],3,0)</f>
        <v>Techniczna</v>
      </c>
      <c r="AK71">
        <f>COUNTIF(AnalizaCzyste[[#This Row],[Czy jesteś absolwentem uczelni wyższej?]],"*"&amp;"Tak"&amp;"*")</f>
        <v>1</v>
      </c>
      <c r="AL71">
        <v>2018</v>
      </c>
      <c r="AM71" t="s">
        <v>126</v>
      </c>
      <c r="AN71" t="s">
        <v>969</v>
      </c>
      <c r="AO71" t="s">
        <v>150</v>
      </c>
      <c r="AP71" t="s">
        <v>150</v>
      </c>
      <c r="AQ71" t="s">
        <v>162</v>
      </c>
      <c r="AR71" t="s">
        <v>128</v>
      </c>
      <c r="AS71" t="s">
        <v>151</v>
      </c>
      <c r="AT71" t="s">
        <v>530</v>
      </c>
      <c r="AU71" t="s">
        <v>131</v>
      </c>
      <c r="AV71">
        <f>VLOOKUP(AnalizaCzyste[[#This Row],[w pierwszym roku po ukończeniu studiów : wybierz wartość z listy rozwijanej4]],Zarobki[],2,0)</f>
        <v>1500</v>
      </c>
      <c r="AW71" t="s">
        <v>302</v>
      </c>
      <c r="AX71">
        <f>VLOOKUP(AnalizaCzyste[[#This Row],[w 3 lata po ukończeniu studiów : wybierz wartość z listy rozwijanej5]],Zarobki[],2,0)</f>
        <v>2500</v>
      </c>
      <c r="AY71" t="s">
        <v>1155</v>
      </c>
      <c r="AZ71" t="s">
        <v>1156</v>
      </c>
      <c r="BA71" t="s">
        <v>1157</v>
      </c>
      <c r="BB71" t="s">
        <v>230</v>
      </c>
      <c r="BC71" t="s">
        <v>1158</v>
      </c>
      <c r="BD71" s="1" t="s">
        <v>123</v>
      </c>
      <c r="CX71" s="1" t="s">
        <v>123</v>
      </c>
      <c r="DH71" s="1" t="s">
        <v>123</v>
      </c>
      <c r="DR71" s="1" t="s">
        <v>123</v>
      </c>
      <c r="EU71" s="1" t="s">
        <v>123</v>
      </c>
      <c r="FU71" s="1" t="s">
        <v>123</v>
      </c>
      <c r="HC71" t="s">
        <v>1159</v>
      </c>
      <c r="HD71" t="s">
        <v>1160</v>
      </c>
      <c r="HE71" t="s">
        <v>1161</v>
      </c>
      <c r="HF71" t="s">
        <v>140</v>
      </c>
      <c r="HG71">
        <v>1991</v>
      </c>
      <c r="HH71" t="str">
        <f>VLOOKUP(AnalizaCzyste[[#This Row],[Rok urodzenia]],KategorieWiekowe[],2,1)</f>
        <v>26–35 lat</v>
      </c>
      <c r="HI71" t="s">
        <v>483</v>
      </c>
      <c r="HK71" t="s">
        <v>1162</v>
      </c>
      <c r="HL71" t="s">
        <v>142</v>
      </c>
    </row>
    <row r="72" spans="1:220" x14ac:dyDescent="0.45">
      <c r="A72">
        <v>125</v>
      </c>
      <c r="B72">
        <f>_xlfn.IFNA(VLOOKUP(AnalizaCzyste[[#This Row],[Zakończono wypełnianie]],Zakończone[],2,0),"BRAK")</f>
        <v>74</v>
      </c>
      <c r="C72">
        <f t="shared" si="2"/>
        <v>85</v>
      </c>
      <c r="D72" t="s">
        <v>1163</v>
      </c>
      <c r="E72" t="s">
        <v>118</v>
      </c>
      <c r="J72" t="s">
        <v>119</v>
      </c>
      <c r="K72" t="s">
        <v>1164</v>
      </c>
      <c r="L72" t="s">
        <v>1165</v>
      </c>
      <c r="M72">
        <v>982</v>
      </c>
      <c r="O72">
        <v>0</v>
      </c>
      <c r="P72" t="s">
        <v>122</v>
      </c>
      <c r="Q72" s="1" t="s">
        <v>123</v>
      </c>
      <c r="AG72" s="1" t="s">
        <v>124</v>
      </c>
      <c r="AH72" t="s">
        <v>191</v>
      </c>
      <c r="AI72" t="str">
        <f>VLOOKUP(AnalizaCzyste[[#This Row],[Jak się nazywa uczelnia którą ukończyłeś? (proszę o wybranie jednej uczelni podlegającej ocenie)]],KategorieUczelni[],2,0)</f>
        <v>Publiczna</v>
      </c>
      <c r="AJ72" t="str">
        <f>VLOOKUP(AnalizaCzyste[[#This Row],[Jak się nazywa uczelnia którą ukończyłeś? (proszę o wybranie jednej uczelni podlegającej ocenie)]],KategorieUczelni[],3,0)</f>
        <v>Techniczna</v>
      </c>
      <c r="AK72">
        <f>COUNTIF(AnalizaCzyste[[#This Row],[Czy jesteś absolwentem uczelni wyższej?]],"*"&amp;"Tak"&amp;"*")</f>
        <v>1</v>
      </c>
      <c r="AL72">
        <v>1978</v>
      </c>
      <c r="AM72" t="s">
        <v>148</v>
      </c>
      <c r="AN72" t="s">
        <v>1167</v>
      </c>
      <c r="AO72" t="s">
        <v>169</v>
      </c>
      <c r="AP72" t="s">
        <v>169</v>
      </c>
      <c r="AQ72" t="s">
        <v>169</v>
      </c>
      <c r="AR72" t="s">
        <v>150</v>
      </c>
      <c r="AS72" t="s">
        <v>150</v>
      </c>
      <c r="AT72" t="s">
        <v>1168</v>
      </c>
      <c r="AU72" t="s">
        <v>132</v>
      </c>
      <c r="AV72" t="str">
        <f>VLOOKUP(AnalizaCzyste[[#This Row],[w pierwszym roku po ukończeniu studiów : wybierz wartość z listy rozwijanej4]],Zarobki[],2,0)</f>
        <v>N/D</v>
      </c>
      <c r="AW72" t="s">
        <v>132</v>
      </c>
      <c r="AX72" t="str">
        <f>VLOOKUP(AnalizaCzyste[[#This Row],[w 3 lata po ukończeniu studiów : wybierz wartość z listy rozwijanej5]],Zarobki[],2,0)</f>
        <v>N/D</v>
      </c>
      <c r="AY72" t="s">
        <v>1169</v>
      </c>
      <c r="AZ72" t="s">
        <v>1170</v>
      </c>
      <c r="BA72" t="s">
        <v>132</v>
      </c>
      <c r="BC72" t="s">
        <v>1171</v>
      </c>
      <c r="BD72" s="1" t="s">
        <v>159</v>
      </c>
      <c r="BE72">
        <v>1</v>
      </c>
      <c r="BF72" t="s">
        <v>1290</v>
      </c>
      <c r="BG72">
        <v>2020</v>
      </c>
      <c r="BH72" t="s">
        <v>148</v>
      </c>
      <c r="BI72" t="s">
        <v>1050</v>
      </c>
      <c r="BJ72" t="s">
        <v>132</v>
      </c>
      <c r="BK72" t="s">
        <v>132</v>
      </c>
      <c r="BL72" t="s">
        <v>132</v>
      </c>
      <c r="BM72" t="s">
        <v>132</v>
      </c>
      <c r="BN72" t="s">
        <v>132</v>
      </c>
      <c r="BO72" t="s">
        <v>1173</v>
      </c>
      <c r="BP72" t="s">
        <v>1174</v>
      </c>
      <c r="BQ72" t="s">
        <v>230</v>
      </c>
      <c r="BS72" t="s">
        <v>1175</v>
      </c>
      <c r="BT72" t="s">
        <v>173</v>
      </c>
      <c r="CX72" s="1" t="s">
        <v>123</v>
      </c>
      <c r="DH72" s="1" t="s">
        <v>214</v>
      </c>
      <c r="DI72" t="s">
        <v>191</v>
      </c>
      <c r="DJ72" t="s">
        <v>308</v>
      </c>
      <c r="DK72" t="s">
        <v>169</v>
      </c>
      <c r="DL72" t="s">
        <v>162</v>
      </c>
      <c r="DM72" t="s">
        <v>150</v>
      </c>
      <c r="DN72" t="s">
        <v>169</v>
      </c>
      <c r="DO72" t="s">
        <v>150</v>
      </c>
      <c r="DP72" t="s">
        <v>150</v>
      </c>
      <c r="DQ72" t="s">
        <v>1177</v>
      </c>
      <c r="DR72" s="1" t="s">
        <v>174</v>
      </c>
      <c r="DU72" t="s">
        <v>1178</v>
      </c>
      <c r="DW72" t="s">
        <v>747</v>
      </c>
      <c r="DX72" t="s">
        <v>150</v>
      </c>
      <c r="DY72" t="s">
        <v>150</v>
      </c>
      <c r="DZ72" t="s">
        <v>150</v>
      </c>
      <c r="EA72" t="s">
        <v>150</v>
      </c>
      <c r="EB72" t="s">
        <v>162</v>
      </c>
      <c r="EC72" t="s">
        <v>162</v>
      </c>
      <c r="ED72" t="s">
        <v>162</v>
      </c>
      <c r="EE72">
        <v>25</v>
      </c>
      <c r="EF72">
        <v>10</v>
      </c>
      <c r="EG72">
        <v>0</v>
      </c>
      <c r="EH72">
        <v>10</v>
      </c>
      <c r="EI72">
        <v>25</v>
      </c>
      <c r="EJ72">
        <v>15</v>
      </c>
      <c r="EK72">
        <v>15</v>
      </c>
      <c r="EM72">
        <v>10</v>
      </c>
      <c r="EN72">
        <v>10</v>
      </c>
      <c r="EO72">
        <v>0</v>
      </c>
      <c r="EP72">
        <v>10</v>
      </c>
      <c r="EQ72">
        <v>50</v>
      </c>
      <c r="ER72">
        <v>10</v>
      </c>
      <c r="ES72">
        <v>10</v>
      </c>
      <c r="EU72" s="1" t="s">
        <v>123</v>
      </c>
      <c r="FU72" s="1" t="s">
        <v>123</v>
      </c>
      <c r="HC72" t="s">
        <v>1179</v>
      </c>
      <c r="HD72" t="s">
        <v>1180</v>
      </c>
      <c r="HE72" t="s">
        <v>1181</v>
      </c>
      <c r="HF72" t="s">
        <v>186</v>
      </c>
      <c r="HG72" s="20" t="s">
        <v>1473</v>
      </c>
      <c r="HH72" s="20" t="e">
        <f>VLOOKUP(AnalizaCzyste[[#This Row],[Rok urodzenia]],KategorieWiekowe[],2,1)</f>
        <v>#N/A</v>
      </c>
      <c r="HI72" t="s">
        <v>141</v>
      </c>
      <c r="HK72" t="s">
        <v>1183</v>
      </c>
    </row>
    <row r="73" spans="1:220" x14ac:dyDescent="0.45">
      <c r="A73">
        <v>126</v>
      </c>
      <c r="B73">
        <f>_xlfn.IFNA(VLOOKUP(AnalizaCzyste[[#This Row],[Zakończono wypełnianie]],Zakończone[],2,0),"BRAK")</f>
        <v>75</v>
      </c>
      <c r="C73">
        <f t="shared" si="2"/>
        <v>37</v>
      </c>
      <c r="D73" t="s">
        <v>1151</v>
      </c>
      <c r="E73" t="s">
        <v>118</v>
      </c>
      <c r="F73" t="s">
        <v>359</v>
      </c>
      <c r="J73" t="s">
        <v>119</v>
      </c>
      <c r="K73" t="s">
        <v>1184</v>
      </c>
      <c r="L73" t="s">
        <v>1185</v>
      </c>
      <c r="M73">
        <v>739</v>
      </c>
      <c r="O73">
        <v>0</v>
      </c>
      <c r="P73" t="s">
        <v>122</v>
      </c>
      <c r="Q73" s="1" t="s">
        <v>123</v>
      </c>
      <c r="AG73" s="1" t="s">
        <v>124</v>
      </c>
      <c r="AH73" t="s">
        <v>191</v>
      </c>
      <c r="AI73" t="str">
        <f>VLOOKUP(AnalizaCzyste[[#This Row],[Jak się nazywa uczelnia którą ukończyłeś? (proszę o wybranie jednej uczelni podlegającej ocenie)]],KategorieUczelni[],2,0)</f>
        <v>Publiczna</v>
      </c>
      <c r="AJ73" t="str">
        <f>VLOOKUP(AnalizaCzyste[[#This Row],[Jak się nazywa uczelnia którą ukończyłeś? (proszę o wybranie jednej uczelni podlegającej ocenie)]],KategorieUczelni[],3,0)</f>
        <v>Techniczna</v>
      </c>
      <c r="AK73">
        <f>COUNTIF(AnalizaCzyste[[#This Row],[Czy jesteś absolwentem uczelni wyższej?]],"*"&amp;"Tak"&amp;"*")</f>
        <v>1</v>
      </c>
      <c r="AL73">
        <v>2018</v>
      </c>
      <c r="AM73" t="s">
        <v>126</v>
      </c>
      <c r="AN73" t="s">
        <v>1186</v>
      </c>
      <c r="AO73" t="s">
        <v>151</v>
      </c>
      <c r="AP73" t="s">
        <v>162</v>
      </c>
      <c r="AQ73" t="s">
        <v>169</v>
      </c>
      <c r="AR73" t="s">
        <v>150</v>
      </c>
      <c r="AS73" t="s">
        <v>132</v>
      </c>
      <c r="AT73" t="s">
        <v>959</v>
      </c>
      <c r="AU73" t="s">
        <v>302</v>
      </c>
      <c r="AV73">
        <f>VLOOKUP(AnalizaCzyste[[#This Row],[w pierwszym roku po ukończeniu studiów : wybierz wartość z listy rozwijanej4]],Zarobki[],2,0)</f>
        <v>2500</v>
      </c>
      <c r="AW73" t="s">
        <v>226</v>
      </c>
      <c r="AX73">
        <f>VLOOKUP(AnalizaCzyste[[#This Row],[w 3 lata po ukończeniu studiów : wybierz wartość z listy rozwijanej5]],Zarobki[],2,0)</f>
        <v>4500</v>
      </c>
      <c r="AY73" t="s">
        <v>1187</v>
      </c>
      <c r="AZ73" t="s">
        <v>1188</v>
      </c>
      <c r="BA73" t="s">
        <v>1189</v>
      </c>
      <c r="BB73" t="s">
        <v>172</v>
      </c>
      <c r="BD73" s="1" t="s">
        <v>123</v>
      </c>
      <c r="CX73" s="1" t="s">
        <v>123</v>
      </c>
      <c r="DH73" s="1" t="s">
        <v>123</v>
      </c>
      <c r="DR73" s="1" t="s">
        <v>123</v>
      </c>
      <c r="EU73" s="1" t="s">
        <v>123</v>
      </c>
      <c r="FU73" s="1" t="s">
        <v>123</v>
      </c>
      <c r="HC73" t="s">
        <v>276</v>
      </c>
      <c r="HD73" t="s">
        <v>1190</v>
      </c>
      <c r="HE73" t="s">
        <v>1191</v>
      </c>
      <c r="HF73" t="s">
        <v>186</v>
      </c>
      <c r="HG73">
        <v>1991</v>
      </c>
      <c r="HH73" t="str">
        <f>VLOOKUP(AnalizaCzyste[[#This Row],[Rok urodzenia]],KategorieWiekowe[],2,1)</f>
        <v>26–35 lat</v>
      </c>
      <c r="HI73" t="s">
        <v>141</v>
      </c>
    </row>
    <row r="74" spans="1:220" x14ac:dyDescent="0.45">
      <c r="A74">
        <v>127</v>
      </c>
      <c r="B74">
        <f>_xlfn.IFNA(VLOOKUP(AnalizaCzyste[[#This Row],[Zakończono wypełnianie]],Zakończone[],2,0),"BRAK")</f>
        <v>76</v>
      </c>
      <c r="C74">
        <f t="shared" si="2"/>
        <v>48</v>
      </c>
      <c r="D74" t="s">
        <v>1192</v>
      </c>
      <c r="E74" t="s">
        <v>118</v>
      </c>
      <c r="J74" t="s">
        <v>119</v>
      </c>
      <c r="K74" t="s">
        <v>1193</v>
      </c>
      <c r="L74" t="s">
        <v>1194</v>
      </c>
      <c r="M74">
        <v>1676</v>
      </c>
      <c r="O74">
        <v>0</v>
      </c>
      <c r="P74" t="s">
        <v>122</v>
      </c>
      <c r="Q74" s="1" t="s">
        <v>123</v>
      </c>
      <c r="AG74" s="1" t="s">
        <v>124</v>
      </c>
      <c r="AH74" t="s">
        <v>223</v>
      </c>
      <c r="AI74" t="str">
        <f>VLOOKUP(AnalizaCzyste[[#This Row],[Jak się nazywa uczelnia którą ukończyłeś? (proszę o wybranie jednej uczelni podlegającej ocenie)]],KategorieUczelni[],2,0)</f>
        <v>Publiczna</v>
      </c>
      <c r="AJ74" t="str">
        <f>VLOOKUP(AnalizaCzyste[[#This Row],[Jak się nazywa uczelnia którą ukończyłeś? (proszę o wybranie jednej uczelni podlegającej ocenie)]],KategorieUczelni[],3,0)</f>
        <v>Nietechniczna</v>
      </c>
      <c r="AK74">
        <f>COUNTIF(AnalizaCzyste[[#This Row],[Czy jesteś absolwentem uczelni wyższej?]],"*"&amp;"Tak"&amp;"*")</f>
        <v>1</v>
      </c>
      <c r="AL74">
        <v>1998</v>
      </c>
      <c r="AM74" t="s">
        <v>148</v>
      </c>
      <c r="AN74" t="s">
        <v>1195</v>
      </c>
      <c r="AO74" t="s">
        <v>162</v>
      </c>
      <c r="AP74" t="s">
        <v>151</v>
      </c>
      <c r="AQ74" t="s">
        <v>151</v>
      </c>
      <c r="AR74" t="s">
        <v>236</v>
      </c>
      <c r="AS74" t="s">
        <v>151</v>
      </c>
      <c r="AT74">
        <v>0</v>
      </c>
      <c r="AU74" t="s">
        <v>131</v>
      </c>
      <c r="AV74">
        <f>VLOOKUP(AnalizaCzyste[[#This Row],[w pierwszym roku po ukończeniu studiów : wybierz wartość z listy rozwijanej4]],Zarobki[],2,0)</f>
        <v>1500</v>
      </c>
      <c r="AW74" t="s">
        <v>302</v>
      </c>
      <c r="AX74">
        <f>VLOOKUP(AnalizaCzyste[[#This Row],[w 3 lata po ukończeniu studiów : wybierz wartość z listy rozwijanej5]],Zarobki[],2,0)</f>
        <v>2500</v>
      </c>
      <c r="AY74" t="s">
        <v>1196</v>
      </c>
      <c r="AZ74" t="s">
        <v>1196</v>
      </c>
      <c r="BA74" t="s">
        <v>1197</v>
      </c>
      <c r="BB74" t="s">
        <v>157</v>
      </c>
      <c r="BD74" s="1" t="s">
        <v>123</v>
      </c>
      <c r="CX74" s="1" t="s">
        <v>123</v>
      </c>
      <c r="DH74" s="1" t="s">
        <v>123</v>
      </c>
      <c r="DR74" s="1" t="s">
        <v>123</v>
      </c>
      <c r="EU74" s="1" t="s">
        <v>177</v>
      </c>
      <c r="EV74" t="s">
        <v>180</v>
      </c>
      <c r="EW74" t="s">
        <v>132</v>
      </c>
      <c r="EX74" t="s">
        <v>132</v>
      </c>
      <c r="EY74" t="s">
        <v>151</v>
      </c>
      <c r="EZ74" t="s">
        <v>151</v>
      </c>
      <c r="FA74" t="s">
        <v>151</v>
      </c>
      <c r="FB74" t="s">
        <v>178</v>
      </c>
      <c r="FC74" t="s">
        <v>132</v>
      </c>
      <c r="FD74" t="s">
        <v>132</v>
      </c>
      <c r="FE74" t="s">
        <v>173</v>
      </c>
      <c r="FU74" s="1" t="s">
        <v>123</v>
      </c>
      <c r="HC74" t="s">
        <v>1198</v>
      </c>
      <c r="HD74" t="s">
        <v>1199</v>
      </c>
      <c r="HE74" t="s">
        <v>1198</v>
      </c>
      <c r="HF74" t="s">
        <v>186</v>
      </c>
      <c r="HG74">
        <v>1974</v>
      </c>
      <c r="HH74" t="str">
        <f>VLOOKUP(AnalizaCzyste[[#This Row],[Rok urodzenia]],KategorieWiekowe[],2,1)</f>
        <v>46–55 lat</v>
      </c>
      <c r="HI74" t="s">
        <v>141</v>
      </c>
      <c r="HJ74" t="s">
        <v>313</v>
      </c>
    </row>
    <row r="75" spans="1:220" hidden="1" x14ac:dyDescent="0.45">
      <c r="A75">
        <v>128</v>
      </c>
      <c r="B75">
        <f>_xlfn.IFNA(VLOOKUP(AnalizaCzyste[[#This Row],[Zakończono wypełnianie]],Zakończone[],2,0),"BRAK")</f>
        <v>77</v>
      </c>
      <c r="C75">
        <f t="shared" si="2"/>
        <v>49</v>
      </c>
      <c r="D75" t="s">
        <v>1200</v>
      </c>
      <c r="E75" t="s">
        <v>118</v>
      </c>
      <c r="J75" t="s">
        <v>119</v>
      </c>
      <c r="K75" t="s">
        <v>1201</v>
      </c>
      <c r="L75" t="s">
        <v>1202</v>
      </c>
      <c r="M75">
        <v>658</v>
      </c>
      <c r="O75">
        <v>0</v>
      </c>
      <c r="P75" t="s">
        <v>122</v>
      </c>
      <c r="Q75" s="1" t="s">
        <v>123</v>
      </c>
      <c r="AG75" s="1" t="s">
        <v>123</v>
      </c>
      <c r="AI75" t="e">
        <f>VLOOKUP(AnalizaCzyste[[#This Row],[Jak się nazywa uczelnia którą ukończyłeś? (proszę o wybranie jednej uczelni podlegającej ocenie)]],KategorieUczelni[],2,0)</f>
        <v>#N/A</v>
      </c>
      <c r="AJ75" t="e">
        <f>VLOOKUP(AnalizaCzyste[[#This Row],[Jak się nazywa uczelnia którą ukończyłeś? (proszę o wybranie jednej uczelni podlegającej ocenie)]],KategorieUczelni[],3,0)</f>
        <v>#N/A</v>
      </c>
      <c r="AK75">
        <f>COUNTIF(AnalizaCzyste[[#This Row],[Czy jesteś absolwentem uczelni wyższej?]],"*"&amp;"Tak"&amp;"*")</f>
        <v>0</v>
      </c>
      <c r="AV75" t="e">
        <f>VLOOKUP(AnalizaCzyste[[#This Row],[w pierwszym roku po ukończeniu studiów : wybierz wartość z listy rozwijanej4]],Zarobki[],2,0)</f>
        <v>#N/A</v>
      </c>
      <c r="AX75" t="e">
        <f>VLOOKUP(AnalizaCzyste[[#This Row],[w 3 lata po ukończeniu studiów : wybierz wartość z listy rozwijanej5]],Zarobki[],2,0)</f>
        <v>#N/A</v>
      </c>
      <c r="BD75" s="1" t="s">
        <v>123</v>
      </c>
      <c r="CX75" s="1" t="s">
        <v>123</v>
      </c>
      <c r="DH75" s="1" t="s">
        <v>214</v>
      </c>
      <c r="DI75" t="s">
        <v>191</v>
      </c>
      <c r="DJ75" t="s">
        <v>308</v>
      </c>
      <c r="DK75" t="s">
        <v>162</v>
      </c>
      <c r="DL75" t="s">
        <v>162</v>
      </c>
      <c r="DM75" t="s">
        <v>150</v>
      </c>
      <c r="DN75" t="s">
        <v>150</v>
      </c>
      <c r="DO75" t="s">
        <v>150</v>
      </c>
      <c r="DP75" t="s">
        <v>169</v>
      </c>
      <c r="DQ75" t="s">
        <v>1203</v>
      </c>
      <c r="DR75" s="1" t="s">
        <v>123</v>
      </c>
      <c r="EU75" s="1" t="s">
        <v>177</v>
      </c>
      <c r="EV75" t="s">
        <v>178</v>
      </c>
      <c r="EW75">
        <v>2</v>
      </c>
      <c r="EX75" t="s">
        <v>191</v>
      </c>
      <c r="EY75" t="s">
        <v>169</v>
      </c>
      <c r="EZ75" t="s">
        <v>169</v>
      </c>
      <c r="FA75" t="s">
        <v>169</v>
      </c>
      <c r="FB75" t="s">
        <v>178</v>
      </c>
      <c r="FC75" t="s">
        <v>1204</v>
      </c>
      <c r="FD75" t="s">
        <v>1205</v>
      </c>
      <c r="FE75" t="s">
        <v>1206</v>
      </c>
      <c r="FF75" t="s">
        <v>223</v>
      </c>
      <c r="FG75" t="s">
        <v>128</v>
      </c>
      <c r="FH75" t="s">
        <v>236</v>
      </c>
      <c r="FI75" t="s">
        <v>129</v>
      </c>
      <c r="FJ75" t="s">
        <v>178</v>
      </c>
      <c r="FK75" t="s">
        <v>960</v>
      </c>
      <c r="FL75" t="s">
        <v>1207</v>
      </c>
      <c r="FM75" t="s">
        <v>173</v>
      </c>
      <c r="FU75" s="1" t="s">
        <v>123</v>
      </c>
      <c r="HC75" t="s">
        <v>1208</v>
      </c>
      <c r="HD75" t="s">
        <v>1209</v>
      </c>
      <c r="HE75" t="s">
        <v>1210</v>
      </c>
      <c r="HF75" t="s">
        <v>186</v>
      </c>
      <c r="HG75">
        <v>1987</v>
      </c>
      <c r="HH75" t="str">
        <f>VLOOKUP(AnalizaCzyste[[#This Row],[Rok urodzenia]],KategorieWiekowe[],2,1)</f>
        <v>26–35 lat</v>
      </c>
      <c r="HI75" t="s">
        <v>141</v>
      </c>
      <c r="HK75" t="s">
        <v>191</v>
      </c>
    </row>
    <row r="76" spans="1:220" x14ac:dyDescent="0.45">
      <c r="A76">
        <v>129</v>
      </c>
      <c r="B76">
        <f>_xlfn.IFNA(VLOOKUP(AnalizaCzyste[[#This Row],[Zakończono wypełnianie]],Zakończone[],2,0),"BRAK")</f>
        <v>78</v>
      </c>
      <c r="C76">
        <f t="shared" si="2"/>
        <v>37</v>
      </c>
      <c r="D76" t="s">
        <v>1211</v>
      </c>
      <c r="E76" t="s">
        <v>118</v>
      </c>
      <c r="F76" t="s">
        <v>1152</v>
      </c>
      <c r="J76" t="s">
        <v>119</v>
      </c>
      <c r="K76" t="s">
        <v>1212</v>
      </c>
      <c r="L76" t="s">
        <v>1213</v>
      </c>
      <c r="M76">
        <v>808</v>
      </c>
      <c r="O76">
        <v>0</v>
      </c>
      <c r="P76" t="s">
        <v>122</v>
      </c>
      <c r="Q76" s="1" t="s">
        <v>123</v>
      </c>
      <c r="AG76" s="1" t="s">
        <v>124</v>
      </c>
      <c r="AH76" t="s">
        <v>428</v>
      </c>
      <c r="AI76" t="str">
        <f>VLOOKUP(AnalizaCzyste[[#This Row],[Jak się nazywa uczelnia którą ukończyłeś? (proszę o wybranie jednej uczelni podlegającej ocenie)]],KategorieUczelni[],2,0)</f>
        <v>Publiczna</v>
      </c>
      <c r="AJ76" t="str">
        <f>VLOOKUP(AnalizaCzyste[[#This Row],[Jak się nazywa uczelnia którą ukończyłeś? (proszę o wybranie jednej uczelni podlegającej ocenie)]],KategorieUczelni[],3,0)</f>
        <v>Nietechniczna</v>
      </c>
      <c r="AK76">
        <f>COUNTIF(AnalizaCzyste[[#This Row],[Czy jesteś absolwentem uczelni wyższej?]],"*"&amp;"Tak"&amp;"*")</f>
        <v>1</v>
      </c>
      <c r="AL76">
        <v>1998</v>
      </c>
      <c r="AM76" t="s">
        <v>148</v>
      </c>
      <c r="AN76" t="s">
        <v>1215</v>
      </c>
      <c r="AO76" t="s">
        <v>150</v>
      </c>
      <c r="AP76" t="s">
        <v>150</v>
      </c>
      <c r="AQ76" t="s">
        <v>151</v>
      </c>
      <c r="AR76" t="s">
        <v>129</v>
      </c>
      <c r="AS76" t="s">
        <v>128</v>
      </c>
      <c r="AT76" t="s">
        <v>1216</v>
      </c>
      <c r="AU76" t="s">
        <v>131</v>
      </c>
      <c r="AV76">
        <f>VLOOKUP(AnalizaCzyste[[#This Row],[w pierwszym roku po ukończeniu studiów : wybierz wartość z listy rozwijanej4]],Zarobki[],2,0)</f>
        <v>1500</v>
      </c>
      <c r="AW76" t="s">
        <v>131</v>
      </c>
      <c r="AX76">
        <f>VLOOKUP(AnalizaCzyste[[#This Row],[w 3 lata po ukończeniu studiów : wybierz wartość z listy rozwijanej5]],Zarobki[],2,0)</f>
        <v>1500</v>
      </c>
      <c r="AY76" t="s">
        <v>1217</v>
      </c>
      <c r="AZ76" t="s">
        <v>1218</v>
      </c>
      <c r="BA76" t="s">
        <v>1219</v>
      </c>
      <c r="BC76" t="s">
        <v>1220</v>
      </c>
      <c r="BD76" s="1" t="s">
        <v>123</v>
      </c>
      <c r="CX76" s="1" t="s">
        <v>123</v>
      </c>
      <c r="DH76" s="1" t="s">
        <v>123</v>
      </c>
      <c r="DR76" s="1" t="s">
        <v>123</v>
      </c>
      <c r="EU76" s="1" t="s">
        <v>123</v>
      </c>
      <c r="FU76" s="1" t="s">
        <v>123</v>
      </c>
      <c r="HC76" t="s">
        <v>1221</v>
      </c>
      <c r="HD76" t="s">
        <v>1222</v>
      </c>
      <c r="HE76" t="s">
        <v>1223</v>
      </c>
      <c r="HF76" t="s">
        <v>186</v>
      </c>
      <c r="HG76">
        <v>1973</v>
      </c>
      <c r="HH76" t="str">
        <f>VLOOKUP(AnalizaCzyste[[#This Row],[Rok urodzenia]],KategorieWiekowe[],2,1)</f>
        <v>46–55 lat</v>
      </c>
      <c r="HI76" t="s">
        <v>141</v>
      </c>
    </row>
    <row r="77" spans="1:220" x14ac:dyDescent="0.45">
      <c r="A77">
        <v>130</v>
      </c>
      <c r="B77">
        <f>_xlfn.IFNA(VLOOKUP(AnalizaCzyste[[#This Row],[Zakończono wypełnianie]],Zakończone[],2,0),"BRAK")</f>
        <v>79</v>
      </c>
      <c r="C77">
        <f t="shared" si="2"/>
        <v>87</v>
      </c>
      <c r="D77" t="s">
        <v>1224</v>
      </c>
      <c r="E77" t="s">
        <v>118</v>
      </c>
      <c r="F77" t="s">
        <v>797</v>
      </c>
      <c r="J77" t="s">
        <v>119</v>
      </c>
      <c r="K77" t="s">
        <v>1225</v>
      </c>
      <c r="L77" t="s">
        <v>1226</v>
      </c>
      <c r="M77">
        <v>4209</v>
      </c>
      <c r="O77">
        <v>0</v>
      </c>
      <c r="P77" t="s">
        <v>122</v>
      </c>
      <c r="Q77" s="1" t="s">
        <v>123</v>
      </c>
      <c r="AG77" s="1" t="s">
        <v>124</v>
      </c>
      <c r="AH77" t="s">
        <v>2269</v>
      </c>
      <c r="AI77" t="str">
        <f>VLOOKUP(AnalizaCzyste[[#This Row],[Jak się nazywa uczelnia którą ukończyłeś? (proszę o wybranie jednej uczelni podlegającej ocenie)]],KategorieUczelni[],2,0)</f>
        <v>Publiczna</v>
      </c>
      <c r="AJ77" t="str">
        <f>VLOOKUP(AnalizaCzyste[[#This Row],[Jak się nazywa uczelnia którą ukończyłeś? (proszę o wybranie jednej uczelni podlegającej ocenie)]],KategorieUczelni[],3,0)</f>
        <v>Nietechniczna</v>
      </c>
      <c r="AK77">
        <f>COUNTIF(AnalizaCzyste[[#This Row],[Czy jesteś absolwentem uczelni wyższej?]],"*"&amp;"Tak"&amp;"*")</f>
        <v>1</v>
      </c>
      <c r="AL77">
        <v>1985</v>
      </c>
      <c r="AM77" t="s">
        <v>148</v>
      </c>
      <c r="AN77" t="s">
        <v>391</v>
      </c>
      <c r="AO77" t="s">
        <v>150</v>
      </c>
      <c r="AP77" t="s">
        <v>150</v>
      </c>
      <c r="AQ77" t="s">
        <v>169</v>
      </c>
      <c r="AR77" t="s">
        <v>236</v>
      </c>
      <c r="AS77" t="s">
        <v>236</v>
      </c>
      <c r="AT77">
        <v>0</v>
      </c>
      <c r="AU77" t="s">
        <v>152</v>
      </c>
      <c r="AV77">
        <f>VLOOKUP(AnalizaCzyste[[#This Row],[w pierwszym roku po ukończeniu studiów : wybierz wartość z listy rozwijanej4]],Zarobki[],2,0)</f>
        <v>500</v>
      </c>
      <c r="AW77" t="s">
        <v>152</v>
      </c>
      <c r="AX77">
        <f>VLOOKUP(AnalizaCzyste[[#This Row],[w 3 lata po ukończeniu studiów : wybierz wartość z listy rozwijanej5]],Zarobki[],2,0)</f>
        <v>500</v>
      </c>
      <c r="AY77" t="s">
        <v>1228</v>
      </c>
      <c r="AZ77" t="s">
        <v>1229</v>
      </c>
      <c r="BA77" t="s">
        <v>1229</v>
      </c>
      <c r="BB77" t="s">
        <v>157</v>
      </c>
      <c r="BD77" s="1" t="s">
        <v>159</v>
      </c>
      <c r="BE77">
        <v>2</v>
      </c>
      <c r="BF77" t="s">
        <v>1230</v>
      </c>
      <c r="BG77">
        <v>2005</v>
      </c>
      <c r="BH77" t="s">
        <v>148</v>
      </c>
      <c r="BI77" t="s">
        <v>1231</v>
      </c>
      <c r="BJ77" t="s">
        <v>169</v>
      </c>
      <c r="BK77" t="s">
        <v>169</v>
      </c>
      <c r="BL77" t="s">
        <v>169</v>
      </c>
      <c r="BM77" t="s">
        <v>236</v>
      </c>
      <c r="BN77" t="s">
        <v>236</v>
      </c>
      <c r="BO77">
        <v>0</v>
      </c>
      <c r="BP77" t="s">
        <v>1232</v>
      </c>
      <c r="BQ77" t="s">
        <v>157</v>
      </c>
      <c r="BT77" t="s">
        <v>166</v>
      </c>
      <c r="BU77" t="s">
        <v>1233</v>
      </c>
      <c r="BV77">
        <v>2008</v>
      </c>
      <c r="BW77" t="s">
        <v>148</v>
      </c>
      <c r="BX77" t="s">
        <v>1234</v>
      </c>
      <c r="BY77" t="s">
        <v>169</v>
      </c>
      <c r="BZ77" t="s">
        <v>169</v>
      </c>
      <c r="CA77" t="s">
        <v>169</v>
      </c>
      <c r="CB77" t="s">
        <v>128</v>
      </c>
      <c r="CC77" t="s">
        <v>162</v>
      </c>
      <c r="CD77" t="s">
        <v>1235</v>
      </c>
      <c r="CE77" t="s">
        <v>1236</v>
      </c>
      <c r="CF77" t="s">
        <v>157</v>
      </c>
      <c r="CI77" t="s">
        <v>173</v>
      </c>
      <c r="CX77" s="1" t="s">
        <v>123</v>
      </c>
      <c r="DH77" s="1" t="s">
        <v>123</v>
      </c>
      <c r="DR77" s="1" t="s">
        <v>174</v>
      </c>
      <c r="DS77" t="s">
        <v>394</v>
      </c>
      <c r="DW77" t="s">
        <v>1230</v>
      </c>
      <c r="DX77" t="s">
        <v>150</v>
      </c>
      <c r="DY77" t="s">
        <v>150</v>
      </c>
      <c r="DZ77" t="s">
        <v>150</v>
      </c>
      <c r="EA77" t="s">
        <v>150</v>
      </c>
      <c r="EB77" t="s">
        <v>150</v>
      </c>
      <c r="EC77" t="s">
        <v>169</v>
      </c>
      <c r="ED77" t="s">
        <v>150</v>
      </c>
      <c r="EE77">
        <v>20</v>
      </c>
      <c r="EF77">
        <v>5</v>
      </c>
      <c r="EG77">
        <v>0</v>
      </c>
      <c r="EH77">
        <v>30</v>
      </c>
      <c r="EI77">
        <v>25</v>
      </c>
      <c r="EJ77">
        <v>10</v>
      </c>
      <c r="EK77">
        <v>10</v>
      </c>
      <c r="EM77">
        <v>10</v>
      </c>
      <c r="EN77">
        <v>5</v>
      </c>
      <c r="EO77">
        <v>0</v>
      </c>
      <c r="EP77">
        <v>25</v>
      </c>
      <c r="EQ77">
        <v>25</v>
      </c>
      <c r="ER77">
        <v>5</v>
      </c>
      <c r="ES77">
        <v>30</v>
      </c>
      <c r="EU77" s="1" t="s">
        <v>123</v>
      </c>
      <c r="FU77" s="1" t="s">
        <v>123</v>
      </c>
      <c r="HC77" t="s">
        <v>1237</v>
      </c>
      <c r="HD77" t="s">
        <v>1229</v>
      </c>
      <c r="HE77" t="s">
        <v>1229</v>
      </c>
      <c r="HF77" t="s">
        <v>140</v>
      </c>
      <c r="HG77">
        <v>1958</v>
      </c>
      <c r="HH77" t="str">
        <f>VLOOKUP(AnalizaCzyste[[#This Row],[Rok urodzenia]],KategorieWiekowe[],2,1)</f>
        <v>56–65 lat</v>
      </c>
      <c r="HI77" t="s">
        <v>141</v>
      </c>
    </row>
    <row r="78" spans="1:220" x14ac:dyDescent="0.45">
      <c r="A78">
        <v>131</v>
      </c>
      <c r="B78">
        <f>_xlfn.IFNA(VLOOKUP(AnalizaCzyste[[#This Row],[Zakończono wypełnianie]],Zakończone[],2,0),"BRAK")</f>
        <v>80</v>
      </c>
      <c r="C78">
        <f t="shared" si="2"/>
        <v>41</v>
      </c>
      <c r="D78" t="s">
        <v>1238</v>
      </c>
      <c r="E78" t="s">
        <v>118</v>
      </c>
      <c r="J78" t="s">
        <v>119</v>
      </c>
      <c r="K78" t="s">
        <v>1239</v>
      </c>
      <c r="L78" t="s">
        <v>1240</v>
      </c>
      <c r="M78">
        <v>356</v>
      </c>
      <c r="O78">
        <v>0</v>
      </c>
      <c r="P78" t="s">
        <v>122</v>
      </c>
      <c r="Q78" s="1" t="s">
        <v>123</v>
      </c>
      <c r="AG78" s="1" t="s">
        <v>124</v>
      </c>
      <c r="AH78" t="s">
        <v>223</v>
      </c>
      <c r="AI78" t="str">
        <f>VLOOKUP(AnalizaCzyste[[#This Row],[Jak się nazywa uczelnia którą ukończyłeś? (proszę o wybranie jednej uczelni podlegającej ocenie)]],KategorieUczelni[],2,0)</f>
        <v>Publiczna</v>
      </c>
      <c r="AJ78" t="str">
        <f>VLOOKUP(AnalizaCzyste[[#This Row],[Jak się nazywa uczelnia którą ukończyłeś? (proszę o wybranie jednej uczelni podlegającej ocenie)]],KategorieUczelni[],3,0)</f>
        <v>Nietechniczna</v>
      </c>
      <c r="AK78">
        <f>COUNTIF(AnalizaCzyste[[#This Row],[Czy jesteś absolwentem uczelni wyższej?]],"*"&amp;"Tak"&amp;"*")</f>
        <v>1</v>
      </c>
      <c r="AL78">
        <v>1997</v>
      </c>
      <c r="AM78" t="s">
        <v>148</v>
      </c>
      <c r="AN78" t="s">
        <v>161</v>
      </c>
      <c r="AO78" t="s">
        <v>128</v>
      </c>
      <c r="AP78" t="s">
        <v>128</v>
      </c>
      <c r="AQ78" t="s">
        <v>162</v>
      </c>
      <c r="AR78" t="s">
        <v>162</v>
      </c>
      <c r="AS78" t="s">
        <v>162</v>
      </c>
      <c r="AT78">
        <v>1</v>
      </c>
      <c r="AU78" t="s">
        <v>131</v>
      </c>
      <c r="AV78">
        <f>VLOOKUP(AnalizaCzyste[[#This Row],[w pierwszym roku po ukończeniu studiów : wybierz wartość z listy rozwijanej4]],Zarobki[],2,0)</f>
        <v>1500</v>
      </c>
      <c r="AW78" t="s">
        <v>131</v>
      </c>
      <c r="AX78">
        <f>VLOOKUP(AnalizaCzyste[[#This Row],[w 3 lata po ukończeniu studiów : wybierz wartość z listy rozwijanej5]],Zarobki[],2,0)</f>
        <v>1500</v>
      </c>
      <c r="AY78" t="s">
        <v>1241</v>
      </c>
      <c r="AZ78" t="s">
        <v>1242</v>
      </c>
      <c r="BA78" t="s">
        <v>1243</v>
      </c>
      <c r="BB78" t="s">
        <v>157</v>
      </c>
      <c r="BC78" t="s">
        <v>1244</v>
      </c>
      <c r="BD78" s="1" t="s">
        <v>123</v>
      </c>
      <c r="CX78" s="1" t="s">
        <v>123</v>
      </c>
      <c r="DH78" s="1" t="s">
        <v>123</v>
      </c>
      <c r="DR78" s="1" t="s">
        <v>123</v>
      </c>
      <c r="EU78" s="1" t="s">
        <v>123</v>
      </c>
      <c r="EV78" t="s">
        <v>178</v>
      </c>
      <c r="EW78" t="s">
        <v>132</v>
      </c>
      <c r="FU78" s="1" t="s">
        <v>123</v>
      </c>
      <c r="HC78" t="s">
        <v>1245</v>
      </c>
      <c r="HD78" t="s">
        <v>1246</v>
      </c>
      <c r="HE78" t="s">
        <v>1247</v>
      </c>
      <c r="HF78" t="s">
        <v>186</v>
      </c>
      <c r="HG78">
        <v>1974</v>
      </c>
      <c r="HH78" t="str">
        <f>VLOOKUP(AnalizaCzyste[[#This Row],[Rok urodzenia]],KategorieWiekowe[],2,1)</f>
        <v>46–55 lat</v>
      </c>
      <c r="HI78" t="s">
        <v>398</v>
      </c>
      <c r="HK78" t="s">
        <v>1248</v>
      </c>
    </row>
    <row r="79" spans="1:220" x14ac:dyDescent="0.45">
      <c r="A79">
        <v>133</v>
      </c>
      <c r="B79">
        <f>_xlfn.IFNA(VLOOKUP(AnalizaCzyste[[#This Row],[Zakończono wypełnianie]],Zakończone[],2,0),"BRAK")</f>
        <v>81</v>
      </c>
      <c r="C79">
        <f t="shared" si="2"/>
        <v>47</v>
      </c>
      <c r="D79" t="s">
        <v>1251</v>
      </c>
      <c r="E79" t="s">
        <v>118</v>
      </c>
      <c r="J79" t="s">
        <v>119</v>
      </c>
      <c r="K79" t="s">
        <v>1252</v>
      </c>
      <c r="L79" t="s">
        <v>1253</v>
      </c>
      <c r="M79">
        <v>367</v>
      </c>
      <c r="O79">
        <v>0</v>
      </c>
      <c r="P79" t="s">
        <v>122</v>
      </c>
      <c r="Q79" s="1" t="s">
        <v>123</v>
      </c>
      <c r="AG79" s="1" t="s">
        <v>124</v>
      </c>
      <c r="AH79" t="s">
        <v>223</v>
      </c>
      <c r="AI79" t="str">
        <f>VLOOKUP(AnalizaCzyste[[#This Row],[Jak się nazywa uczelnia którą ukończyłeś? (proszę o wybranie jednej uczelni podlegającej ocenie)]],KategorieUczelni[],2,0)</f>
        <v>Publiczna</v>
      </c>
      <c r="AJ79" t="str">
        <f>VLOOKUP(AnalizaCzyste[[#This Row],[Jak się nazywa uczelnia którą ukończyłeś? (proszę o wybranie jednej uczelni podlegającej ocenie)]],KategorieUczelni[],3,0)</f>
        <v>Nietechniczna</v>
      </c>
      <c r="AK79">
        <f>COUNTIF(AnalizaCzyste[[#This Row],[Czy jesteś absolwentem uczelni wyższej?]],"*"&amp;"Tak"&amp;"*")</f>
        <v>1</v>
      </c>
      <c r="AL79">
        <v>2006</v>
      </c>
      <c r="AM79" t="s">
        <v>148</v>
      </c>
      <c r="AN79" t="s">
        <v>1050</v>
      </c>
      <c r="AO79" t="s">
        <v>162</v>
      </c>
      <c r="AP79" t="s">
        <v>162</v>
      </c>
      <c r="AQ79" t="s">
        <v>169</v>
      </c>
      <c r="AR79" t="s">
        <v>236</v>
      </c>
      <c r="AS79" t="s">
        <v>151</v>
      </c>
      <c r="AT79">
        <v>3</v>
      </c>
      <c r="AU79" t="s">
        <v>131</v>
      </c>
      <c r="AV79">
        <f>VLOOKUP(AnalizaCzyste[[#This Row],[w pierwszym roku po ukończeniu studiów : wybierz wartość z listy rozwijanej4]],Zarobki[],2,0)</f>
        <v>1500</v>
      </c>
      <c r="AW79" t="s">
        <v>302</v>
      </c>
      <c r="AX79">
        <f>VLOOKUP(AnalizaCzyste[[#This Row],[w 3 lata po ukończeniu studiów : wybierz wartość z listy rozwijanej5]],Zarobki[],2,0)</f>
        <v>2500</v>
      </c>
      <c r="AY79" t="s">
        <v>1254</v>
      </c>
      <c r="AZ79" t="s">
        <v>1255</v>
      </c>
      <c r="BA79" t="s">
        <v>1256</v>
      </c>
      <c r="BB79" t="s">
        <v>157</v>
      </c>
      <c r="BC79" t="s">
        <v>1257</v>
      </c>
      <c r="BD79" s="1" t="s">
        <v>123</v>
      </c>
      <c r="CX79" s="1" t="s">
        <v>123</v>
      </c>
      <c r="DH79" s="1" t="s">
        <v>214</v>
      </c>
      <c r="DI79" t="s">
        <v>191</v>
      </c>
      <c r="DJ79" t="s">
        <v>308</v>
      </c>
      <c r="DK79" t="s">
        <v>169</v>
      </c>
      <c r="DL79" t="s">
        <v>150</v>
      </c>
      <c r="DM79" t="s">
        <v>150</v>
      </c>
      <c r="DN79" t="s">
        <v>169</v>
      </c>
      <c r="DO79" t="s">
        <v>162</v>
      </c>
      <c r="DP79" t="s">
        <v>162</v>
      </c>
      <c r="DQ79" t="s">
        <v>1258</v>
      </c>
      <c r="DR79" s="1" t="s">
        <v>123</v>
      </c>
      <c r="EU79" s="1" t="s">
        <v>123</v>
      </c>
      <c r="FU79" s="1" t="s">
        <v>123</v>
      </c>
      <c r="HC79" t="s">
        <v>1259</v>
      </c>
      <c r="HD79" t="s">
        <v>1260</v>
      </c>
      <c r="HE79" t="s">
        <v>1261</v>
      </c>
      <c r="HF79" t="s">
        <v>186</v>
      </c>
      <c r="HG79">
        <v>1982</v>
      </c>
      <c r="HH79" t="str">
        <f>VLOOKUP(AnalizaCzyste[[#This Row],[Rok urodzenia]],KategorieWiekowe[],2,1)</f>
        <v>36–45 lat</v>
      </c>
      <c r="HI79" t="s">
        <v>141</v>
      </c>
    </row>
    <row r="80" spans="1:220" x14ac:dyDescent="0.45">
      <c r="A80">
        <v>135</v>
      </c>
      <c r="B80">
        <f>_xlfn.IFNA(VLOOKUP(AnalizaCzyste[[#This Row],[Zakończono wypełnianie]],Zakończone[],2,0),"BRAK")</f>
        <v>82</v>
      </c>
      <c r="C80">
        <f t="shared" si="2"/>
        <v>73</v>
      </c>
      <c r="D80" t="s">
        <v>1264</v>
      </c>
      <c r="E80" t="s">
        <v>118</v>
      </c>
      <c r="F80" t="s">
        <v>1265</v>
      </c>
      <c r="J80" t="s">
        <v>119</v>
      </c>
      <c r="K80" t="s">
        <v>1266</v>
      </c>
      <c r="L80" t="s">
        <v>1267</v>
      </c>
      <c r="M80">
        <v>2127</v>
      </c>
      <c r="O80">
        <v>0</v>
      </c>
      <c r="P80" t="s">
        <v>122</v>
      </c>
      <c r="Q80" s="1" t="s">
        <v>123</v>
      </c>
      <c r="AG80" s="1" t="s">
        <v>124</v>
      </c>
      <c r="AH80" t="s">
        <v>191</v>
      </c>
      <c r="AI80" t="str">
        <f>VLOOKUP(AnalizaCzyste[[#This Row],[Jak się nazywa uczelnia którą ukończyłeś? (proszę o wybranie jednej uczelni podlegającej ocenie)]],KategorieUczelni[],2,0)</f>
        <v>Publiczna</v>
      </c>
      <c r="AJ80" t="str">
        <f>VLOOKUP(AnalizaCzyste[[#This Row],[Jak się nazywa uczelnia którą ukończyłeś? (proszę o wybranie jednej uczelni podlegającej ocenie)]],KategorieUczelni[],3,0)</f>
        <v>Techniczna</v>
      </c>
      <c r="AK80">
        <f>COUNTIF(AnalizaCzyste[[#This Row],[Czy jesteś absolwentem uczelni wyższej?]],"*"&amp;"Tak"&amp;"*")</f>
        <v>1</v>
      </c>
      <c r="AL80">
        <v>1982</v>
      </c>
      <c r="AM80" t="s">
        <v>126</v>
      </c>
      <c r="AN80" t="s">
        <v>1268</v>
      </c>
      <c r="AO80" t="s">
        <v>169</v>
      </c>
      <c r="AP80" t="s">
        <v>169</v>
      </c>
      <c r="AQ80" t="s">
        <v>169</v>
      </c>
      <c r="AR80" t="s">
        <v>169</v>
      </c>
      <c r="AS80" t="s">
        <v>169</v>
      </c>
      <c r="AT80">
        <v>0</v>
      </c>
      <c r="AU80" t="s">
        <v>153</v>
      </c>
      <c r="AV80">
        <f>VLOOKUP(AnalizaCzyste[[#This Row],[w pierwszym roku po ukończeniu studiów : wybierz wartość z listy rozwijanej4]],Zarobki[],2,0)</f>
        <v>3500</v>
      </c>
      <c r="AW80" t="s">
        <v>759</v>
      </c>
      <c r="AX80">
        <f>VLOOKUP(AnalizaCzyste[[#This Row],[w 3 lata po ukończeniu studiów : wybierz wartość z listy rozwijanej5]],Zarobki[],2,0)</f>
        <v>5500</v>
      </c>
      <c r="AY80" t="s">
        <v>1269</v>
      </c>
      <c r="AZ80" t="s">
        <v>1270</v>
      </c>
      <c r="BA80" t="s">
        <v>386</v>
      </c>
      <c r="BC80" t="s">
        <v>1271</v>
      </c>
      <c r="BD80" s="1" t="s">
        <v>159</v>
      </c>
      <c r="BE80">
        <v>1</v>
      </c>
      <c r="BF80" t="s">
        <v>1290</v>
      </c>
      <c r="BG80">
        <v>2011</v>
      </c>
      <c r="BH80" t="s">
        <v>148</v>
      </c>
      <c r="BI80" t="s">
        <v>1050</v>
      </c>
      <c r="BJ80" t="s">
        <v>169</v>
      </c>
      <c r="BK80" t="s">
        <v>169</v>
      </c>
      <c r="BL80" t="s">
        <v>169</v>
      </c>
      <c r="BM80" t="s">
        <v>169</v>
      </c>
      <c r="BN80" t="s">
        <v>169</v>
      </c>
      <c r="BO80" t="s">
        <v>1273</v>
      </c>
      <c r="BP80" t="s">
        <v>1274</v>
      </c>
      <c r="BQ80" t="s">
        <v>157</v>
      </c>
      <c r="BS80" t="s">
        <v>1275</v>
      </c>
      <c r="BT80" t="s">
        <v>173</v>
      </c>
      <c r="CX80" s="1" t="s">
        <v>123</v>
      </c>
      <c r="DH80" s="1" t="s">
        <v>214</v>
      </c>
      <c r="DI80" t="s">
        <v>191</v>
      </c>
      <c r="DJ80" t="s">
        <v>1276</v>
      </c>
      <c r="DK80" t="s">
        <v>169</v>
      </c>
      <c r="DL80" t="s">
        <v>169</v>
      </c>
      <c r="DM80" t="s">
        <v>169</v>
      </c>
      <c r="DN80" t="s">
        <v>150</v>
      </c>
      <c r="DO80" t="s">
        <v>169</v>
      </c>
      <c r="DP80" t="s">
        <v>169</v>
      </c>
      <c r="DQ80" t="s">
        <v>1277</v>
      </c>
      <c r="DR80" s="1" t="s">
        <v>123</v>
      </c>
      <c r="EU80" s="1" t="s">
        <v>177</v>
      </c>
      <c r="EV80" t="s">
        <v>178</v>
      </c>
      <c r="EW80">
        <v>1</v>
      </c>
      <c r="EX80" t="s">
        <v>747</v>
      </c>
      <c r="EY80" t="s">
        <v>169</v>
      </c>
      <c r="EZ80" t="s">
        <v>169</v>
      </c>
      <c r="FA80" t="s">
        <v>151</v>
      </c>
      <c r="FB80" t="s">
        <v>178</v>
      </c>
      <c r="FC80" t="s">
        <v>1278</v>
      </c>
      <c r="FD80" t="s">
        <v>1279</v>
      </c>
      <c r="FE80" t="s">
        <v>173</v>
      </c>
      <c r="FU80" s="1" t="s">
        <v>123</v>
      </c>
      <c r="HC80" t="s">
        <v>1280</v>
      </c>
      <c r="HD80" t="s">
        <v>1281</v>
      </c>
      <c r="HE80" t="s">
        <v>1282</v>
      </c>
      <c r="HF80" t="s">
        <v>186</v>
      </c>
      <c r="HG80" s="42">
        <v>1956</v>
      </c>
      <c r="HH80" s="42" t="str">
        <f>VLOOKUP(AnalizaCzyste[[#This Row],[Rok urodzenia]],KategorieWiekowe[],2,1)</f>
        <v>56–65 lat</v>
      </c>
      <c r="HI80" t="s">
        <v>398</v>
      </c>
      <c r="HK80" t="s">
        <v>1284</v>
      </c>
      <c r="HL80" t="s">
        <v>1285</v>
      </c>
    </row>
    <row r="81" spans="1:221" x14ac:dyDescent="0.45">
      <c r="A81">
        <v>137</v>
      </c>
      <c r="B81">
        <f>_xlfn.IFNA(VLOOKUP(AnalizaCzyste[[#This Row],[Zakończono wypełnianie]],Zakończone[],2,0),"BRAK")</f>
        <v>83</v>
      </c>
      <c r="C81">
        <f t="shared" si="2"/>
        <v>49</v>
      </c>
      <c r="D81" t="s">
        <v>1142</v>
      </c>
      <c r="E81" t="s">
        <v>118</v>
      </c>
      <c r="J81" t="s">
        <v>119</v>
      </c>
      <c r="K81" t="s">
        <v>1288</v>
      </c>
      <c r="L81" t="s">
        <v>1289</v>
      </c>
      <c r="M81">
        <v>1208727</v>
      </c>
      <c r="O81">
        <v>0</v>
      </c>
      <c r="P81" t="s">
        <v>122</v>
      </c>
      <c r="Q81" s="1" t="s">
        <v>123</v>
      </c>
      <c r="AG81" s="1" t="s">
        <v>124</v>
      </c>
      <c r="AH81" t="s">
        <v>1290</v>
      </c>
      <c r="AI81" t="str">
        <f>VLOOKUP(AnalizaCzyste[[#This Row],[Jak się nazywa uczelnia którą ukończyłeś? (proszę o wybranie jednej uczelni podlegającej ocenie)]],KategorieUczelni[],2,0)</f>
        <v>Niepubliczna</v>
      </c>
      <c r="AJ81" t="str">
        <f>VLOOKUP(AnalizaCzyste[[#This Row],[Jak się nazywa uczelnia którą ukończyłeś? (proszę o wybranie jednej uczelni podlegającej ocenie)]],KategorieUczelni[],3,0)</f>
        <v>Nietechniczna</v>
      </c>
      <c r="AK81">
        <f>COUNTIF(AnalizaCzyste[[#This Row],[Czy jesteś absolwentem uczelni wyższej?]],"*"&amp;"Tak"&amp;"*")</f>
        <v>1</v>
      </c>
      <c r="AL81">
        <v>2012</v>
      </c>
      <c r="AM81" t="s">
        <v>148</v>
      </c>
      <c r="AN81" t="s">
        <v>1050</v>
      </c>
      <c r="AO81" t="s">
        <v>162</v>
      </c>
      <c r="AP81" t="s">
        <v>151</v>
      </c>
      <c r="AQ81" t="s">
        <v>162</v>
      </c>
      <c r="AR81" t="s">
        <v>151</v>
      </c>
      <c r="AS81" t="s">
        <v>128</v>
      </c>
      <c r="AT81" t="s">
        <v>237</v>
      </c>
      <c r="AU81" t="s">
        <v>132</v>
      </c>
      <c r="AV81" t="str">
        <f>VLOOKUP(AnalizaCzyste[[#This Row],[w pierwszym roku po ukończeniu studiów : wybierz wartość z listy rozwijanej4]],Zarobki[],2,0)</f>
        <v>N/D</v>
      </c>
      <c r="AW81" t="s">
        <v>132</v>
      </c>
      <c r="AX81" t="str">
        <f>VLOOKUP(AnalizaCzyste[[#This Row],[w 3 lata po ukończeniu studiów : wybierz wartość z listy rozwijanej5]],Zarobki[],2,0)</f>
        <v>N/D</v>
      </c>
      <c r="AY81" t="s">
        <v>1291</v>
      </c>
      <c r="AZ81" t="s">
        <v>1292</v>
      </c>
      <c r="BA81" t="s">
        <v>1293</v>
      </c>
      <c r="BB81" t="s">
        <v>892</v>
      </c>
      <c r="BD81" s="1" t="s">
        <v>123</v>
      </c>
      <c r="CX81" s="1" t="s">
        <v>123</v>
      </c>
      <c r="DH81" s="1" t="s">
        <v>123</v>
      </c>
      <c r="DR81" s="1" t="s">
        <v>123</v>
      </c>
      <c r="EU81" s="1" t="s">
        <v>177</v>
      </c>
      <c r="EV81" t="s">
        <v>178</v>
      </c>
      <c r="EW81" t="s">
        <v>132</v>
      </c>
      <c r="EX81" t="s">
        <v>191</v>
      </c>
      <c r="EY81" t="s">
        <v>162</v>
      </c>
      <c r="EZ81" t="s">
        <v>151</v>
      </c>
      <c r="FA81" t="s">
        <v>128</v>
      </c>
      <c r="FB81" t="s">
        <v>178</v>
      </c>
      <c r="FC81" t="s">
        <v>1294</v>
      </c>
      <c r="FD81" t="s">
        <v>1295</v>
      </c>
      <c r="FE81" t="s">
        <v>173</v>
      </c>
      <c r="FU81" s="1" t="s">
        <v>123</v>
      </c>
      <c r="HC81" t="s">
        <v>1296</v>
      </c>
      <c r="HD81" t="s">
        <v>1297</v>
      </c>
      <c r="HE81" t="s">
        <v>1298</v>
      </c>
      <c r="HF81" t="s">
        <v>186</v>
      </c>
      <c r="HG81">
        <v>1987</v>
      </c>
      <c r="HH81" t="str">
        <f>VLOOKUP(AnalizaCzyste[[#This Row],[Rok urodzenia]],KategorieWiekowe[],2,1)</f>
        <v>26–35 lat</v>
      </c>
      <c r="HI81" t="s">
        <v>246</v>
      </c>
      <c r="HK81" t="s">
        <v>1299</v>
      </c>
      <c r="HL81" t="s">
        <v>1300</v>
      </c>
    </row>
    <row r="82" spans="1:221" x14ac:dyDescent="0.45">
      <c r="A82">
        <v>139</v>
      </c>
      <c r="B82">
        <f>_xlfn.IFNA(VLOOKUP(AnalizaCzyste[[#This Row],[Zakończono wypełnianie]],Zakończone[],2,0),"BRAK")</f>
        <v>84</v>
      </c>
      <c r="C82">
        <f t="shared" si="2"/>
        <v>53</v>
      </c>
      <c r="D82" t="s">
        <v>1302</v>
      </c>
      <c r="E82" t="s">
        <v>118</v>
      </c>
      <c r="J82" t="s">
        <v>119</v>
      </c>
      <c r="K82" t="s">
        <v>1303</v>
      </c>
      <c r="L82" t="s">
        <v>1304</v>
      </c>
      <c r="M82">
        <v>558</v>
      </c>
      <c r="O82">
        <v>0</v>
      </c>
      <c r="P82" t="s">
        <v>122</v>
      </c>
      <c r="Q82" s="1" t="s">
        <v>416</v>
      </c>
      <c r="R82" t="s">
        <v>191</v>
      </c>
      <c r="S82" t="s">
        <v>126</v>
      </c>
      <c r="T82" t="s">
        <v>1305</v>
      </c>
      <c r="U82" t="s">
        <v>162</v>
      </c>
      <c r="V82" t="s">
        <v>128</v>
      </c>
      <c r="W82" t="s">
        <v>150</v>
      </c>
      <c r="X82" t="s">
        <v>1306</v>
      </c>
      <c r="Y82" t="s">
        <v>153</v>
      </c>
      <c r="Z82" t="s">
        <v>759</v>
      </c>
      <c r="AA82" t="s">
        <v>1307</v>
      </c>
      <c r="AB82" t="s">
        <v>1308</v>
      </c>
      <c r="AC82" t="s">
        <v>1309</v>
      </c>
      <c r="AD82" t="s">
        <v>230</v>
      </c>
      <c r="AF82">
        <v>2</v>
      </c>
      <c r="AG82" s="1" t="s">
        <v>124</v>
      </c>
      <c r="AH82" t="s">
        <v>191</v>
      </c>
      <c r="AI82" t="str">
        <f>VLOOKUP(AnalizaCzyste[[#This Row],[Jak się nazywa uczelnia którą ukończyłeś? (proszę o wybranie jednej uczelni podlegającej ocenie)]],KategorieUczelni[],2,0)</f>
        <v>Publiczna</v>
      </c>
      <c r="AJ82" t="str">
        <f>VLOOKUP(AnalizaCzyste[[#This Row],[Jak się nazywa uczelnia którą ukończyłeś? (proszę o wybranie jednej uczelni podlegającej ocenie)]],KategorieUczelni[],3,0)</f>
        <v>Techniczna</v>
      </c>
      <c r="AK82">
        <f>COUNTIF(AnalizaCzyste[[#This Row],[Czy jesteś absolwentem uczelni wyższej?]],"*"&amp;"Tak"&amp;"*")</f>
        <v>1</v>
      </c>
      <c r="AL82">
        <v>2015</v>
      </c>
      <c r="AM82" t="s">
        <v>126</v>
      </c>
      <c r="AN82" t="s">
        <v>1312</v>
      </c>
      <c r="AO82" t="s">
        <v>162</v>
      </c>
      <c r="AP82" t="s">
        <v>128</v>
      </c>
      <c r="AQ82" t="s">
        <v>162</v>
      </c>
      <c r="AR82" t="s">
        <v>162</v>
      </c>
      <c r="AS82" t="s">
        <v>162</v>
      </c>
      <c r="AT82" t="s">
        <v>237</v>
      </c>
      <c r="AU82" t="s">
        <v>302</v>
      </c>
      <c r="AV82">
        <f>VLOOKUP(AnalizaCzyste[[#This Row],[w pierwszym roku po ukończeniu studiów : wybierz wartość z listy rozwijanej4]],Zarobki[],2,0)</f>
        <v>2500</v>
      </c>
      <c r="AW82" t="s">
        <v>153</v>
      </c>
      <c r="AX82">
        <f>VLOOKUP(AnalizaCzyste[[#This Row],[w 3 lata po ukończeniu studiów : wybierz wartość z listy rozwijanej5]],Zarobki[],2,0)</f>
        <v>3500</v>
      </c>
      <c r="AY82" t="s">
        <v>1313</v>
      </c>
      <c r="AZ82" t="s">
        <v>1314</v>
      </c>
      <c r="BA82" t="s">
        <v>1315</v>
      </c>
      <c r="BB82" t="s">
        <v>172</v>
      </c>
      <c r="BD82" s="1" t="s">
        <v>123</v>
      </c>
      <c r="CX82" s="1" t="s">
        <v>123</v>
      </c>
      <c r="DH82" s="1" t="s">
        <v>123</v>
      </c>
      <c r="DR82" s="1" t="s">
        <v>123</v>
      </c>
      <c r="EU82" s="1" t="s">
        <v>123</v>
      </c>
      <c r="FU82" s="1" t="s">
        <v>123</v>
      </c>
      <c r="HC82" t="s">
        <v>1316</v>
      </c>
      <c r="HD82" t="s">
        <v>1317</v>
      </c>
      <c r="HE82" t="s">
        <v>1318</v>
      </c>
      <c r="HF82" t="s">
        <v>186</v>
      </c>
      <c r="HG82">
        <v>1992</v>
      </c>
      <c r="HH82" t="str">
        <f>VLOOKUP(AnalizaCzyste[[#This Row],[Rok urodzenia]],KategorieWiekowe[],2,1)</f>
        <v>26–35 lat</v>
      </c>
      <c r="HI82" t="s">
        <v>398</v>
      </c>
      <c r="HK82" t="s">
        <v>1319</v>
      </c>
      <c r="HL82" t="s">
        <v>1320</v>
      </c>
    </row>
    <row r="83" spans="1:221" x14ac:dyDescent="0.45">
      <c r="A83">
        <v>141</v>
      </c>
      <c r="B83">
        <f>_xlfn.IFNA(VLOOKUP(AnalizaCzyste[[#This Row],[Zakończono wypełnianie]],Zakończone[],2,0),"BRAK")</f>
        <v>85</v>
      </c>
      <c r="C83">
        <f t="shared" si="2"/>
        <v>40</v>
      </c>
      <c r="D83" t="s">
        <v>1322</v>
      </c>
      <c r="E83" t="s">
        <v>118</v>
      </c>
      <c r="J83" t="s">
        <v>119</v>
      </c>
      <c r="K83" t="s">
        <v>1323</v>
      </c>
      <c r="L83" t="s">
        <v>1324</v>
      </c>
      <c r="M83">
        <v>767</v>
      </c>
      <c r="O83">
        <v>0</v>
      </c>
      <c r="P83" t="s">
        <v>122</v>
      </c>
      <c r="Q83" s="1" t="s">
        <v>123</v>
      </c>
      <c r="AG83" s="1" t="s">
        <v>124</v>
      </c>
      <c r="AH83" t="s">
        <v>191</v>
      </c>
      <c r="AI83" t="str">
        <f>VLOOKUP(AnalizaCzyste[[#This Row],[Jak się nazywa uczelnia którą ukończyłeś? (proszę o wybranie jednej uczelni podlegającej ocenie)]],KategorieUczelni[],2,0)</f>
        <v>Publiczna</v>
      </c>
      <c r="AJ83" t="str">
        <f>VLOOKUP(AnalizaCzyste[[#This Row],[Jak się nazywa uczelnia którą ukończyłeś? (proszę o wybranie jednej uczelni podlegającej ocenie)]],KategorieUczelni[],3,0)</f>
        <v>Techniczna</v>
      </c>
      <c r="AK83">
        <f>COUNTIF(AnalizaCzyste[[#This Row],[Czy jesteś absolwentem uczelni wyższej?]],"*"&amp;"Tak"&amp;"*")</f>
        <v>1</v>
      </c>
      <c r="AL83">
        <v>2018</v>
      </c>
      <c r="AM83" t="s">
        <v>126</v>
      </c>
      <c r="AN83" t="s">
        <v>1325</v>
      </c>
      <c r="AO83" t="s">
        <v>150</v>
      </c>
      <c r="AP83" t="s">
        <v>150</v>
      </c>
      <c r="AQ83" t="s">
        <v>128</v>
      </c>
      <c r="AR83" t="s">
        <v>236</v>
      </c>
      <c r="AS83" t="s">
        <v>128</v>
      </c>
      <c r="AT83">
        <v>1</v>
      </c>
      <c r="AU83" t="s">
        <v>302</v>
      </c>
      <c r="AV83">
        <f>VLOOKUP(AnalizaCzyste[[#This Row],[w pierwszym roku po ukończeniu studiów : wybierz wartość z listy rozwijanej4]],Zarobki[],2,0)</f>
        <v>2500</v>
      </c>
      <c r="AW83" t="s">
        <v>226</v>
      </c>
      <c r="AX83">
        <f>VLOOKUP(AnalizaCzyste[[#This Row],[w 3 lata po ukończeniu studiów : wybierz wartość z listy rozwijanej5]],Zarobki[],2,0)</f>
        <v>4500</v>
      </c>
      <c r="AY83" t="s">
        <v>1326</v>
      </c>
      <c r="AZ83" t="s">
        <v>1327</v>
      </c>
      <c r="BA83" t="s">
        <v>1328</v>
      </c>
      <c r="BB83" t="s">
        <v>157</v>
      </c>
      <c r="BD83" s="1" t="s">
        <v>123</v>
      </c>
      <c r="CX83" s="1" t="s">
        <v>123</v>
      </c>
      <c r="DH83" s="1" t="s">
        <v>123</v>
      </c>
      <c r="DR83" s="1" t="s">
        <v>123</v>
      </c>
      <c r="EU83" s="1" t="s">
        <v>123</v>
      </c>
      <c r="EV83" t="s">
        <v>180</v>
      </c>
      <c r="FU83" s="1" t="s">
        <v>123</v>
      </c>
      <c r="HC83" t="s">
        <v>1329</v>
      </c>
      <c r="HD83" t="s">
        <v>1329</v>
      </c>
      <c r="HE83" t="s">
        <v>132</v>
      </c>
      <c r="HF83" t="s">
        <v>186</v>
      </c>
      <c r="HG83">
        <v>1991</v>
      </c>
      <c r="HH83" t="str">
        <f>VLOOKUP(AnalizaCzyste[[#This Row],[Rok urodzenia]],KategorieWiekowe[],2,1)</f>
        <v>26–35 lat</v>
      </c>
      <c r="HI83" t="s">
        <v>220</v>
      </c>
      <c r="HK83" t="s">
        <v>1330</v>
      </c>
      <c r="HL83" t="s">
        <v>532</v>
      </c>
    </row>
    <row r="84" spans="1:221" x14ac:dyDescent="0.45">
      <c r="A84">
        <v>145</v>
      </c>
      <c r="B84">
        <f>_xlfn.IFNA(VLOOKUP(AnalizaCzyste[[#This Row],[Zakończono wypełnianie]],Zakończone[],2,0),"BRAK")</f>
        <v>86</v>
      </c>
      <c r="C84">
        <f t="shared" si="2"/>
        <v>49</v>
      </c>
      <c r="D84" t="s">
        <v>1336</v>
      </c>
      <c r="E84" t="s">
        <v>118</v>
      </c>
      <c r="J84" t="s">
        <v>119</v>
      </c>
      <c r="K84" t="s">
        <v>1337</v>
      </c>
      <c r="L84" t="s">
        <v>1338</v>
      </c>
      <c r="M84">
        <v>516</v>
      </c>
      <c r="O84">
        <v>0</v>
      </c>
      <c r="P84" t="s">
        <v>122</v>
      </c>
      <c r="Q84" s="1" t="s">
        <v>123</v>
      </c>
      <c r="AG84" s="1" t="s">
        <v>124</v>
      </c>
      <c r="AH84" t="s">
        <v>191</v>
      </c>
      <c r="AI84" t="str">
        <f>VLOOKUP(AnalizaCzyste[[#This Row],[Jak się nazywa uczelnia którą ukończyłeś? (proszę o wybranie jednej uczelni podlegającej ocenie)]],KategorieUczelni[],2,0)</f>
        <v>Publiczna</v>
      </c>
      <c r="AJ84" t="str">
        <f>VLOOKUP(AnalizaCzyste[[#This Row],[Jak się nazywa uczelnia którą ukończyłeś? (proszę o wybranie jednej uczelni podlegającej ocenie)]],KategorieUczelni[],3,0)</f>
        <v>Techniczna</v>
      </c>
      <c r="AK84">
        <f>COUNTIF(AnalizaCzyste[[#This Row],[Czy jesteś absolwentem uczelni wyższej?]],"*"&amp;"Tak"&amp;"*")</f>
        <v>1</v>
      </c>
      <c r="AL84">
        <v>2007</v>
      </c>
      <c r="AM84" t="s">
        <v>126</v>
      </c>
      <c r="AN84" t="s">
        <v>1339</v>
      </c>
      <c r="AO84" t="s">
        <v>162</v>
      </c>
      <c r="AP84" t="s">
        <v>162</v>
      </c>
      <c r="AQ84" t="s">
        <v>150</v>
      </c>
      <c r="AR84" t="s">
        <v>169</v>
      </c>
      <c r="AS84" t="s">
        <v>169</v>
      </c>
      <c r="AT84" t="s">
        <v>1340</v>
      </c>
      <c r="AU84" t="s">
        <v>131</v>
      </c>
      <c r="AV84">
        <f>VLOOKUP(AnalizaCzyste[[#This Row],[w pierwszym roku po ukończeniu studiów : wybierz wartość z listy rozwijanej4]],Zarobki[],2,0)</f>
        <v>1500</v>
      </c>
      <c r="AW84" t="s">
        <v>759</v>
      </c>
      <c r="AX84">
        <f>VLOOKUP(AnalizaCzyste[[#This Row],[w 3 lata po ukończeniu studiów : wybierz wartość z listy rozwijanej5]],Zarobki[],2,0)</f>
        <v>5500</v>
      </c>
      <c r="AY84" t="s">
        <v>1341</v>
      </c>
      <c r="AZ84" t="s">
        <v>1342</v>
      </c>
      <c r="BA84" t="s">
        <v>1343</v>
      </c>
      <c r="BB84" t="s">
        <v>157</v>
      </c>
      <c r="BC84" t="s">
        <v>1344</v>
      </c>
      <c r="BD84" s="1" t="s">
        <v>123</v>
      </c>
      <c r="CX84" s="1" t="s">
        <v>123</v>
      </c>
      <c r="DH84" s="1" t="s">
        <v>123</v>
      </c>
      <c r="DR84" s="1" t="s">
        <v>123</v>
      </c>
      <c r="EU84" s="1" t="s">
        <v>177</v>
      </c>
      <c r="EV84" t="s">
        <v>178</v>
      </c>
      <c r="EW84" t="s">
        <v>132</v>
      </c>
      <c r="EX84" t="s">
        <v>191</v>
      </c>
      <c r="EY84" t="s">
        <v>236</v>
      </c>
      <c r="EZ84" t="s">
        <v>236</v>
      </c>
      <c r="FA84" t="s">
        <v>151</v>
      </c>
      <c r="FB84" t="s">
        <v>178</v>
      </c>
      <c r="FC84" t="s">
        <v>1345</v>
      </c>
      <c r="FD84" t="s">
        <v>1346</v>
      </c>
      <c r="FE84" t="s">
        <v>173</v>
      </c>
      <c r="FU84" s="1" t="s">
        <v>123</v>
      </c>
      <c r="HC84" t="s">
        <v>1347</v>
      </c>
      <c r="HD84" t="s">
        <v>1348</v>
      </c>
      <c r="HE84" t="s">
        <v>1349</v>
      </c>
      <c r="HF84" t="s">
        <v>186</v>
      </c>
      <c r="HG84">
        <v>1982</v>
      </c>
      <c r="HH84" t="str">
        <f>VLOOKUP(AnalizaCzyste[[#This Row],[Rok urodzenia]],KategorieWiekowe[],2,1)</f>
        <v>36–45 lat</v>
      </c>
      <c r="HI84" t="s">
        <v>141</v>
      </c>
      <c r="HK84" t="s">
        <v>1350</v>
      </c>
    </row>
    <row r="85" spans="1:221" x14ac:dyDescent="0.45">
      <c r="A85">
        <v>149</v>
      </c>
      <c r="B85">
        <f>_xlfn.IFNA(VLOOKUP(AnalizaCzyste[[#This Row],[Zakończono wypełnianie]],Zakończone[],2,0),"BRAK")</f>
        <v>87</v>
      </c>
      <c r="C85">
        <f t="shared" si="2"/>
        <v>38</v>
      </c>
      <c r="D85" t="s">
        <v>1352</v>
      </c>
      <c r="E85" t="s">
        <v>118</v>
      </c>
      <c r="J85" t="s">
        <v>119</v>
      </c>
      <c r="K85" t="s">
        <v>1359</v>
      </c>
      <c r="L85" t="s">
        <v>1360</v>
      </c>
      <c r="M85">
        <v>8266</v>
      </c>
      <c r="O85">
        <v>0</v>
      </c>
      <c r="P85" t="s">
        <v>122</v>
      </c>
      <c r="Q85" s="1" t="s">
        <v>123</v>
      </c>
      <c r="AG85" s="1" t="s">
        <v>124</v>
      </c>
      <c r="AH85" t="s">
        <v>160</v>
      </c>
      <c r="AI85" t="str">
        <f>VLOOKUP(AnalizaCzyste[[#This Row],[Jak się nazywa uczelnia którą ukończyłeś? (proszę o wybranie jednej uczelni podlegającej ocenie)]],KategorieUczelni[],2,0)</f>
        <v>Publiczna</v>
      </c>
      <c r="AJ85" t="str">
        <f>VLOOKUP(AnalizaCzyste[[#This Row],[Jak się nazywa uczelnia którą ukończyłeś? (proszę o wybranie jednej uczelni podlegającej ocenie)]],KategorieUczelni[],3,0)</f>
        <v>Nietechniczna</v>
      </c>
      <c r="AK85">
        <f>COUNTIF(AnalizaCzyste[[#This Row],[Czy jesteś absolwentem uczelni wyższej?]],"*"&amp;"Tak"&amp;"*")</f>
        <v>1</v>
      </c>
      <c r="AL85">
        <v>2010</v>
      </c>
      <c r="AM85" t="s">
        <v>148</v>
      </c>
      <c r="AN85" t="s">
        <v>1361</v>
      </c>
      <c r="AO85" t="s">
        <v>236</v>
      </c>
      <c r="AP85" t="s">
        <v>150</v>
      </c>
      <c r="AQ85" t="s">
        <v>129</v>
      </c>
      <c r="AR85" t="s">
        <v>129</v>
      </c>
      <c r="AS85" t="s">
        <v>129</v>
      </c>
      <c r="AT85" t="s">
        <v>1362</v>
      </c>
      <c r="AU85" t="s">
        <v>153</v>
      </c>
      <c r="AV85">
        <f>VLOOKUP(AnalizaCzyste[[#This Row],[w pierwszym roku po ukończeniu studiów : wybierz wartość z listy rozwijanej4]],Zarobki[],2,0)</f>
        <v>3500</v>
      </c>
      <c r="AW85" t="s">
        <v>153</v>
      </c>
      <c r="AX85">
        <f>VLOOKUP(AnalizaCzyste[[#This Row],[w 3 lata po ukończeniu studiów : wybierz wartość z listy rozwijanej5]],Zarobki[],2,0)</f>
        <v>3500</v>
      </c>
      <c r="AY85" t="s">
        <v>1363</v>
      </c>
      <c r="AZ85" t="s">
        <v>1364</v>
      </c>
      <c r="BA85" t="s">
        <v>1365</v>
      </c>
      <c r="BB85" t="s">
        <v>157</v>
      </c>
      <c r="BD85" s="1" t="s">
        <v>123</v>
      </c>
      <c r="CX85" s="1" t="s">
        <v>123</v>
      </c>
      <c r="DH85" s="1" t="s">
        <v>123</v>
      </c>
      <c r="DR85" s="1" t="s">
        <v>123</v>
      </c>
      <c r="EU85" s="1" t="s">
        <v>123</v>
      </c>
      <c r="FU85" s="1" t="s">
        <v>123</v>
      </c>
      <c r="HC85" t="s">
        <v>1366</v>
      </c>
      <c r="HD85" t="s">
        <v>1367</v>
      </c>
      <c r="HE85" t="s">
        <v>532</v>
      </c>
      <c r="HF85" t="s">
        <v>140</v>
      </c>
      <c r="HG85">
        <v>1986</v>
      </c>
      <c r="HH85" t="str">
        <f>VLOOKUP(AnalizaCzyste[[#This Row],[Rok urodzenia]],KategorieWiekowe[],2,1)</f>
        <v>26–35 lat</v>
      </c>
      <c r="HI85" t="s">
        <v>398</v>
      </c>
      <c r="HK85" t="s">
        <v>1368</v>
      </c>
    </row>
    <row r="86" spans="1:221" x14ac:dyDescent="0.45">
      <c r="A86">
        <v>153</v>
      </c>
      <c r="B86">
        <f>_xlfn.IFNA(VLOOKUP(AnalizaCzyste[[#This Row],[Zakończono wypełnianie]],Zakończone[],2,0),"BRAK")</f>
        <v>88</v>
      </c>
      <c r="C86">
        <f t="shared" si="2"/>
        <v>39</v>
      </c>
      <c r="D86" t="s">
        <v>1352</v>
      </c>
      <c r="E86" t="s">
        <v>118</v>
      </c>
      <c r="J86" t="s">
        <v>119</v>
      </c>
      <c r="K86" t="s">
        <v>1376</v>
      </c>
      <c r="L86" t="s">
        <v>1377</v>
      </c>
      <c r="M86">
        <v>352</v>
      </c>
      <c r="O86">
        <v>0</v>
      </c>
      <c r="P86" t="s">
        <v>122</v>
      </c>
      <c r="Q86" s="1" t="s">
        <v>123</v>
      </c>
      <c r="AG86" s="1" t="s">
        <v>124</v>
      </c>
      <c r="AH86" t="s">
        <v>223</v>
      </c>
      <c r="AI86" t="str">
        <f>VLOOKUP(AnalizaCzyste[[#This Row],[Jak się nazywa uczelnia którą ukończyłeś? (proszę o wybranie jednej uczelni podlegającej ocenie)]],KategorieUczelni[],2,0)</f>
        <v>Publiczna</v>
      </c>
      <c r="AJ86" t="str">
        <f>VLOOKUP(AnalizaCzyste[[#This Row],[Jak się nazywa uczelnia którą ukończyłeś? (proszę o wybranie jednej uczelni podlegającej ocenie)]],KategorieUczelni[],3,0)</f>
        <v>Nietechniczna</v>
      </c>
      <c r="AK86">
        <f>COUNTIF(AnalizaCzyste[[#This Row],[Czy jesteś absolwentem uczelni wyższej?]],"*"&amp;"Tak"&amp;"*")</f>
        <v>1</v>
      </c>
      <c r="AL86">
        <v>2000</v>
      </c>
      <c r="AM86" t="s">
        <v>148</v>
      </c>
      <c r="AN86" t="s">
        <v>161</v>
      </c>
      <c r="AO86" t="s">
        <v>162</v>
      </c>
      <c r="AP86" t="s">
        <v>162</v>
      </c>
      <c r="AQ86" t="s">
        <v>150</v>
      </c>
      <c r="AR86" t="s">
        <v>129</v>
      </c>
      <c r="AS86" t="s">
        <v>128</v>
      </c>
      <c r="AT86">
        <v>5</v>
      </c>
      <c r="AU86" t="s">
        <v>302</v>
      </c>
      <c r="AV86">
        <f>VLOOKUP(AnalizaCzyste[[#This Row],[w pierwszym roku po ukończeniu studiów : wybierz wartość z listy rozwijanej4]],Zarobki[],2,0)</f>
        <v>2500</v>
      </c>
      <c r="AW86" t="s">
        <v>302</v>
      </c>
      <c r="AX86">
        <f>VLOOKUP(AnalizaCzyste[[#This Row],[w 3 lata po ukończeniu studiów : wybierz wartość z listy rozwijanej5]],Zarobki[],2,0)</f>
        <v>2500</v>
      </c>
      <c r="AY86" t="s">
        <v>1378</v>
      </c>
      <c r="AZ86" t="s">
        <v>1379</v>
      </c>
      <c r="BA86" t="s">
        <v>1380</v>
      </c>
      <c r="BB86" t="s">
        <v>172</v>
      </c>
      <c r="BD86" s="1" t="s">
        <v>123</v>
      </c>
      <c r="CX86" s="1" t="s">
        <v>123</v>
      </c>
      <c r="DH86" s="1" t="s">
        <v>123</v>
      </c>
      <c r="DR86" s="1" t="s">
        <v>123</v>
      </c>
      <c r="EU86" s="1" t="s">
        <v>123</v>
      </c>
      <c r="FU86" s="1" t="s">
        <v>123</v>
      </c>
      <c r="HC86" t="s">
        <v>1381</v>
      </c>
      <c r="HD86" t="s">
        <v>1382</v>
      </c>
      <c r="HE86" t="s">
        <v>1383</v>
      </c>
      <c r="HF86" t="s">
        <v>140</v>
      </c>
      <c r="HG86">
        <v>1982</v>
      </c>
      <c r="HH86" t="str">
        <f>VLOOKUP(AnalizaCzyste[[#This Row],[Rok urodzenia]],KategorieWiekowe[],2,1)</f>
        <v>36–45 lat</v>
      </c>
      <c r="HI86" t="s">
        <v>246</v>
      </c>
      <c r="HK86" t="s">
        <v>386</v>
      </c>
      <c r="HL86" t="s">
        <v>386</v>
      </c>
    </row>
    <row r="87" spans="1:221" x14ac:dyDescent="0.45">
      <c r="A87">
        <v>156</v>
      </c>
      <c r="B87">
        <f>_xlfn.IFNA(VLOOKUP(AnalizaCzyste[[#This Row],[Zakończono wypełnianie]],Zakończone[],2,0),"BRAK")</f>
        <v>90</v>
      </c>
      <c r="C87">
        <f t="shared" si="2"/>
        <v>38</v>
      </c>
      <c r="D87" t="s">
        <v>1142</v>
      </c>
      <c r="E87" t="s">
        <v>118</v>
      </c>
      <c r="J87" t="s">
        <v>119</v>
      </c>
      <c r="K87" t="s">
        <v>1391</v>
      </c>
      <c r="L87" t="s">
        <v>1392</v>
      </c>
      <c r="M87">
        <v>415</v>
      </c>
      <c r="O87">
        <v>0</v>
      </c>
      <c r="P87" t="s">
        <v>122</v>
      </c>
      <c r="Q87" s="1" t="s">
        <v>123</v>
      </c>
      <c r="AG87" s="1" t="s">
        <v>124</v>
      </c>
      <c r="AH87" t="s">
        <v>191</v>
      </c>
      <c r="AI87" t="str">
        <f>VLOOKUP(AnalizaCzyste[[#This Row],[Jak się nazywa uczelnia którą ukończyłeś? (proszę o wybranie jednej uczelni podlegającej ocenie)]],KategorieUczelni[],2,0)</f>
        <v>Publiczna</v>
      </c>
      <c r="AJ87" t="str">
        <f>VLOOKUP(AnalizaCzyste[[#This Row],[Jak się nazywa uczelnia którą ukończyłeś? (proszę o wybranie jednej uczelni podlegającej ocenie)]],KategorieUczelni[],3,0)</f>
        <v>Techniczna</v>
      </c>
      <c r="AK87">
        <f>COUNTIF(AnalizaCzyste[[#This Row],[Czy jesteś absolwentem uczelni wyższej?]],"*"&amp;"Tak"&amp;"*")</f>
        <v>1</v>
      </c>
      <c r="AL87">
        <v>2012</v>
      </c>
      <c r="AM87" t="s">
        <v>126</v>
      </c>
      <c r="AN87" t="s">
        <v>1393</v>
      </c>
      <c r="AO87" t="s">
        <v>162</v>
      </c>
      <c r="AP87" t="s">
        <v>150</v>
      </c>
      <c r="AQ87" t="s">
        <v>150</v>
      </c>
      <c r="AR87" t="s">
        <v>236</v>
      </c>
      <c r="AS87" t="s">
        <v>236</v>
      </c>
      <c r="AT87" t="s">
        <v>1340</v>
      </c>
      <c r="AU87" t="s">
        <v>302</v>
      </c>
      <c r="AV87">
        <f>VLOOKUP(AnalizaCzyste[[#This Row],[w pierwszym roku po ukończeniu studiów : wybierz wartość z listy rozwijanej4]],Zarobki[],2,0)</f>
        <v>2500</v>
      </c>
      <c r="AW87" t="s">
        <v>153</v>
      </c>
      <c r="AX87">
        <f>VLOOKUP(AnalizaCzyste[[#This Row],[w 3 lata po ukończeniu studiów : wybierz wartość z listy rozwijanej5]],Zarobki[],2,0)</f>
        <v>3500</v>
      </c>
      <c r="AY87" t="s">
        <v>1394</v>
      </c>
      <c r="AZ87" t="s">
        <v>1395</v>
      </c>
      <c r="BA87" t="s">
        <v>1396</v>
      </c>
      <c r="BC87" t="s">
        <v>1397</v>
      </c>
      <c r="BD87" s="1" t="s">
        <v>123</v>
      </c>
      <c r="CX87" s="1" t="s">
        <v>123</v>
      </c>
      <c r="DH87" s="1" t="s">
        <v>123</v>
      </c>
      <c r="DR87" s="1" t="s">
        <v>123</v>
      </c>
      <c r="EU87" s="1" t="s">
        <v>123</v>
      </c>
      <c r="FU87" s="1" t="s">
        <v>123</v>
      </c>
      <c r="HC87" t="s">
        <v>1398</v>
      </c>
      <c r="HD87" t="s">
        <v>1399</v>
      </c>
      <c r="HE87" t="s">
        <v>1400</v>
      </c>
      <c r="HF87" t="s">
        <v>140</v>
      </c>
      <c r="HG87">
        <v>1985</v>
      </c>
      <c r="HH87" t="str">
        <f>VLOOKUP(AnalizaCzyste[[#This Row],[Rok urodzenia]],KategorieWiekowe[],2,1)</f>
        <v>26–35 lat</v>
      </c>
      <c r="HI87" t="s">
        <v>141</v>
      </c>
      <c r="HK87" t="s">
        <v>1401</v>
      </c>
    </row>
    <row r="88" spans="1:221" x14ac:dyDescent="0.45">
      <c r="A88">
        <v>158</v>
      </c>
      <c r="B88">
        <f>_xlfn.IFNA(VLOOKUP(AnalizaCzyste[[#This Row],[Zakończono wypełnianie]],Zakończone[],2,0),"BRAK")</f>
        <v>91</v>
      </c>
      <c r="C88">
        <f t="shared" si="2"/>
        <v>38</v>
      </c>
      <c r="D88" t="s">
        <v>1131</v>
      </c>
      <c r="E88" t="s">
        <v>118</v>
      </c>
      <c r="J88" t="s">
        <v>119</v>
      </c>
      <c r="K88" t="s">
        <v>1403</v>
      </c>
      <c r="L88" t="s">
        <v>1404</v>
      </c>
      <c r="M88">
        <v>325</v>
      </c>
      <c r="O88">
        <v>0</v>
      </c>
      <c r="P88" t="s">
        <v>122</v>
      </c>
      <c r="Q88" s="1" t="s">
        <v>123</v>
      </c>
      <c r="AG88" s="1" t="s">
        <v>124</v>
      </c>
      <c r="AH88" t="s">
        <v>223</v>
      </c>
      <c r="AI88" t="str">
        <f>VLOOKUP(AnalizaCzyste[[#This Row],[Jak się nazywa uczelnia którą ukończyłeś? (proszę o wybranie jednej uczelni podlegającej ocenie)]],KategorieUczelni[],2,0)</f>
        <v>Publiczna</v>
      </c>
      <c r="AJ88" t="str">
        <f>VLOOKUP(AnalizaCzyste[[#This Row],[Jak się nazywa uczelnia którą ukończyłeś? (proszę o wybranie jednej uczelni podlegającej ocenie)]],KategorieUczelni[],3,0)</f>
        <v>Nietechniczna</v>
      </c>
      <c r="AK88">
        <f>COUNTIF(AnalizaCzyste[[#This Row],[Czy jesteś absolwentem uczelni wyższej?]],"*"&amp;"Tak"&amp;"*")</f>
        <v>1</v>
      </c>
      <c r="AL88">
        <v>2013</v>
      </c>
      <c r="AM88" t="s">
        <v>148</v>
      </c>
      <c r="AN88" t="s">
        <v>958</v>
      </c>
      <c r="AO88" t="s">
        <v>128</v>
      </c>
      <c r="AP88" t="s">
        <v>128</v>
      </c>
      <c r="AQ88" t="s">
        <v>162</v>
      </c>
      <c r="AR88" t="s">
        <v>151</v>
      </c>
      <c r="AS88" t="s">
        <v>151</v>
      </c>
      <c r="AT88">
        <v>3</v>
      </c>
      <c r="AU88" t="s">
        <v>131</v>
      </c>
      <c r="AV88">
        <f>VLOOKUP(AnalizaCzyste[[#This Row],[w pierwszym roku po ukończeniu studiów : wybierz wartość z listy rozwijanej4]],Zarobki[],2,0)</f>
        <v>1500</v>
      </c>
      <c r="AW88" t="s">
        <v>153</v>
      </c>
      <c r="AX88">
        <f>VLOOKUP(AnalizaCzyste[[#This Row],[w 3 lata po ukończeniu studiów : wybierz wartość z listy rozwijanej5]],Zarobki[],2,0)</f>
        <v>3500</v>
      </c>
      <c r="AY88" t="s">
        <v>1405</v>
      </c>
      <c r="AZ88" t="s">
        <v>1406</v>
      </c>
      <c r="BA88" t="s">
        <v>1407</v>
      </c>
      <c r="BB88" t="s">
        <v>157</v>
      </c>
      <c r="BD88" s="1" t="s">
        <v>123</v>
      </c>
      <c r="CX88" s="1" t="s">
        <v>123</v>
      </c>
      <c r="DH88" s="1" t="s">
        <v>123</v>
      </c>
      <c r="DR88" s="1" t="s">
        <v>123</v>
      </c>
      <c r="EU88" s="1" t="s">
        <v>123</v>
      </c>
      <c r="FU88" s="1" t="s">
        <v>123</v>
      </c>
      <c r="HC88" t="s">
        <v>1408</v>
      </c>
      <c r="HD88" t="s">
        <v>1409</v>
      </c>
      <c r="HE88" t="s">
        <v>1410</v>
      </c>
      <c r="HF88" t="s">
        <v>140</v>
      </c>
      <c r="HG88">
        <v>1984</v>
      </c>
      <c r="HH88" t="str">
        <f>VLOOKUP(AnalizaCzyste[[#This Row],[Rok urodzenia]],KategorieWiekowe[],2,1)</f>
        <v>36–45 lat</v>
      </c>
      <c r="HI88" t="s">
        <v>398</v>
      </c>
      <c r="HK88" t="s">
        <v>1411</v>
      </c>
    </row>
    <row r="89" spans="1:221" x14ac:dyDescent="0.45">
      <c r="A89">
        <v>159</v>
      </c>
      <c r="B89">
        <f>_xlfn.IFNA(VLOOKUP(AnalizaCzyste[[#This Row],[Zakończono wypełnianie]],Zakończone[],2,0),"BRAK")</f>
        <v>92</v>
      </c>
      <c r="C89">
        <f t="shared" si="2"/>
        <v>39</v>
      </c>
      <c r="D89" t="s">
        <v>1412</v>
      </c>
      <c r="E89" t="s">
        <v>118</v>
      </c>
      <c r="J89" t="s">
        <v>119</v>
      </c>
      <c r="K89" t="s">
        <v>1413</v>
      </c>
      <c r="L89" t="s">
        <v>1414</v>
      </c>
      <c r="M89">
        <v>1007</v>
      </c>
      <c r="O89">
        <v>0</v>
      </c>
      <c r="P89" t="s">
        <v>122</v>
      </c>
      <c r="Q89" s="1" t="s">
        <v>123</v>
      </c>
      <c r="AG89" s="1" t="s">
        <v>124</v>
      </c>
      <c r="AH89" t="s">
        <v>1415</v>
      </c>
      <c r="AI89" t="str">
        <f>VLOOKUP(AnalizaCzyste[[#This Row],[Jak się nazywa uczelnia którą ukończyłeś? (proszę o wybranie jednej uczelni podlegającej ocenie)]],KategorieUczelni[],2,0)</f>
        <v>Publiczna</v>
      </c>
      <c r="AJ89" t="str">
        <f>VLOOKUP(AnalizaCzyste[[#This Row],[Jak się nazywa uczelnia którą ukończyłeś? (proszę o wybranie jednej uczelni podlegającej ocenie)]],KategorieUczelni[],3,0)</f>
        <v>Techniczna</v>
      </c>
      <c r="AK89">
        <f>COUNTIF(AnalizaCzyste[[#This Row],[Czy jesteś absolwentem uczelni wyższej?]],"*"&amp;"Tak"&amp;"*")</f>
        <v>1</v>
      </c>
      <c r="AL89">
        <v>2006</v>
      </c>
      <c r="AM89" t="s">
        <v>148</v>
      </c>
      <c r="AN89" t="s">
        <v>263</v>
      </c>
      <c r="AO89" t="s">
        <v>169</v>
      </c>
      <c r="AP89" t="s">
        <v>169</v>
      </c>
      <c r="AQ89" t="s">
        <v>169</v>
      </c>
      <c r="AR89" t="s">
        <v>150</v>
      </c>
      <c r="AS89" t="s">
        <v>169</v>
      </c>
      <c r="AT89" t="s">
        <v>1416</v>
      </c>
      <c r="AU89" t="s">
        <v>131</v>
      </c>
      <c r="AV89">
        <f>VLOOKUP(AnalizaCzyste[[#This Row],[w pierwszym roku po ukończeniu studiów : wybierz wartość z listy rozwijanej4]],Zarobki[],2,0)</f>
        <v>1500</v>
      </c>
      <c r="AW89" t="s">
        <v>153</v>
      </c>
      <c r="AX89">
        <f>VLOOKUP(AnalizaCzyste[[#This Row],[w 3 lata po ukończeniu studiów : wybierz wartość z listy rozwijanej5]],Zarobki[],2,0)</f>
        <v>3500</v>
      </c>
      <c r="AY89" t="s">
        <v>1417</v>
      </c>
      <c r="AZ89" t="s">
        <v>1418</v>
      </c>
      <c r="BA89" t="s">
        <v>1419</v>
      </c>
      <c r="BC89" t="s">
        <v>1420</v>
      </c>
      <c r="BD89" s="1" t="s">
        <v>123</v>
      </c>
      <c r="CX89" s="1" t="s">
        <v>123</v>
      </c>
      <c r="DH89" s="1" t="s">
        <v>123</v>
      </c>
      <c r="DR89" s="1" t="s">
        <v>123</v>
      </c>
      <c r="EU89" s="1" t="s">
        <v>123</v>
      </c>
      <c r="FU89" s="1" t="s">
        <v>123</v>
      </c>
      <c r="HC89" t="s">
        <v>1421</v>
      </c>
      <c r="HD89" t="s">
        <v>1422</v>
      </c>
      <c r="HE89" t="s">
        <v>142</v>
      </c>
      <c r="HF89" t="s">
        <v>140</v>
      </c>
      <c r="HG89">
        <v>1983</v>
      </c>
      <c r="HH89" t="str">
        <f>VLOOKUP(AnalizaCzyste[[#This Row],[Rok urodzenia]],KategorieWiekowe[],2,1)</f>
        <v>36–45 lat</v>
      </c>
      <c r="HI89" t="s">
        <v>141</v>
      </c>
      <c r="HK89" t="s">
        <v>1423</v>
      </c>
      <c r="HL89" t="s">
        <v>132</v>
      </c>
    </row>
    <row r="90" spans="1:221" x14ac:dyDescent="0.45">
      <c r="A90">
        <v>162</v>
      </c>
      <c r="B90">
        <f>_xlfn.IFNA(VLOOKUP(AnalizaCzyste[[#This Row],[Zakończono wypełnianie]],Zakończone[],2,0),"BRAK")</f>
        <v>93</v>
      </c>
      <c r="C90">
        <f t="shared" si="2"/>
        <v>37</v>
      </c>
      <c r="D90" t="s">
        <v>1352</v>
      </c>
      <c r="E90" t="s">
        <v>118</v>
      </c>
      <c r="J90" t="s">
        <v>119</v>
      </c>
      <c r="K90" t="s">
        <v>1426</v>
      </c>
      <c r="L90" t="s">
        <v>1427</v>
      </c>
      <c r="M90">
        <v>490</v>
      </c>
      <c r="O90">
        <v>0</v>
      </c>
      <c r="P90" t="s">
        <v>122</v>
      </c>
      <c r="Q90" s="1" t="s">
        <v>123</v>
      </c>
      <c r="AG90" s="1" t="s">
        <v>124</v>
      </c>
      <c r="AH90" t="s">
        <v>1415</v>
      </c>
      <c r="AI90" t="str">
        <f>VLOOKUP(AnalizaCzyste[[#This Row],[Jak się nazywa uczelnia którą ukończyłeś? (proszę o wybranie jednej uczelni podlegającej ocenie)]],KategorieUczelni[],2,0)</f>
        <v>Publiczna</v>
      </c>
      <c r="AJ90" t="str">
        <f>VLOOKUP(AnalizaCzyste[[#This Row],[Jak się nazywa uczelnia którą ukończyłeś? (proszę o wybranie jednej uczelni podlegającej ocenie)]],KategorieUczelni[],3,0)</f>
        <v>Techniczna</v>
      </c>
      <c r="AK90">
        <f>COUNTIF(AnalizaCzyste[[#This Row],[Czy jesteś absolwentem uczelni wyższej?]],"*"&amp;"Tak"&amp;"*")</f>
        <v>1</v>
      </c>
      <c r="AL90">
        <v>2006</v>
      </c>
      <c r="AM90" t="s">
        <v>126</v>
      </c>
      <c r="AN90" t="s">
        <v>192</v>
      </c>
      <c r="AO90" t="s">
        <v>150</v>
      </c>
      <c r="AP90" t="s">
        <v>150</v>
      </c>
      <c r="AQ90" t="s">
        <v>169</v>
      </c>
      <c r="AR90" t="s">
        <v>150</v>
      </c>
      <c r="AS90" t="s">
        <v>150</v>
      </c>
      <c r="AT90" t="s">
        <v>237</v>
      </c>
      <c r="AU90" t="s">
        <v>226</v>
      </c>
      <c r="AV90">
        <f>VLOOKUP(AnalizaCzyste[[#This Row],[w pierwszym roku po ukończeniu studiów : wybierz wartość z listy rozwijanej4]],Zarobki[],2,0)</f>
        <v>4500</v>
      </c>
      <c r="AW90" t="s">
        <v>1428</v>
      </c>
      <c r="AX90">
        <f>VLOOKUP(AnalizaCzyste[[#This Row],[w 3 lata po ukończeniu studiów : wybierz wartość z listy rozwijanej5]],Zarobki[],2,0)</f>
        <v>6500</v>
      </c>
      <c r="AY90" t="s">
        <v>1429</v>
      </c>
      <c r="AZ90" t="s">
        <v>1430</v>
      </c>
      <c r="BA90" t="s">
        <v>1431</v>
      </c>
      <c r="BB90" t="s">
        <v>157</v>
      </c>
      <c r="BD90" s="1" t="s">
        <v>123</v>
      </c>
      <c r="CX90" s="1" t="s">
        <v>123</v>
      </c>
      <c r="DH90" s="1" t="s">
        <v>123</v>
      </c>
      <c r="DR90" s="1" t="s">
        <v>123</v>
      </c>
      <c r="EU90" s="1" t="s">
        <v>123</v>
      </c>
      <c r="FU90" s="1" t="s">
        <v>123</v>
      </c>
      <c r="HC90" t="s">
        <v>1432</v>
      </c>
      <c r="HD90" t="s">
        <v>1433</v>
      </c>
      <c r="HE90" t="s">
        <v>1434</v>
      </c>
      <c r="HF90" t="s">
        <v>186</v>
      </c>
      <c r="HG90">
        <v>1982</v>
      </c>
      <c r="HH90" t="str">
        <f>VLOOKUP(AnalizaCzyste[[#This Row],[Rok urodzenia]],KategorieWiekowe[],2,1)</f>
        <v>36–45 lat</v>
      </c>
      <c r="HI90" t="s">
        <v>141</v>
      </c>
    </row>
    <row r="91" spans="1:221" x14ac:dyDescent="0.45">
      <c r="A91">
        <v>164</v>
      </c>
      <c r="B91">
        <f>_xlfn.IFNA(VLOOKUP(AnalizaCzyste[[#This Row],[Zakończono wypełnianie]],Zakończone[],2,0),"BRAK")</f>
        <v>94</v>
      </c>
      <c r="C91">
        <f t="shared" si="2"/>
        <v>40</v>
      </c>
      <c r="D91" t="s">
        <v>1436</v>
      </c>
      <c r="E91" t="s">
        <v>118</v>
      </c>
      <c r="J91" t="s">
        <v>119</v>
      </c>
      <c r="K91" t="s">
        <v>1437</v>
      </c>
      <c r="L91" t="s">
        <v>1438</v>
      </c>
      <c r="M91">
        <v>880</v>
      </c>
      <c r="O91">
        <v>0</v>
      </c>
      <c r="P91" t="s">
        <v>122</v>
      </c>
      <c r="Q91" s="1" t="s">
        <v>123</v>
      </c>
      <c r="AG91" s="1" t="s">
        <v>124</v>
      </c>
      <c r="AH91" t="s">
        <v>1439</v>
      </c>
      <c r="AI91" t="str">
        <f>VLOOKUP(AnalizaCzyste[[#This Row],[Jak się nazywa uczelnia którą ukończyłeś? (proszę o wybranie jednej uczelni podlegającej ocenie)]],KategorieUczelni[],2,0)</f>
        <v>Niepubliczna</v>
      </c>
      <c r="AJ91" t="str">
        <f>VLOOKUP(AnalizaCzyste[[#This Row],[Jak się nazywa uczelnia którą ukończyłeś? (proszę o wybranie jednej uczelni podlegającej ocenie)]],KategorieUczelni[],3,0)</f>
        <v>Nietechniczna</v>
      </c>
      <c r="AK91">
        <f>COUNTIF(AnalizaCzyste[[#This Row],[Czy jesteś absolwentem uczelni wyższej?]],"*"&amp;"Tak"&amp;"*")</f>
        <v>1</v>
      </c>
      <c r="AL91">
        <v>2019</v>
      </c>
      <c r="AM91" t="s">
        <v>148</v>
      </c>
      <c r="AN91" t="s">
        <v>1440</v>
      </c>
      <c r="AO91" t="s">
        <v>128</v>
      </c>
      <c r="AP91" t="s">
        <v>128</v>
      </c>
      <c r="AQ91" t="s">
        <v>150</v>
      </c>
      <c r="AR91" t="s">
        <v>169</v>
      </c>
      <c r="AS91" t="s">
        <v>169</v>
      </c>
      <c r="AT91" t="s">
        <v>1441</v>
      </c>
      <c r="AU91" t="s">
        <v>302</v>
      </c>
      <c r="AV91">
        <f>VLOOKUP(AnalizaCzyste[[#This Row],[w pierwszym roku po ukończeniu studiów : wybierz wartość z listy rozwijanej4]],Zarobki[],2,0)</f>
        <v>2500</v>
      </c>
      <c r="AW91" t="s">
        <v>226</v>
      </c>
      <c r="AX91">
        <f>VLOOKUP(AnalizaCzyste[[#This Row],[w 3 lata po ukończeniu studiów : wybierz wartość z listy rozwijanej5]],Zarobki[],2,0)</f>
        <v>4500</v>
      </c>
      <c r="AY91" t="s">
        <v>1442</v>
      </c>
      <c r="AZ91" t="s">
        <v>1443</v>
      </c>
      <c r="BA91" t="s">
        <v>1444</v>
      </c>
      <c r="BB91" t="s">
        <v>230</v>
      </c>
      <c r="BD91" s="1" t="s">
        <v>123</v>
      </c>
      <c r="CX91" s="1" t="s">
        <v>123</v>
      </c>
      <c r="DH91" s="1" t="s">
        <v>123</v>
      </c>
      <c r="DR91" s="1" t="s">
        <v>123</v>
      </c>
      <c r="EU91" s="1" t="s">
        <v>123</v>
      </c>
      <c r="EV91" t="s">
        <v>178</v>
      </c>
      <c r="FU91" s="1" t="s">
        <v>123</v>
      </c>
      <c r="HC91" t="s">
        <v>1445</v>
      </c>
      <c r="HD91" t="s">
        <v>1446</v>
      </c>
      <c r="HE91" t="s">
        <v>1447</v>
      </c>
      <c r="HF91" t="s">
        <v>140</v>
      </c>
      <c r="HG91">
        <v>1990</v>
      </c>
      <c r="HH91" t="str">
        <f>VLOOKUP(AnalizaCzyste[[#This Row],[Rok urodzenia]],KategorieWiekowe[],2,1)</f>
        <v>26–35 lat</v>
      </c>
      <c r="HI91" t="s">
        <v>398</v>
      </c>
      <c r="HK91" t="s">
        <v>1448</v>
      </c>
      <c r="HL91" t="s">
        <v>1449</v>
      </c>
    </row>
    <row r="92" spans="1:221" x14ac:dyDescent="0.45">
      <c r="A92">
        <v>165</v>
      </c>
      <c r="B92">
        <f>_xlfn.IFNA(VLOOKUP(AnalizaCzyste[[#This Row],[Zakończono wypełnianie]],Zakończone[],2,0),"BRAK")</f>
        <v>95</v>
      </c>
      <c r="C92">
        <f t="shared" si="2"/>
        <v>39</v>
      </c>
      <c r="D92" t="s">
        <v>1352</v>
      </c>
      <c r="E92" t="s">
        <v>118</v>
      </c>
      <c r="J92" t="s">
        <v>119</v>
      </c>
      <c r="K92" t="s">
        <v>1450</v>
      </c>
      <c r="L92" t="s">
        <v>1451</v>
      </c>
      <c r="M92">
        <v>402</v>
      </c>
      <c r="O92">
        <v>0</v>
      </c>
      <c r="P92" t="s">
        <v>122</v>
      </c>
      <c r="Q92" s="1" t="s">
        <v>123</v>
      </c>
      <c r="AG92" s="1" t="s">
        <v>124</v>
      </c>
      <c r="AH92" t="s">
        <v>223</v>
      </c>
      <c r="AI92" t="str">
        <f>VLOOKUP(AnalizaCzyste[[#This Row],[Jak się nazywa uczelnia którą ukończyłeś? (proszę o wybranie jednej uczelni podlegającej ocenie)]],KategorieUczelni[],2,0)</f>
        <v>Publiczna</v>
      </c>
      <c r="AJ92" t="str">
        <f>VLOOKUP(AnalizaCzyste[[#This Row],[Jak się nazywa uczelnia którą ukończyłeś? (proszę o wybranie jednej uczelni podlegającej ocenie)]],KategorieUczelni[],3,0)</f>
        <v>Nietechniczna</v>
      </c>
      <c r="AK92">
        <f>COUNTIF(AnalizaCzyste[[#This Row],[Czy jesteś absolwentem uczelni wyższej?]],"*"&amp;"Tak"&amp;"*")</f>
        <v>1</v>
      </c>
      <c r="AL92">
        <v>2008</v>
      </c>
      <c r="AM92" t="s">
        <v>148</v>
      </c>
      <c r="AN92" t="s">
        <v>1452</v>
      </c>
      <c r="AO92" t="s">
        <v>128</v>
      </c>
      <c r="AP92" t="s">
        <v>236</v>
      </c>
      <c r="AQ92" t="s">
        <v>129</v>
      </c>
      <c r="AR92" t="s">
        <v>129</v>
      </c>
      <c r="AS92" t="s">
        <v>128</v>
      </c>
      <c r="AT92" t="s">
        <v>237</v>
      </c>
      <c r="AU92" t="s">
        <v>131</v>
      </c>
      <c r="AV92">
        <f>VLOOKUP(AnalizaCzyste[[#This Row],[w pierwszym roku po ukończeniu studiów : wybierz wartość z listy rozwijanej4]],Zarobki[],2,0)</f>
        <v>1500</v>
      </c>
      <c r="AW92" t="s">
        <v>131</v>
      </c>
      <c r="AX92">
        <f>VLOOKUP(AnalizaCzyste[[#This Row],[w 3 lata po ukończeniu studiów : wybierz wartość z listy rozwijanej5]],Zarobki[],2,0)</f>
        <v>1500</v>
      </c>
      <c r="AY92" t="s">
        <v>1453</v>
      </c>
      <c r="AZ92" t="s">
        <v>1454</v>
      </c>
      <c r="BA92" t="s">
        <v>1005</v>
      </c>
      <c r="BB92" t="s">
        <v>157</v>
      </c>
      <c r="BD92" s="1" t="s">
        <v>123</v>
      </c>
      <c r="CX92" s="1" t="s">
        <v>123</v>
      </c>
      <c r="DH92" s="1" t="s">
        <v>123</v>
      </c>
      <c r="DR92" s="1" t="s">
        <v>123</v>
      </c>
      <c r="EU92" s="1" t="s">
        <v>123</v>
      </c>
      <c r="FU92" s="1" t="s">
        <v>123</v>
      </c>
      <c r="HC92" t="s">
        <v>1455</v>
      </c>
      <c r="HD92" t="s">
        <v>1456</v>
      </c>
      <c r="HE92" t="s">
        <v>1457</v>
      </c>
      <c r="HF92" t="s">
        <v>140</v>
      </c>
      <c r="HG92">
        <v>1984</v>
      </c>
      <c r="HH92" t="str">
        <f>VLOOKUP(AnalizaCzyste[[#This Row],[Rok urodzenia]],KategorieWiekowe[],2,1)</f>
        <v>36–45 lat</v>
      </c>
      <c r="HI92" t="s">
        <v>220</v>
      </c>
      <c r="HK92" t="s">
        <v>386</v>
      </c>
      <c r="HL92" t="s">
        <v>386</v>
      </c>
    </row>
    <row r="93" spans="1:221" x14ac:dyDescent="0.45">
      <c r="A93">
        <v>167</v>
      </c>
      <c r="B93">
        <f>_xlfn.IFNA(VLOOKUP(AnalizaCzyste[[#This Row],[Zakończono wypełnianie]],Zakończone[],2,0),"BRAK")</f>
        <v>96</v>
      </c>
      <c r="C93">
        <f t="shared" si="2"/>
        <v>38</v>
      </c>
      <c r="D93" t="s">
        <v>1131</v>
      </c>
      <c r="E93" t="s">
        <v>118</v>
      </c>
      <c r="J93" t="s">
        <v>119</v>
      </c>
      <c r="K93" t="s">
        <v>1459</v>
      </c>
      <c r="L93" t="s">
        <v>1460</v>
      </c>
      <c r="M93">
        <v>665</v>
      </c>
      <c r="O93">
        <v>0</v>
      </c>
      <c r="P93" t="s">
        <v>122</v>
      </c>
      <c r="Q93" s="1" t="s">
        <v>123</v>
      </c>
      <c r="AG93" s="1" t="s">
        <v>124</v>
      </c>
      <c r="AH93" t="s">
        <v>1461</v>
      </c>
      <c r="AI93" t="str">
        <f>VLOOKUP(AnalizaCzyste[[#This Row],[Jak się nazywa uczelnia którą ukończyłeś? (proszę o wybranie jednej uczelni podlegającej ocenie)]],KategorieUczelni[],2,0)</f>
        <v>Publiczna</v>
      </c>
      <c r="AJ93" t="str">
        <f>VLOOKUP(AnalizaCzyste[[#This Row],[Jak się nazywa uczelnia którą ukończyłeś? (proszę o wybranie jednej uczelni podlegającej ocenie)]],KategorieUczelni[],3,0)</f>
        <v>Nietechniczna</v>
      </c>
      <c r="AK93">
        <f>COUNTIF(AnalizaCzyste[[#This Row],[Czy jesteś absolwentem uczelni wyższej?]],"*"&amp;"Tak"&amp;"*")</f>
        <v>1</v>
      </c>
      <c r="AL93">
        <v>2007</v>
      </c>
      <c r="AM93" t="s">
        <v>148</v>
      </c>
      <c r="AN93" t="s">
        <v>1462</v>
      </c>
      <c r="AO93" t="s">
        <v>162</v>
      </c>
      <c r="AP93" t="s">
        <v>151</v>
      </c>
      <c r="AQ93" t="s">
        <v>151</v>
      </c>
      <c r="AR93" t="s">
        <v>150</v>
      </c>
      <c r="AS93" t="s">
        <v>128</v>
      </c>
      <c r="AT93">
        <v>2</v>
      </c>
      <c r="AU93" t="s">
        <v>302</v>
      </c>
      <c r="AV93">
        <f>VLOOKUP(AnalizaCzyste[[#This Row],[w pierwszym roku po ukończeniu studiów : wybierz wartość z listy rozwijanej4]],Zarobki[],2,0)</f>
        <v>2500</v>
      </c>
      <c r="AW93" t="s">
        <v>302</v>
      </c>
      <c r="AX93">
        <f>VLOOKUP(AnalizaCzyste[[#This Row],[w 3 lata po ukończeniu studiów : wybierz wartość z listy rozwijanej5]],Zarobki[],2,0)</f>
        <v>2500</v>
      </c>
      <c r="AY93" t="s">
        <v>1463</v>
      </c>
      <c r="AZ93" t="s">
        <v>1464</v>
      </c>
      <c r="BA93" t="s">
        <v>1465</v>
      </c>
      <c r="BB93" t="s">
        <v>157</v>
      </c>
      <c r="BD93" s="1" t="s">
        <v>123</v>
      </c>
      <c r="CX93" s="1" t="s">
        <v>123</v>
      </c>
      <c r="DH93" s="1" t="s">
        <v>123</v>
      </c>
      <c r="DR93" s="1" t="s">
        <v>123</v>
      </c>
      <c r="EU93" s="1" t="s">
        <v>123</v>
      </c>
      <c r="FU93" s="1" t="s">
        <v>123</v>
      </c>
      <c r="HC93" t="s">
        <v>1466</v>
      </c>
      <c r="HD93" t="s">
        <v>1467</v>
      </c>
      <c r="HE93" t="s">
        <v>1468</v>
      </c>
      <c r="HF93" t="s">
        <v>140</v>
      </c>
      <c r="HG93">
        <v>1982</v>
      </c>
      <c r="HH93" t="str">
        <f>VLOOKUP(AnalizaCzyste[[#This Row],[Rok urodzenia]],KategorieWiekowe[],2,1)</f>
        <v>36–45 lat</v>
      </c>
      <c r="HI93" t="s">
        <v>398</v>
      </c>
      <c r="HK93" t="s">
        <v>1469</v>
      </c>
    </row>
    <row r="94" spans="1:221" x14ac:dyDescent="0.45">
      <c r="A94">
        <v>169</v>
      </c>
      <c r="B94">
        <f>_xlfn.IFNA(VLOOKUP(AnalizaCzyste[[#This Row],[Zakończono wypełnianie]],Zakończone[],2,0),"BRAK")</f>
        <v>97</v>
      </c>
      <c r="C94">
        <f t="shared" si="2"/>
        <v>39</v>
      </c>
      <c r="D94" t="s">
        <v>1352</v>
      </c>
      <c r="E94" t="s">
        <v>118</v>
      </c>
      <c r="J94" t="s">
        <v>119</v>
      </c>
      <c r="K94" t="s">
        <v>1470</v>
      </c>
      <c r="L94" t="s">
        <v>1471</v>
      </c>
      <c r="M94">
        <v>495</v>
      </c>
      <c r="O94">
        <v>0</v>
      </c>
      <c r="P94" t="s">
        <v>122</v>
      </c>
      <c r="Q94" s="1" t="s">
        <v>123</v>
      </c>
      <c r="AG94" s="1" t="s">
        <v>124</v>
      </c>
      <c r="AH94" t="s">
        <v>1472</v>
      </c>
      <c r="AI94" t="str">
        <f>VLOOKUP(AnalizaCzyste[[#This Row],[Jak się nazywa uczelnia którą ukończyłeś? (proszę o wybranie jednej uczelni podlegającej ocenie)]],KategorieUczelni[],2,0)</f>
        <v>Publiczna</v>
      </c>
      <c r="AJ94" t="str">
        <f>VLOOKUP(AnalizaCzyste[[#This Row],[Jak się nazywa uczelnia którą ukończyłeś? (proszę o wybranie jednej uczelni podlegającej ocenie)]],KategorieUczelni[],3,0)</f>
        <v>Nietechniczna</v>
      </c>
      <c r="AK94">
        <f>COUNTIF(AnalizaCzyste[[#This Row],[Czy jesteś absolwentem uczelni wyższej?]],"*"&amp;"Tak"&amp;"*")</f>
        <v>1</v>
      </c>
      <c r="AM94" t="s">
        <v>148</v>
      </c>
      <c r="AN94" t="s">
        <v>1474</v>
      </c>
      <c r="AO94" t="s">
        <v>169</v>
      </c>
      <c r="AP94" t="s">
        <v>169</v>
      </c>
      <c r="AQ94" t="s">
        <v>151</v>
      </c>
      <c r="AR94" t="s">
        <v>162</v>
      </c>
      <c r="AS94" t="s">
        <v>162</v>
      </c>
      <c r="AT94" t="s">
        <v>1475</v>
      </c>
      <c r="AU94" t="s">
        <v>132</v>
      </c>
      <c r="AV94" t="str">
        <f>VLOOKUP(AnalizaCzyste[[#This Row],[w pierwszym roku po ukończeniu studiów : wybierz wartość z listy rozwijanej4]],Zarobki[],2,0)</f>
        <v>N/D</v>
      </c>
      <c r="AW94" t="s">
        <v>132</v>
      </c>
      <c r="AX94" t="str">
        <f>VLOOKUP(AnalizaCzyste[[#This Row],[w 3 lata po ukończeniu studiów : wybierz wartość z listy rozwijanej5]],Zarobki[],2,0)</f>
        <v>N/D</v>
      </c>
      <c r="AY94" t="s">
        <v>1476</v>
      </c>
      <c r="AZ94" t="s">
        <v>1477</v>
      </c>
      <c r="BA94" t="s">
        <v>1473</v>
      </c>
      <c r="BB94" t="s">
        <v>157</v>
      </c>
      <c r="BD94" s="1" t="s">
        <v>123</v>
      </c>
      <c r="CX94" s="1" t="s">
        <v>123</v>
      </c>
      <c r="DH94" s="1" t="s">
        <v>123</v>
      </c>
      <c r="DR94" s="1" t="s">
        <v>123</v>
      </c>
      <c r="EU94" s="1" t="s">
        <v>123</v>
      </c>
      <c r="FU94" s="1" t="s">
        <v>123</v>
      </c>
      <c r="HC94" t="s">
        <v>1478</v>
      </c>
      <c r="HD94" t="s">
        <v>1478</v>
      </c>
      <c r="HE94" t="s">
        <v>1473</v>
      </c>
      <c r="HF94" t="s">
        <v>140</v>
      </c>
      <c r="HG94" t="s">
        <v>1473</v>
      </c>
      <c r="HH94" t="e">
        <f>VLOOKUP(AnalizaCzyste[[#This Row],[Rok urodzenia]],KategorieWiekowe[],2,1)</f>
        <v>#N/A</v>
      </c>
      <c r="HI94" t="s">
        <v>398</v>
      </c>
      <c r="HK94" t="s">
        <v>1479</v>
      </c>
      <c r="HL94" t="s">
        <v>1473</v>
      </c>
      <c r="HM94" t="s">
        <v>1473</v>
      </c>
    </row>
    <row r="95" spans="1:221" x14ac:dyDescent="0.45">
      <c r="A95">
        <v>171</v>
      </c>
      <c r="B95">
        <f>_xlfn.IFNA(VLOOKUP(AnalizaCzyste[[#This Row],[Zakończono wypełnianie]],Zakończone[],2,0),"BRAK")</f>
        <v>98</v>
      </c>
      <c r="C95">
        <f t="shared" si="2"/>
        <v>36</v>
      </c>
      <c r="D95" t="s">
        <v>1336</v>
      </c>
      <c r="E95" t="s">
        <v>118</v>
      </c>
      <c r="J95" t="s">
        <v>119</v>
      </c>
      <c r="K95" t="s">
        <v>1481</v>
      </c>
      <c r="L95" t="s">
        <v>1482</v>
      </c>
      <c r="M95">
        <v>562</v>
      </c>
      <c r="O95">
        <v>0</v>
      </c>
      <c r="P95" t="s">
        <v>122</v>
      </c>
      <c r="Q95" s="1" t="s">
        <v>123</v>
      </c>
      <c r="AG95" s="1" t="s">
        <v>124</v>
      </c>
      <c r="AH95" t="s">
        <v>223</v>
      </c>
      <c r="AI95" t="str">
        <f>VLOOKUP(AnalizaCzyste[[#This Row],[Jak się nazywa uczelnia którą ukończyłeś? (proszę o wybranie jednej uczelni podlegającej ocenie)]],KategorieUczelni[],2,0)</f>
        <v>Publiczna</v>
      </c>
      <c r="AJ95" t="str">
        <f>VLOOKUP(AnalizaCzyste[[#This Row],[Jak się nazywa uczelnia którą ukończyłeś? (proszę o wybranie jednej uczelni podlegającej ocenie)]],KategorieUczelni[],3,0)</f>
        <v>Nietechniczna</v>
      </c>
      <c r="AK95">
        <f>COUNTIF(AnalizaCzyste[[#This Row],[Czy jesteś absolwentem uczelni wyższej?]],"*"&amp;"Tak"&amp;"*")</f>
        <v>1</v>
      </c>
      <c r="AL95">
        <v>2014</v>
      </c>
      <c r="AM95" t="s">
        <v>148</v>
      </c>
      <c r="AN95" t="s">
        <v>1483</v>
      </c>
      <c r="AO95" t="s">
        <v>151</v>
      </c>
      <c r="AP95" t="s">
        <v>128</v>
      </c>
      <c r="AQ95" t="s">
        <v>128</v>
      </c>
      <c r="AR95" t="s">
        <v>151</v>
      </c>
      <c r="AS95" t="s">
        <v>162</v>
      </c>
      <c r="AT95" t="s">
        <v>1484</v>
      </c>
      <c r="AU95" t="s">
        <v>153</v>
      </c>
      <c r="AV95">
        <f>VLOOKUP(AnalizaCzyste[[#This Row],[w pierwszym roku po ukończeniu studiów : wybierz wartość z listy rozwijanej4]],Zarobki[],2,0)</f>
        <v>3500</v>
      </c>
      <c r="AW95" t="s">
        <v>153</v>
      </c>
      <c r="AX95">
        <f>VLOOKUP(AnalizaCzyste[[#This Row],[w 3 lata po ukończeniu studiów : wybierz wartość z listy rozwijanej5]],Zarobki[],2,0)</f>
        <v>3500</v>
      </c>
      <c r="AZ95" t="s">
        <v>1485</v>
      </c>
      <c r="BA95" t="s">
        <v>1486</v>
      </c>
      <c r="BB95" t="s">
        <v>172</v>
      </c>
      <c r="BD95" s="1" t="s">
        <v>123</v>
      </c>
      <c r="CX95" s="1" t="s">
        <v>123</v>
      </c>
      <c r="DH95" s="1" t="s">
        <v>123</v>
      </c>
      <c r="DR95" s="1" t="s">
        <v>123</v>
      </c>
      <c r="EU95" s="1" t="s">
        <v>123</v>
      </c>
      <c r="FU95" s="1" t="s">
        <v>123</v>
      </c>
      <c r="HC95" t="s">
        <v>1487</v>
      </c>
      <c r="HD95" t="s">
        <v>1488</v>
      </c>
      <c r="HE95" t="s">
        <v>1489</v>
      </c>
      <c r="HF95" t="s">
        <v>140</v>
      </c>
      <c r="HG95">
        <v>1991</v>
      </c>
      <c r="HH95" t="str">
        <f>VLOOKUP(AnalizaCzyste[[#This Row],[Rok urodzenia]],KategorieWiekowe[],2,1)</f>
        <v>26–35 lat</v>
      </c>
      <c r="HI95" t="s">
        <v>141</v>
      </c>
    </row>
    <row r="96" spans="1:221" x14ac:dyDescent="0.45">
      <c r="A96">
        <v>175</v>
      </c>
      <c r="B96">
        <f>_xlfn.IFNA(VLOOKUP(AnalizaCzyste[[#This Row],[Zakończono wypełnianie]],Zakończone[],2,0),"BRAK")</f>
        <v>99</v>
      </c>
      <c r="C96">
        <f t="shared" si="2"/>
        <v>37</v>
      </c>
      <c r="D96" t="s">
        <v>1131</v>
      </c>
      <c r="E96" t="s">
        <v>118</v>
      </c>
      <c r="J96" t="s">
        <v>119</v>
      </c>
      <c r="K96" t="s">
        <v>1493</v>
      </c>
      <c r="L96" t="s">
        <v>1494</v>
      </c>
      <c r="M96">
        <v>2185</v>
      </c>
      <c r="O96">
        <v>0</v>
      </c>
      <c r="P96" t="s">
        <v>122</v>
      </c>
      <c r="Q96" s="1" t="s">
        <v>123</v>
      </c>
      <c r="AG96" s="1" t="s">
        <v>124</v>
      </c>
      <c r="AH96" t="s">
        <v>223</v>
      </c>
      <c r="AI96" t="str">
        <f>VLOOKUP(AnalizaCzyste[[#This Row],[Jak się nazywa uczelnia którą ukończyłeś? (proszę o wybranie jednej uczelni podlegającej ocenie)]],KategorieUczelni[],2,0)</f>
        <v>Publiczna</v>
      </c>
      <c r="AJ96" t="str">
        <f>VLOOKUP(AnalizaCzyste[[#This Row],[Jak się nazywa uczelnia którą ukończyłeś? (proszę o wybranie jednej uczelni podlegającej ocenie)]],KategorieUczelni[],3,0)</f>
        <v>Nietechniczna</v>
      </c>
      <c r="AK96">
        <f>COUNTIF(AnalizaCzyste[[#This Row],[Czy jesteś absolwentem uczelni wyższej?]],"*"&amp;"Tak"&amp;"*")</f>
        <v>1</v>
      </c>
      <c r="AL96">
        <v>2005</v>
      </c>
      <c r="AM96" t="s">
        <v>148</v>
      </c>
      <c r="AN96" t="s">
        <v>1495</v>
      </c>
      <c r="AO96" t="s">
        <v>150</v>
      </c>
      <c r="AP96" t="s">
        <v>169</v>
      </c>
      <c r="AQ96" t="s">
        <v>169</v>
      </c>
      <c r="AR96" t="s">
        <v>169</v>
      </c>
      <c r="AS96" t="s">
        <v>150</v>
      </c>
      <c r="AT96" t="s">
        <v>237</v>
      </c>
      <c r="AU96" t="s">
        <v>131</v>
      </c>
      <c r="AV96">
        <f>VLOOKUP(AnalizaCzyste[[#This Row],[w pierwszym roku po ukończeniu studiów : wybierz wartość z listy rozwijanej4]],Zarobki[],2,0)</f>
        <v>1500</v>
      </c>
      <c r="AW96" t="s">
        <v>302</v>
      </c>
      <c r="AX96">
        <f>VLOOKUP(AnalizaCzyste[[#This Row],[w 3 lata po ukończeniu studiów : wybierz wartość z listy rozwijanej5]],Zarobki[],2,0)</f>
        <v>2500</v>
      </c>
      <c r="AZ96" t="s">
        <v>1496</v>
      </c>
      <c r="BA96" t="s">
        <v>386</v>
      </c>
      <c r="BB96" t="s">
        <v>230</v>
      </c>
      <c r="BD96" s="1" t="s">
        <v>123</v>
      </c>
      <c r="CX96" s="1" t="s">
        <v>123</v>
      </c>
      <c r="DH96" s="1" t="s">
        <v>123</v>
      </c>
      <c r="DR96" s="1" t="s">
        <v>123</v>
      </c>
      <c r="EU96" s="1" t="s">
        <v>123</v>
      </c>
      <c r="EV96" t="s">
        <v>178</v>
      </c>
      <c r="FU96" s="1" t="s">
        <v>123</v>
      </c>
      <c r="HC96" t="s">
        <v>1497</v>
      </c>
      <c r="HD96" t="s">
        <v>1497</v>
      </c>
      <c r="HE96" t="s">
        <v>1497</v>
      </c>
      <c r="HF96" t="s">
        <v>186</v>
      </c>
      <c r="HG96">
        <v>1981</v>
      </c>
      <c r="HH96" t="str">
        <f>VLOOKUP(AnalizaCzyste[[#This Row],[Rok urodzenia]],KategorieWiekowe[],2,1)</f>
        <v>36–45 lat</v>
      </c>
      <c r="HI96" t="s">
        <v>246</v>
      </c>
    </row>
    <row r="97" spans="1:221" x14ac:dyDescent="0.45">
      <c r="A97">
        <v>178</v>
      </c>
      <c r="B97">
        <f>_xlfn.IFNA(VLOOKUP(AnalizaCzyste[[#This Row],[Zakończono wypełnianie]],Zakończone[],2,0),"BRAK")</f>
        <v>100</v>
      </c>
      <c r="C97">
        <f t="shared" si="2"/>
        <v>37</v>
      </c>
      <c r="D97" t="s">
        <v>1131</v>
      </c>
      <c r="E97" t="s">
        <v>118</v>
      </c>
      <c r="J97" t="s">
        <v>119</v>
      </c>
      <c r="K97" t="s">
        <v>1501</v>
      </c>
      <c r="L97" t="s">
        <v>1502</v>
      </c>
      <c r="M97">
        <v>1485</v>
      </c>
      <c r="O97">
        <v>0</v>
      </c>
      <c r="P97" t="s">
        <v>122</v>
      </c>
      <c r="Q97" s="1" t="s">
        <v>123</v>
      </c>
      <c r="AG97" s="1" t="s">
        <v>124</v>
      </c>
      <c r="AH97" t="s">
        <v>1503</v>
      </c>
      <c r="AI97" t="str">
        <f>VLOOKUP(AnalizaCzyste[[#This Row],[Jak się nazywa uczelnia którą ukończyłeś? (proszę o wybranie jednej uczelni podlegającej ocenie)]],KategorieUczelni[],2,0)</f>
        <v>Publiczna</v>
      </c>
      <c r="AJ97" t="str">
        <f>VLOOKUP(AnalizaCzyste[[#This Row],[Jak się nazywa uczelnia którą ukończyłeś? (proszę o wybranie jednej uczelni podlegającej ocenie)]],KategorieUczelni[],3,0)</f>
        <v>Techniczna</v>
      </c>
      <c r="AK97">
        <f>COUNTIF(AnalizaCzyste[[#This Row],[Czy jesteś absolwentem uczelni wyższej?]],"*"&amp;"Tak"&amp;"*")</f>
        <v>1</v>
      </c>
      <c r="AL97">
        <v>2016</v>
      </c>
      <c r="AM97" t="s">
        <v>148</v>
      </c>
      <c r="AN97" t="s">
        <v>1504</v>
      </c>
      <c r="AO97" t="s">
        <v>150</v>
      </c>
      <c r="AP97" t="s">
        <v>151</v>
      </c>
      <c r="AQ97" t="s">
        <v>162</v>
      </c>
      <c r="AR97" t="s">
        <v>150</v>
      </c>
      <c r="AS97" t="s">
        <v>169</v>
      </c>
      <c r="AT97">
        <v>4</v>
      </c>
      <c r="AU97" t="s">
        <v>302</v>
      </c>
      <c r="AV97">
        <f>VLOOKUP(AnalizaCzyste[[#This Row],[w pierwszym roku po ukończeniu studiów : wybierz wartość z listy rozwijanej4]],Zarobki[],2,0)</f>
        <v>2500</v>
      </c>
      <c r="AW97" t="s">
        <v>153</v>
      </c>
      <c r="AX97">
        <f>VLOOKUP(AnalizaCzyste[[#This Row],[w 3 lata po ukończeniu studiów : wybierz wartość z listy rozwijanej5]],Zarobki[],2,0)</f>
        <v>3500</v>
      </c>
      <c r="AY97" t="s">
        <v>1505</v>
      </c>
      <c r="AZ97" t="s">
        <v>1506</v>
      </c>
      <c r="BA97" t="s">
        <v>1507</v>
      </c>
      <c r="BB97" t="s">
        <v>157</v>
      </c>
      <c r="BD97" s="1" t="s">
        <v>123</v>
      </c>
      <c r="CX97" s="1" t="s">
        <v>123</v>
      </c>
      <c r="DH97" s="1" t="s">
        <v>123</v>
      </c>
      <c r="DR97" s="1" t="s">
        <v>123</v>
      </c>
      <c r="EU97" s="1" t="s">
        <v>123</v>
      </c>
      <c r="FU97" s="1" t="s">
        <v>123</v>
      </c>
      <c r="HC97" t="s">
        <v>1508</v>
      </c>
      <c r="HD97" t="s">
        <v>1509</v>
      </c>
      <c r="HE97" t="s">
        <v>1510</v>
      </c>
      <c r="HF97" t="s">
        <v>186</v>
      </c>
      <c r="HG97">
        <v>1991</v>
      </c>
      <c r="HH97" t="str">
        <f>VLOOKUP(AnalizaCzyste[[#This Row],[Rok urodzenia]],KategorieWiekowe[],2,1)</f>
        <v>26–35 lat</v>
      </c>
      <c r="HI97" t="s">
        <v>398</v>
      </c>
    </row>
    <row r="98" spans="1:221" x14ac:dyDescent="0.45">
      <c r="A98">
        <v>179</v>
      </c>
      <c r="B98">
        <f>_xlfn.IFNA(VLOOKUP(AnalizaCzyste[[#This Row],[Zakończono wypełnianie]],Zakończone[],2,0),"BRAK")</f>
        <v>101</v>
      </c>
      <c r="C98">
        <f t="shared" si="2"/>
        <v>48</v>
      </c>
      <c r="D98" t="s">
        <v>1511</v>
      </c>
      <c r="E98" t="s">
        <v>118</v>
      </c>
      <c r="J98" t="s">
        <v>119</v>
      </c>
      <c r="K98" t="s">
        <v>1512</v>
      </c>
      <c r="L98" t="s">
        <v>1513</v>
      </c>
      <c r="M98">
        <v>2685</v>
      </c>
      <c r="O98">
        <v>0</v>
      </c>
      <c r="P98" t="s">
        <v>122</v>
      </c>
      <c r="Q98" s="1" t="s">
        <v>123</v>
      </c>
      <c r="AG98" s="1" t="s">
        <v>124</v>
      </c>
      <c r="AH98" t="s">
        <v>1514</v>
      </c>
      <c r="AI98" t="str">
        <f>VLOOKUP(AnalizaCzyste[[#This Row],[Jak się nazywa uczelnia którą ukończyłeś? (proszę o wybranie jednej uczelni podlegającej ocenie)]],KategorieUczelni[],2,0)</f>
        <v>Zagraniczna</v>
      </c>
      <c r="AJ98" t="str">
        <f>VLOOKUP(AnalizaCzyste[[#This Row],[Jak się nazywa uczelnia którą ukończyłeś? (proszę o wybranie jednej uczelni podlegającej ocenie)]],KategorieUczelni[],3,0)</f>
        <v>Nietechniczna</v>
      </c>
      <c r="AK98">
        <f>COUNTIF(AnalizaCzyste[[#This Row],[Czy jesteś absolwentem uczelni wyższej?]],"*"&amp;"Tak"&amp;"*")</f>
        <v>1</v>
      </c>
      <c r="AL98">
        <v>1996</v>
      </c>
      <c r="AM98" t="s">
        <v>148</v>
      </c>
      <c r="AN98" t="s">
        <v>1515</v>
      </c>
      <c r="AO98" t="s">
        <v>162</v>
      </c>
      <c r="AP98" t="s">
        <v>151</v>
      </c>
      <c r="AQ98" t="s">
        <v>162</v>
      </c>
      <c r="AR98" t="s">
        <v>162</v>
      </c>
      <c r="AS98" t="s">
        <v>151</v>
      </c>
      <c r="AT98" t="s">
        <v>1516</v>
      </c>
      <c r="AU98" t="s">
        <v>194</v>
      </c>
      <c r="AV98">
        <f>VLOOKUP(AnalizaCzyste[[#This Row],[w pierwszym roku po ukończeniu studiów : wybierz wartość z listy rozwijanej4]],Zarobki[],2,0)</f>
        <v>10500</v>
      </c>
      <c r="AW98" t="s">
        <v>194</v>
      </c>
      <c r="AX98">
        <f>VLOOKUP(AnalizaCzyste[[#This Row],[w 3 lata po ukończeniu studiów : wybierz wartość z listy rozwijanej5]],Zarobki[],2,0)</f>
        <v>10500</v>
      </c>
      <c r="AY98" t="s">
        <v>1517</v>
      </c>
      <c r="AZ98" t="s">
        <v>1518</v>
      </c>
      <c r="BA98" t="s">
        <v>1519</v>
      </c>
      <c r="BB98" t="s">
        <v>172</v>
      </c>
      <c r="BD98" s="1" t="s">
        <v>123</v>
      </c>
      <c r="CX98" s="1" t="s">
        <v>123</v>
      </c>
      <c r="DH98" s="1" t="s">
        <v>123</v>
      </c>
      <c r="DR98" s="1" t="s">
        <v>123</v>
      </c>
      <c r="EU98" s="1" t="s">
        <v>177</v>
      </c>
      <c r="EV98" t="s">
        <v>180</v>
      </c>
      <c r="EW98">
        <v>1</v>
      </c>
      <c r="EX98" t="s">
        <v>1520</v>
      </c>
      <c r="EY98" t="s">
        <v>150</v>
      </c>
      <c r="EZ98" t="s">
        <v>162</v>
      </c>
      <c r="FA98" t="s">
        <v>162</v>
      </c>
      <c r="FB98" t="s">
        <v>178</v>
      </c>
      <c r="FC98" t="s">
        <v>1521</v>
      </c>
      <c r="FD98" t="s">
        <v>1522</v>
      </c>
      <c r="FE98" t="s">
        <v>173</v>
      </c>
      <c r="FU98" s="1" t="s">
        <v>123</v>
      </c>
      <c r="HC98" t="s">
        <v>1523</v>
      </c>
      <c r="HD98" t="s">
        <v>1524</v>
      </c>
      <c r="HE98" t="s">
        <v>1525</v>
      </c>
      <c r="HF98" t="s">
        <v>186</v>
      </c>
      <c r="HG98">
        <v>1974</v>
      </c>
      <c r="HH98" t="str">
        <f>VLOOKUP(AnalizaCzyste[[#This Row],[Rok urodzenia]],KategorieWiekowe[],2,1)</f>
        <v>46–55 lat</v>
      </c>
      <c r="HI98" t="s">
        <v>398</v>
      </c>
      <c r="HK98" t="s">
        <v>1526</v>
      </c>
    </row>
    <row r="99" spans="1:221" hidden="1" x14ac:dyDescent="0.45">
      <c r="A99">
        <v>181</v>
      </c>
      <c r="B99">
        <f>_xlfn.IFNA(VLOOKUP(AnalizaCzyste[[#This Row],[Zakończono wypełnianie]],Zakończone[],2,0),"BRAK")</f>
        <v>102</v>
      </c>
      <c r="C99">
        <f t="shared" ref="C99:C135" si="3">COUNTA(P99:HM99)</f>
        <v>39</v>
      </c>
      <c r="D99" t="s">
        <v>1336</v>
      </c>
      <c r="E99" t="s">
        <v>118</v>
      </c>
      <c r="J99" t="s">
        <v>119</v>
      </c>
      <c r="K99" t="s">
        <v>1528</v>
      </c>
      <c r="L99" t="s">
        <v>1529</v>
      </c>
      <c r="M99">
        <v>426</v>
      </c>
      <c r="O99">
        <v>0</v>
      </c>
      <c r="P99" t="s">
        <v>122</v>
      </c>
      <c r="Q99" s="1" t="s">
        <v>416</v>
      </c>
      <c r="R99" t="s">
        <v>1439</v>
      </c>
      <c r="S99" t="s">
        <v>126</v>
      </c>
      <c r="T99" t="s">
        <v>192</v>
      </c>
      <c r="U99" t="s">
        <v>151</v>
      </c>
      <c r="V99" t="s">
        <v>162</v>
      </c>
      <c r="W99" t="s">
        <v>128</v>
      </c>
      <c r="X99" t="s">
        <v>1531</v>
      </c>
      <c r="Y99" t="s">
        <v>194</v>
      </c>
      <c r="Z99" t="s">
        <v>194</v>
      </c>
      <c r="AA99" t="s">
        <v>1532</v>
      </c>
      <c r="AB99" t="s">
        <v>1533</v>
      </c>
      <c r="AC99" t="s">
        <v>1534</v>
      </c>
      <c r="AD99" t="s">
        <v>892</v>
      </c>
      <c r="AF99">
        <v>7</v>
      </c>
      <c r="AG99" s="1" t="s">
        <v>123</v>
      </c>
      <c r="AI99" t="e">
        <f>VLOOKUP(AnalizaCzyste[[#This Row],[Jak się nazywa uczelnia którą ukończyłeś? (proszę o wybranie jednej uczelni podlegającej ocenie)]],KategorieUczelni[],2,0)</f>
        <v>#N/A</v>
      </c>
      <c r="AJ99" t="e">
        <f>VLOOKUP(AnalizaCzyste[[#This Row],[Jak się nazywa uczelnia którą ukończyłeś? (proszę o wybranie jednej uczelni podlegającej ocenie)]],KategorieUczelni[],3,0)</f>
        <v>#N/A</v>
      </c>
      <c r="AK99">
        <f>COUNTIF(AnalizaCzyste[[#This Row],[Czy jesteś absolwentem uczelni wyższej?]],"*"&amp;"Tak"&amp;"*")</f>
        <v>0</v>
      </c>
      <c r="AV99" t="e">
        <f>VLOOKUP(AnalizaCzyste[[#This Row],[w pierwszym roku po ukończeniu studiów : wybierz wartość z listy rozwijanej4]],Zarobki[],2,0)</f>
        <v>#N/A</v>
      </c>
      <c r="AX99" t="e">
        <f>VLOOKUP(AnalizaCzyste[[#This Row],[w 3 lata po ukończeniu studiów : wybierz wartość z listy rozwijanej5]],Zarobki[],2,0)</f>
        <v>#N/A</v>
      </c>
      <c r="BD99" s="1" t="s">
        <v>123</v>
      </c>
      <c r="CX99" s="1" t="s">
        <v>123</v>
      </c>
      <c r="DH99" s="1" t="s">
        <v>123</v>
      </c>
      <c r="DR99" s="1" t="s">
        <v>123</v>
      </c>
      <c r="EU99" s="1" t="s">
        <v>123</v>
      </c>
      <c r="EV99" t="s">
        <v>178</v>
      </c>
      <c r="EW99" t="s">
        <v>132</v>
      </c>
      <c r="FU99" s="1" t="s">
        <v>123</v>
      </c>
      <c r="HC99" t="s">
        <v>1535</v>
      </c>
      <c r="HD99" t="s">
        <v>1536</v>
      </c>
      <c r="HE99" t="s">
        <v>1537</v>
      </c>
      <c r="HF99" t="s">
        <v>140</v>
      </c>
      <c r="HG99">
        <v>1991</v>
      </c>
      <c r="HH99" t="str">
        <f>VLOOKUP(AnalizaCzyste[[#This Row],[Rok urodzenia]],KategorieWiekowe[],2,1)</f>
        <v>26–35 lat</v>
      </c>
      <c r="HI99" t="s">
        <v>141</v>
      </c>
      <c r="HK99" t="s">
        <v>1538</v>
      </c>
      <c r="HL99" t="s">
        <v>1539</v>
      </c>
    </row>
    <row r="100" spans="1:221" x14ac:dyDescent="0.45">
      <c r="A100">
        <v>182</v>
      </c>
      <c r="B100">
        <f>_xlfn.IFNA(VLOOKUP(AnalizaCzyste[[#This Row],[Zakończono wypełnianie]],Zakończone[],2,0),"BRAK")</f>
        <v>103</v>
      </c>
      <c r="C100">
        <f t="shared" si="3"/>
        <v>39</v>
      </c>
      <c r="D100" t="s">
        <v>1540</v>
      </c>
      <c r="E100" t="s">
        <v>118</v>
      </c>
      <c r="J100" t="s">
        <v>119</v>
      </c>
      <c r="K100" t="s">
        <v>1541</v>
      </c>
      <c r="L100" t="s">
        <v>1542</v>
      </c>
      <c r="M100">
        <v>193</v>
      </c>
      <c r="O100">
        <v>0</v>
      </c>
      <c r="P100" t="s">
        <v>122</v>
      </c>
      <c r="Q100" s="1" t="s">
        <v>123</v>
      </c>
      <c r="AG100" s="1" t="s">
        <v>124</v>
      </c>
      <c r="AH100" t="s">
        <v>191</v>
      </c>
      <c r="AI100" t="str">
        <f>VLOOKUP(AnalizaCzyste[[#This Row],[Jak się nazywa uczelnia którą ukończyłeś? (proszę o wybranie jednej uczelni podlegającej ocenie)]],KategorieUczelni[],2,0)</f>
        <v>Publiczna</v>
      </c>
      <c r="AJ100" t="str">
        <f>VLOOKUP(AnalizaCzyste[[#This Row],[Jak się nazywa uczelnia którą ukończyłeś? (proszę o wybranie jednej uczelni podlegającej ocenie)]],KategorieUczelni[],3,0)</f>
        <v>Techniczna</v>
      </c>
      <c r="AK100">
        <f>COUNTIF(AnalizaCzyste[[#This Row],[Czy jesteś absolwentem uczelni wyższej?]],"*"&amp;"Tak"&amp;"*")</f>
        <v>1</v>
      </c>
      <c r="AL100">
        <v>2013</v>
      </c>
      <c r="AM100" t="s">
        <v>126</v>
      </c>
      <c r="AN100" t="s">
        <v>1544</v>
      </c>
      <c r="AO100" t="s">
        <v>236</v>
      </c>
      <c r="AP100" t="s">
        <v>236</v>
      </c>
      <c r="AQ100" t="s">
        <v>162</v>
      </c>
      <c r="AR100" t="s">
        <v>236</v>
      </c>
      <c r="AS100" t="s">
        <v>236</v>
      </c>
      <c r="AT100">
        <v>1</v>
      </c>
      <c r="AU100" t="s">
        <v>131</v>
      </c>
      <c r="AV100">
        <f>VLOOKUP(AnalizaCzyste[[#This Row],[w pierwszym roku po ukończeniu studiów : wybierz wartość z listy rozwijanej4]],Zarobki[],2,0)</f>
        <v>1500</v>
      </c>
      <c r="AW100" t="s">
        <v>302</v>
      </c>
      <c r="AX100">
        <f>VLOOKUP(AnalizaCzyste[[#This Row],[w 3 lata po ukończeniu studiów : wybierz wartość z listy rozwijanej5]],Zarobki[],2,0)</f>
        <v>2500</v>
      </c>
      <c r="AZ100" t="s">
        <v>267</v>
      </c>
      <c r="BA100" t="s">
        <v>267</v>
      </c>
      <c r="BB100" t="s">
        <v>157</v>
      </c>
      <c r="BD100" s="1" t="s">
        <v>123</v>
      </c>
      <c r="CX100" s="1" t="s">
        <v>123</v>
      </c>
      <c r="DH100" s="1" t="s">
        <v>123</v>
      </c>
      <c r="DR100" s="1" t="s">
        <v>123</v>
      </c>
      <c r="EU100" s="1" t="s">
        <v>123</v>
      </c>
      <c r="FU100" s="1" t="s">
        <v>123</v>
      </c>
      <c r="HC100" t="s">
        <v>267</v>
      </c>
      <c r="HD100" t="s">
        <v>267</v>
      </c>
      <c r="HE100" t="s">
        <v>267</v>
      </c>
      <c r="HF100" t="s">
        <v>186</v>
      </c>
      <c r="HG100">
        <v>1989</v>
      </c>
      <c r="HH100" t="str">
        <f>VLOOKUP(AnalizaCzyste[[#This Row],[Rok urodzenia]],KategorieWiekowe[],2,1)</f>
        <v>26–35 lat</v>
      </c>
      <c r="HI100" t="s">
        <v>141</v>
      </c>
      <c r="HK100" t="s">
        <v>267</v>
      </c>
      <c r="HL100" t="s">
        <v>267</v>
      </c>
      <c r="HM100" t="s">
        <v>267</v>
      </c>
    </row>
    <row r="101" spans="1:221" x14ac:dyDescent="0.45">
      <c r="A101">
        <v>183</v>
      </c>
      <c r="B101">
        <f>_xlfn.IFNA(VLOOKUP(AnalizaCzyste[[#This Row],[Zakończono wypełnianie]],Zakończone[],2,0),"BRAK")</f>
        <v>104</v>
      </c>
      <c r="C101">
        <f t="shared" si="3"/>
        <v>38</v>
      </c>
      <c r="D101" t="s">
        <v>1545</v>
      </c>
      <c r="E101" t="s">
        <v>118</v>
      </c>
      <c r="J101" t="s">
        <v>119</v>
      </c>
      <c r="K101" t="s">
        <v>1546</v>
      </c>
      <c r="L101" t="s">
        <v>1547</v>
      </c>
      <c r="M101">
        <v>1556</v>
      </c>
      <c r="O101">
        <v>0</v>
      </c>
      <c r="P101" t="s">
        <v>122</v>
      </c>
      <c r="Q101" s="1" t="s">
        <v>123</v>
      </c>
      <c r="AG101" s="1" t="s">
        <v>124</v>
      </c>
      <c r="AH101" t="s">
        <v>191</v>
      </c>
      <c r="AI101" t="str">
        <f>VLOOKUP(AnalizaCzyste[[#This Row],[Jak się nazywa uczelnia którą ukończyłeś? (proszę o wybranie jednej uczelni podlegającej ocenie)]],KategorieUczelni[],2,0)</f>
        <v>Publiczna</v>
      </c>
      <c r="AJ101" t="str">
        <f>VLOOKUP(AnalizaCzyste[[#This Row],[Jak się nazywa uczelnia którą ukończyłeś? (proszę o wybranie jednej uczelni podlegającej ocenie)]],KategorieUczelni[],3,0)</f>
        <v>Techniczna</v>
      </c>
      <c r="AK101">
        <f>COUNTIF(AnalizaCzyste[[#This Row],[Czy jesteś absolwentem uczelni wyższej?]],"*"&amp;"Tak"&amp;"*")</f>
        <v>1</v>
      </c>
      <c r="AL101">
        <v>2018</v>
      </c>
      <c r="AM101" t="s">
        <v>126</v>
      </c>
      <c r="AN101" t="s">
        <v>192</v>
      </c>
      <c r="AO101" t="s">
        <v>150</v>
      </c>
      <c r="AP101" t="s">
        <v>162</v>
      </c>
      <c r="AQ101" t="s">
        <v>150</v>
      </c>
      <c r="AR101" t="s">
        <v>162</v>
      </c>
      <c r="AS101" t="s">
        <v>169</v>
      </c>
      <c r="AT101" t="s">
        <v>237</v>
      </c>
      <c r="AU101" t="s">
        <v>153</v>
      </c>
      <c r="AV101">
        <f>VLOOKUP(AnalizaCzyste[[#This Row],[w pierwszym roku po ukończeniu studiów : wybierz wartość z listy rozwijanej4]],Zarobki[],2,0)</f>
        <v>3500</v>
      </c>
      <c r="AW101" t="s">
        <v>209</v>
      </c>
      <c r="AX101">
        <f>VLOOKUP(AnalizaCzyste[[#This Row],[w 3 lata po ukończeniu studiów : wybierz wartość z listy rozwijanej5]],Zarobki[],2,0)</f>
        <v>7500</v>
      </c>
      <c r="AY101" t="s">
        <v>1548</v>
      </c>
      <c r="AZ101" t="s">
        <v>1549</v>
      </c>
      <c r="BA101" t="s">
        <v>1550</v>
      </c>
      <c r="BB101" t="s">
        <v>230</v>
      </c>
      <c r="BD101" s="1" t="s">
        <v>123</v>
      </c>
      <c r="CX101" s="1" t="s">
        <v>123</v>
      </c>
      <c r="DH101" s="1" t="s">
        <v>123</v>
      </c>
      <c r="DR101" s="1" t="s">
        <v>123</v>
      </c>
      <c r="EU101" s="1" t="s">
        <v>123</v>
      </c>
      <c r="FU101" s="1" t="s">
        <v>123</v>
      </c>
      <c r="HC101" t="s">
        <v>1551</v>
      </c>
      <c r="HD101" t="s">
        <v>1552</v>
      </c>
      <c r="HE101" t="s">
        <v>1553</v>
      </c>
      <c r="HF101" t="s">
        <v>186</v>
      </c>
      <c r="HG101">
        <v>1994</v>
      </c>
      <c r="HH101" t="str">
        <f>VLOOKUP(AnalizaCzyste[[#This Row],[Rok urodzenia]],KategorieWiekowe[],2,1)</f>
        <v>26–35 lat</v>
      </c>
      <c r="HI101" t="s">
        <v>483</v>
      </c>
      <c r="HK101" t="s">
        <v>1554</v>
      </c>
    </row>
    <row r="102" spans="1:221" x14ac:dyDescent="0.45">
      <c r="A102">
        <v>184</v>
      </c>
      <c r="B102">
        <f>_xlfn.IFNA(VLOOKUP(AnalizaCzyste[[#This Row],[Zakończono wypełnianie]],Zakończone[],2,0),"BRAK")</f>
        <v>105</v>
      </c>
      <c r="C102">
        <f t="shared" si="3"/>
        <v>39</v>
      </c>
      <c r="D102" t="s">
        <v>1555</v>
      </c>
      <c r="E102" t="s">
        <v>118</v>
      </c>
      <c r="J102" t="s">
        <v>119</v>
      </c>
      <c r="K102" t="s">
        <v>1556</v>
      </c>
      <c r="L102" t="s">
        <v>1557</v>
      </c>
      <c r="M102">
        <v>1119</v>
      </c>
      <c r="O102">
        <v>0</v>
      </c>
      <c r="P102" t="s">
        <v>122</v>
      </c>
      <c r="Q102" s="1" t="s">
        <v>123</v>
      </c>
      <c r="AG102" s="1" t="s">
        <v>124</v>
      </c>
      <c r="AH102" t="s">
        <v>191</v>
      </c>
      <c r="AI102" t="str">
        <f>VLOOKUP(AnalizaCzyste[[#This Row],[Jak się nazywa uczelnia którą ukończyłeś? (proszę o wybranie jednej uczelni podlegającej ocenie)]],KategorieUczelni[],2,0)</f>
        <v>Publiczna</v>
      </c>
      <c r="AJ102" t="str">
        <f>VLOOKUP(AnalizaCzyste[[#This Row],[Jak się nazywa uczelnia którą ukończyłeś? (proszę o wybranie jednej uczelni podlegającej ocenie)]],KategorieUczelni[],3,0)</f>
        <v>Techniczna</v>
      </c>
      <c r="AK102">
        <f>COUNTIF(AnalizaCzyste[[#This Row],[Czy jesteś absolwentem uczelni wyższej?]],"*"&amp;"Tak"&amp;"*")</f>
        <v>1</v>
      </c>
      <c r="AL102">
        <v>1997</v>
      </c>
      <c r="AM102" t="s">
        <v>126</v>
      </c>
      <c r="AN102" t="s">
        <v>1558</v>
      </c>
      <c r="AO102" t="s">
        <v>150</v>
      </c>
      <c r="AP102" t="s">
        <v>150</v>
      </c>
      <c r="AQ102" t="s">
        <v>150</v>
      </c>
      <c r="AR102" t="s">
        <v>150</v>
      </c>
      <c r="AS102" t="s">
        <v>150</v>
      </c>
      <c r="AT102" t="s">
        <v>1559</v>
      </c>
      <c r="AU102" t="s">
        <v>132</v>
      </c>
      <c r="AV102" t="str">
        <f>VLOOKUP(AnalizaCzyste[[#This Row],[w pierwszym roku po ukończeniu studiów : wybierz wartość z listy rozwijanej4]],Zarobki[],2,0)</f>
        <v>N/D</v>
      </c>
      <c r="AW102" t="s">
        <v>132</v>
      </c>
      <c r="AX102" t="str">
        <f>VLOOKUP(AnalizaCzyste[[#This Row],[w 3 lata po ukończeniu studiów : wybierz wartość z listy rozwijanej5]],Zarobki[],2,0)</f>
        <v>N/D</v>
      </c>
      <c r="AY102" t="s">
        <v>1560</v>
      </c>
      <c r="AZ102" t="s">
        <v>1561</v>
      </c>
      <c r="BA102" t="s">
        <v>1562</v>
      </c>
      <c r="BB102" t="s">
        <v>172</v>
      </c>
      <c r="BD102" s="1" t="s">
        <v>123</v>
      </c>
      <c r="CX102" s="1" t="s">
        <v>123</v>
      </c>
      <c r="DH102" s="1" t="s">
        <v>123</v>
      </c>
      <c r="DR102" s="1" t="s">
        <v>123</v>
      </c>
      <c r="EU102" s="1" t="s">
        <v>123</v>
      </c>
      <c r="FU102" s="1" t="s">
        <v>123</v>
      </c>
      <c r="HC102" t="s">
        <v>1563</v>
      </c>
      <c r="HD102" t="s">
        <v>1564</v>
      </c>
      <c r="HE102" t="s">
        <v>1565</v>
      </c>
      <c r="HF102" t="s">
        <v>186</v>
      </c>
      <c r="HG102">
        <v>1972</v>
      </c>
      <c r="HH102" t="str">
        <f>VLOOKUP(AnalizaCzyste[[#This Row],[Rok urodzenia]],KategorieWiekowe[],2,1)</f>
        <v>46–55 lat</v>
      </c>
      <c r="HI102" t="s">
        <v>483</v>
      </c>
      <c r="HK102" t="s">
        <v>1566</v>
      </c>
      <c r="HL102" t="s">
        <v>142</v>
      </c>
    </row>
    <row r="103" spans="1:221" x14ac:dyDescent="0.45">
      <c r="A103">
        <v>187</v>
      </c>
      <c r="B103">
        <f>_xlfn.IFNA(VLOOKUP(AnalizaCzyste[[#This Row],[Zakończono wypełnianie]],Zakończone[],2,0),"BRAK")</f>
        <v>106</v>
      </c>
      <c r="C103">
        <f t="shared" si="3"/>
        <v>39</v>
      </c>
      <c r="D103" t="s">
        <v>1574</v>
      </c>
      <c r="E103" t="s">
        <v>118</v>
      </c>
      <c r="J103" t="s">
        <v>119</v>
      </c>
      <c r="K103" t="s">
        <v>1575</v>
      </c>
      <c r="L103" t="s">
        <v>1576</v>
      </c>
      <c r="M103">
        <v>701</v>
      </c>
      <c r="O103">
        <v>0</v>
      </c>
      <c r="P103" t="s">
        <v>122</v>
      </c>
      <c r="Q103" s="1" t="s">
        <v>123</v>
      </c>
      <c r="AG103" s="1" t="s">
        <v>124</v>
      </c>
      <c r="AH103" t="s">
        <v>191</v>
      </c>
      <c r="AI103" t="str">
        <f>VLOOKUP(AnalizaCzyste[[#This Row],[Jak się nazywa uczelnia którą ukończyłeś? (proszę o wybranie jednej uczelni podlegającej ocenie)]],KategorieUczelni[],2,0)</f>
        <v>Publiczna</v>
      </c>
      <c r="AJ103" t="str">
        <f>VLOOKUP(AnalizaCzyste[[#This Row],[Jak się nazywa uczelnia którą ukończyłeś? (proszę o wybranie jednej uczelni podlegającej ocenie)]],KategorieUczelni[],3,0)</f>
        <v>Techniczna</v>
      </c>
      <c r="AK103">
        <f>COUNTIF(AnalizaCzyste[[#This Row],[Czy jesteś absolwentem uczelni wyższej?]],"*"&amp;"Tak"&amp;"*")</f>
        <v>1</v>
      </c>
      <c r="AL103" s="42">
        <v>2009</v>
      </c>
      <c r="AM103" t="s">
        <v>126</v>
      </c>
      <c r="AN103" t="s">
        <v>1578</v>
      </c>
      <c r="AO103" t="s">
        <v>162</v>
      </c>
      <c r="AP103" t="s">
        <v>162</v>
      </c>
      <c r="AQ103" t="s">
        <v>151</v>
      </c>
      <c r="AR103" t="s">
        <v>162</v>
      </c>
      <c r="AS103" t="s">
        <v>151</v>
      </c>
      <c r="AT103" t="s">
        <v>530</v>
      </c>
      <c r="AU103" t="s">
        <v>302</v>
      </c>
      <c r="AV103">
        <f>VLOOKUP(AnalizaCzyste[[#This Row],[w pierwszym roku po ukończeniu studiów : wybierz wartość z listy rozwijanej4]],Zarobki[],2,0)</f>
        <v>2500</v>
      </c>
      <c r="AW103" t="s">
        <v>302</v>
      </c>
      <c r="AX103">
        <f>VLOOKUP(AnalizaCzyste[[#This Row],[w 3 lata po ukończeniu studiów : wybierz wartość z listy rozwijanej5]],Zarobki[],2,0)</f>
        <v>2500</v>
      </c>
      <c r="AZ103" t="s">
        <v>1579</v>
      </c>
      <c r="BA103" t="s">
        <v>1580</v>
      </c>
      <c r="BB103" t="s">
        <v>157</v>
      </c>
      <c r="BC103" t="s">
        <v>1581</v>
      </c>
      <c r="BD103" s="1" t="s">
        <v>123</v>
      </c>
      <c r="CX103" s="1" t="s">
        <v>123</v>
      </c>
      <c r="DH103" s="1" t="s">
        <v>123</v>
      </c>
      <c r="DR103" s="1" t="s">
        <v>123</v>
      </c>
      <c r="EU103" s="1" t="s">
        <v>123</v>
      </c>
      <c r="FU103" s="1" t="s">
        <v>123</v>
      </c>
      <c r="HC103" t="s">
        <v>1582</v>
      </c>
      <c r="HD103" t="s">
        <v>1583</v>
      </c>
      <c r="HE103" t="s">
        <v>1584</v>
      </c>
      <c r="HF103" t="s">
        <v>140</v>
      </c>
      <c r="HG103">
        <v>1985</v>
      </c>
      <c r="HH103" t="str">
        <f>VLOOKUP(AnalizaCzyste[[#This Row],[Rok urodzenia]],KategorieWiekowe[],2,1)</f>
        <v>26–35 lat</v>
      </c>
      <c r="HI103" t="s">
        <v>220</v>
      </c>
      <c r="HK103" t="s">
        <v>1585</v>
      </c>
      <c r="HL103" t="s">
        <v>1586</v>
      </c>
    </row>
    <row r="104" spans="1:221" x14ac:dyDescent="0.45">
      <c r="A104">
        <v>188</v>
      </c>
      <c r="B104">
        <f>_xlfn.IFNA(VLOOKUP(AnalizaCzyste[[#This Row],[Zakończono wypełnianie]],Zakończone[],2,0),"BRAK")</f>
        <v>107</v>
      </c>
      <c r="C104">
        <f t="shared" si="3"/>
        <v>72</v>
      </c>
      <c r="D104" t="s">
        <v>1587</v>
      </c>
      <c r="E104" t="s">
        <v>118</v>
      </c>
      <c r="J104" t="s">
        <v>119</v>
      </c>
      <c r="K104" t="s">
        <v>1588</v>
      </c>
      <c r="L104" t="s">
        <v>1589</v>
      </c>
      <c r="M104">
        <v>1788</v>
      </c>
      <c r="O104">
        <v>0</v>
      </c>
      <c r="P104" t="s">
        <v>122</v>
      </c>
      <c r="Q104" s="1" t="s">
        <v>123</v>
      </c>
      <c r="AG104" s="1" t="s">
        <v>124</v>
      </c>
      <c r="AH104" t="s">
        <v>191</v>
      </c>
      <c r="AI104" t="str">
        <f>VLOOKUP(AnalizaCzyste[[#This Row],[Jak się nazywa uczelnia którą ukończyłeś? (proszę o wybranie jednej uczelni podlegającej ocenie)]],KategorieUczelni[],2,0)</f>
        <v>Publiczna</v>
      </c>
      <c r="AJ104" t="str">
        <f>VLOOKUP(AnalizaCzyste[[#This Row],[Jak się nazywa uczelnia którą ukończyłeś? (proszę o wybranie jednej uczelni podlegającej ocenie)]],KategorieUczelni[],3,0)</f>
        <v>Techniczna</v>
      </c>
      <c r="AK104">
        <f>COUNTIF(AnalizaCzyste[[#This Row],[Czy jesteś absolwentem uczelni wyższej?]],"*"&amp;"Tak"&amp;"*")</f>
        <v>1</v>
      </c>
      <c r="AL104">
        <v>1983</v>
      </c>
      <c r="AM104" t="s">
        <v>126</v>
      </c>
      <c r="AN104" t="s">
        <v>1590</v>
      </c>
      <c r="AO104" t="s">
        <v>150</v>
      </c>
      <c r="AP104" t="s">
        <v>150</v>
      </c>
      <c r="AQ104" t="s">
        <v>236</v>
      </c>
      <c r="AR104" t="s">
        <v>129</v>
      </c>
      <c r="AS104" t="s">
        <v>162</v>
      </c>
      <c r="AT104">
        <v>36</v>
      </c>
      <c r="AU104" t="s">
        <v>132</v>
      </c>
      <c r="AV104" t="str">
        <f>VLOOKUP(AnalizaCzyste[[#This Row],[w pierwszym roku po ukończeniu studiów : wybierz wartość z listy rozwijanej4]],Zarobki[],2,0)</f>
        <v>N/D</v>
      </c>
      <c r="AW104" t="s">
        <v>132</v>
      </c>
      <c r="AX104" t="str">
        <f>VLOOKUP(AnalizaCzyste[[#This Row],[w 3 lata po ukończeniu studiów : wybierz wartość z listy rozwijanej5]],Zarobki[],2,0)</f>
        <v>N/D</v>
      </c>
      <c r="AY104" t="s">
        <v>1591</v>
      </c>
      <c r="AZ104" t="s">
        <v>1592</v>
      </c>
      <c r="BA104" t="s">
        <v>1593</v>
      </c>
      <c r="BB104" t="s">
        <v>172</v>
      </c>
      <c r="BD104" s="1" t="s">
        <v>159</v>
      </c>
      <c r="BE104">
        <v>3</v>
      </c>
      <c r="BF104" t="s">
        <v>191</v>
      </c>
      <c r="BG104">
        <v>2019</v>
      </c>
      <c r="BH104" t="s">
        <v>126</v>
      </c>
      <c r="BI104" t="s">
        <v>1594</v>
      </c>
      <c r="BJ104" t="s">
        <v>236</v>
      </c>
      <c r="BK104" t="s">
        <v>128</v>
      </c>
      <c r="BL104" t="s">
        <v>162</v>
      </c>
      <c r="BM104" t="s">
        <v>151</v>
      </c>
      <c r="BN104" t="s">
        <v>132</v>
      </c>
      <c r="BO104" t="s">
        <v>1595</v>
      </c>
      <c r="BP104" t="s">
        <v>1596</v>
      </c>
      <c r="BQ104" t="s">
        <v>157</v>
      </c>
      <c r="BT104" t="s">
        <v>173</v>
      </c>
      <c r="CX104" s="1" t="s">
        <v>123</v>
      </c>
      <c r="DH104" s="1" t="s">
        <v>123</v>
      </c>
      <c r="DR104" s="1" t="s">
        <v>123</v>
      </c>
      <c r="EU104" s="1" t="s">
        <v>177</v>
      </c>
      <c r="EV104" t="s">
        <v>178</v>
      </c>
      <c r="EW104">
        <v>2</v>
      </c>
      <c r="EX104" t="s">
        <v>747</v>
      </c>
      <c r="EY104" t="s">
        <v>236</v>
      </c>
      <c r="EZ104" t="s">
        <v>236</v>
      </c>
      <c r="FA104" t="s">
        <v>128</v>
      </c>
      <c r="FB104" t="s">
        <v>178</v>
      </c>
      <c r="FC104" t="s">
        <v>1597</v>
      </c>
      <c r="FD104" t="s">
        <v>1598</v>
      </c>
      <c r="FE104" t="s">
        <v>1206</v>
      </c>
      <c r="FF104" t="s">
        <v>1599</v>
      </c>
      <c r="FG104" t="s">
        <v>129</v>
      </c>
      <c r="FH104" t="s">
        <v>129</v>
      </c>
      <c r="FI104" t="s">
        <v>236</v>
      </c>
      <c r="FJ104" t="s">
        <v>178</v>
      </c>
      <c r="FK104" t="s">
        <v>1600</v>
      </c>
      <c r="FL104" t="s">
        <v>1601</v>
      </c>
      <c r="FM104" t="s">
        <v>173</v>
      </c>
      <c r="FU104" s="1" t="s">
        <v>123</v>
      </c>
      <c r="HC104" t="s">
        <v>1602</v>
      </c>
      <c r="HD104" t="s">
        <v>1603</v>
      </c>
      <c r="HE104" t="s">
        <v>1604</v>
      </c>
      <c r="HF104" t="s">
        <v>186</v>
      </c>
      <c r="HG104">
        <v>1959</v>
      </c>
      <c r="HH104" t="str">
        <f>VLOOKUP(AnalizaCzyste[[#This Row],[Rok urodzenia]],KategorieWiekowe[],2,1)</f>
        <v>56–65 lat</v>
      </c>
      <c r="HI104" t="s">
        <v>483</v>
      </c>
      <c r="HK104" t="s">
        <v>1605</v>
      </c>
      <c r="HL104" t="s">
        <v>1606</v>
      </c>
      <c r="HM104" t="s">
        <v>1607</v>
      </c>
    </row>
    <row r="105" spans="1:221" x14ac:dyDescent="0.45">
      <c r="A105">
        <v>189</v>
      </c>
      <c r="B105">
        <f>_xlfn.IFNA(VLOOKUP(AnalizaCzyste[[#This Row],[Zakończono wypełnianie]],Zakończone[],2,0),"BRAK")</f>
        <v>108</v>
      </c>
      <c r="C105">
        <f t="shared" si="3"/>
        <v>40</v>
      </c>
      <c r="D105" t="s">
        <v>1352</v>
      </c>
      <c r="E105" t="s">
        <v>118</v>
      </c>
      <c r="J105" t="s">
        <v>119</v>
      </c>
      <c r="K105" t="s">
        <v>1608</v>
      </c>
      <c r="L105" t="s">
        <v>1609</v>
      </c>
      <c r="M105">
        <v>4906</v>
      </c>
      <c r="O105">
        <v>0</v>
      </c>
      <c r="P105" t="s">
        <v>122</v>
      </c>
      <c r="Q105" s="1" t="s">
        <v>123</v>
      </c>
      <c r="AG105" s="1" t="s">
        <v>124</v>
      </c>
      <c r="AH105" t="s">
        <v>223</v>
      </c>
      <c r="AI105" t="str">
        <f>VLOOKUP(AnalizaCzyste[[#This Row],[Jak się nazywa uczelnia którą ukończyłeś? (proszę o wybranie jednej uczelni podlegającej ocenie)]],KategorieUczelni[],2,0)</f>
        <v>Publiczna</v>
      </c>
      <c r="AJ105" t="str">
        <f>VLOOKUP(AnalizaCzyste[[#This Row],[Jak się nazywa uczelnia którą ukończyłeś? (proszę o wybranie jednej uczelni podlegającej ocenie)]],KategorieUczelni[],3,0)</f>
        <v>Nietechniczna</v>
      </c>
      <c r="AK105">
        <f>COUNTIF(AnalizaCzyste[[#This Row],[Czy jesteś absolwentem uczelni wyższej?]],"*"&amp;"Tak"&amp;"*")</f>
        <v>1</v>
      </c>
      <c r="AL105">
        <v>2009</v>
      </c>
      <c r="AM105" t="s">
        <v>148</v>
      </c>
      <c r="AN105" t="s">
        <v>554</v>
      </c>
      <c r="AO105" t="s">
        <v>162</v>
      </c>
      <c r="AP105" t="s">
        <v>162</v>
      </c>
      <c r="AQ105" t="s">
        <v>162</v>
      </c>
      <c r="AR105" t="s">
        <v>162</v>
      </c>
      <c r="AS105" t="s">
        <v>162</v>
      </c>
      <c r="AT105" t="s">
        <v>1610</v>
      </c>
      <c r="AU105" t="s">
        <v>302</v>
      </c>
      <c r="AV105">
        <f>VLOOKUP(AnalizaCzyste[[#This Row],[w pierwszym roku po ukończeniu studiów : wybierz wartość z listy rozwijanej4]],Zarobki[],2,0)</f>
        <v>2500</v>
      </c>
      <c r="AW105" t="s">
        <v>153</v>
      </c>
      <c r="AX105">
        <f>VLOOKUP(AnalizaCzyste[[#This Row],[w 3 lata po ukończeniu studiów : wybierz wartość z listy rozwijanej5]],Zarobki[],2,0)</f>
        <v>3500</v>
      </c>
      <c r="AZ105" t="s">
        <v>1611</v>
      </c>
      <c r="BA105" t="s">
        <v>1612</v>
      </c>
      <c r="BC105" t="s">
        <v>1613</v>
      </c>
      <c r="BD105" s="1" t="s">
        <v>123</v>
      </c>
      <c r="CX105" s="1" t="s">
        <v>123</v>
      </c>
      <c r="DH105" s="1" t="s">
        <v>123</v>
      </c>
      <c r="DR105" s="1" t="s">
        <v>123</v>
      </c>
      <c r="EU105" s="1" t="s">
        <v>123</v>
      </c>
      <c r="EV105" t="s">
        <v>180</v>
      </c>
      <c r="EW105" t="s">
        <v>132</v>
      </c>
      <c r="FU105" s="1" t="s">
        <v>123</v>
      </c>
      <c r="HC105" t="s">
        <v>1614</v>
      </c>
      <c r="HD105" t="s">
        <v>1247</v>
      </c>
      <c r="HE105" t="s">
        <v>1247</v>
      </c>
      <c r="HF105" t="s">
        <v>140</v>
      </c>
      <c r="HG105">
        <v>1983</v>
      </c>
      <c r="HH105" t="str">
        <f>VLOOKUP(AnalizaCzyste[[#This Row],[Rok urodzenia]],KategorieWiekowe[],2,1)</f>
        <v>36–45 lat</v>
      </c>
      <c r="HI105" t="s">
        <v>220</v>
      </c>
      <c r="HK105" t="s">
        <v>1615</v>
      </c>
      <c r="HL105" t="s">
        <v>1615</v>
      </c>
    </row>
    <row r="106" spans="1:221" x14ac:dyDescent="0.45">
      <c r="A106">
        <v>191</v>
      </c>
      <c r="B106">
        <f>_xlfn.IFNA(VLOOKUP(AnalizaCzyste[[#This Row],[Zakończono wypełnianie]],Zakończone[],2,0),"BRAK")</f>
        <v>109</v>
      </c>
      <c r="C106">
        <f t="shared" si="3"/>
        <v>38</v>
      </c>
      <c r="D106" t="s">
        <v>1618</v>
      </c>
      <c r="E106" t="s">
        <v>118</v>
      </c>
      <c r="J106" t="s">
        <v>119</v>
      </c>
      <c r="K106" t="s">
        <v>1619</v>
      </c>
      <c r="L106" t="s">
        <v>1620</v>
      </c>
      <c r="M106">
        <v>1891</v>
      </c>
      <c r="O106">
        <v>0</v>
      </c>
      <c r="P106" t="s">
        <v>122</v>
      </c>
      <c r="Q106" s="1" t="s">
        <v>123</v>
      </c>
      <c r="AG106" s="1" t="s">
        <v>124</v>
      </c>
      <c r="AH106" t="s">
        <v>1503</v>
      </c>
      <c r="AI106" t="str">
        <f>VLOOKUP(AnalizaCzyste[[#This Row],[Jak się nazywa uczelnia którą ukończyłeś? (proszę o wybranie jednej uczelni podlegającej ocenie)]],KategorieUczelni[],2,0)</f>
        <v>Publiczna</v>
      </c>
      <c r="AJ106" t="str">
        <f>VLOOKUP(AnalizaCzyste[[#This Row],[Jak się nazywa uczelnia którą ukończyłeś? (proszę o wybranie jednej uczelni podlegającej ocenie)]],KategorieUczelni[],3,0)</f>
        <v>Techniczna</v>
      </c>
      <c r="AK106">
        <f>COUNTIF(AnalizaCzyste[[#This Row],[Czy jesteś absolwentem uczelni wyższej?]],"*"&amp;"Tak"&amp;"*")</f>
        <v>1</v>
      </c>
      <c r="AL106">
        <v>2000</v>
      </c>
      <c r="AM106" t="s">
        <v>148</v>
      </c>
      <c r="AN106" t="s">
        <v>1622</v>
      </c>
      <c r="AO106" t="s">
        <v>150</v>
      </c>
      <c r="AP106" t="s">
        <v>150</v>
      </c>
      <c r="AQ106" t="s">
        <v>150</v>
      </c>
      <c r="AR106" t="s">
        <v>236</v>
      </c>
      <c r="AS106" t="s">
        <v>162</v>
      </c>
      <c r="AT106" t="s">
        <v>1623</v>
      </c>
      <c r="AU106" t="s">
        <v>132</v>
      </c>
      <c r="AV106" t="str">
        <f>VLOOKUP(AnalizaCzyste[[#This Row],[w pierwszym roku po ukończeniu studiów : wybierz wartość z listy rozwijanej4]],Zarobki[],2,0)</f>
        <v>N/D</v>
      </c>
      <c r="AW106" t="s">
        <v>302</v>
      </c>
      <c r="AX106">
        <f>VLOOKUP(AnalizaCzyste[[#This Row],[w 3 lata po ukończeniu studiów : wybierz wartość z listy rozwijanej5]],Zarobki[],2,0)</f>
        <v>2500</v>
      </c>
      <c r="AY106" t="s">
        <v>1624</v>
      </c>
      <c r="AZ106" t="s">
        <v>1625</v>
      </c>
      <c r="BA106" t="s">
        <v>1626</v>
      </c>
      <c r="BB106" t="s">
        <v>172</v>
      </c>
      <c r="BD106" s="1" t="s">
        <v>123</v>
      </c>
      <c r="CX106" s="1" t="s">
        <v>123</v>
      </c>
      <c r="DH106" s="1" t="s">
        <v>123</v>
      </c>
      <c r="DR106" s="1" t="s">
        <v>123</v>
      </c>
      <c r="EU106" s="1" t="s">
        <v>123</v>
      </c>
      <c r="FU106" s="1" t="s">
        <v>123</v>
      </c>
      <c r="HC106" t="s">
        <v>1627</v>
      </c>
      <c r="HD106" t="s">
        <v>1628</v>
      </c>
      <c r="HE106" t="s">
        <v>1629</v>
      </c>
      <c r="HF106" t="s">
        <v>186</v>
      </c>
      <c r="HG106">
        <v>1948</v>
      </c>
      <c r="HH106" t="str">
        <f>VLOOKUP(AnalizaCzyste[[#This Row],[Rok urodzenia]],KategorieWiekowe[],2,1)</f>
        <v>powyżej 65 lat</v>
      </c>
      <c r="HI106" t="s">
        <v>1630</v>
      </c>
      <c r="HL106" t="s">
        <v>1631</v>
      </c>
    </row>
    <row r="107" spans="1:221" x14ac:dyDescent="0.45">
      <c r="A107">
        <v>193</v>
      </c>
      <c r="B107">
        <f>_xlfn.IFNA(VLOOKUP(AnalizaCzyste[[#This Row],[Zakończono wypełnianie]],Zakończone[],2,0),"BRAK")</f>
        <v>110</v>
      </c>
      <c r="C107">
        <f t="shared" si="3"/>
        <v>39</v>
      </c>
      <c r="D107" t="s">
        <v>1131</v>
      </c>
      <c r="E107" t="s">
        <v>118</v>
      </c>
      <c r="J107" t="s">
        <v>119</v>
      </c>
      <c r="K107" t="s">
        <v>1634</v>
      </c>
      <c r="L107" t="s">
        <v>1635</v>
      </c>
      <c r="M107">
        <v>545</v>
      </c>
      <c r="O107">
        <v>0</v>
      </c>
      <c r="P107" t="s">
        <v>122</v>
      </c>
      <c r="Q107" s="1" t="s">
        <v>123</v>
      </c>
      <c r="AG107" s="1" t="s">
        <v>124</v>
      </c>
      <c r="AH107" t="s">
        <v>1636</v>
      </c>
      <c r="AI107" t="str">
        <f>VLOOKUP(AnalizaCzyste[[#This Row],[Jak się nazywa uczelnia którą ukończyłeś? (proszę o wybranie jednej uczelni podlegającej ocenie)]],KategorieUczelni[],2,0)</f>
        <v>Publiczna</v>
      </c>
      <c r="AJ107" t="str">
        <f>VLOOKUP(AnalizaCzyste[[#This Row],[Jak się nazywa uczelnia którą ukończyłeś? (proszę o wybranie jednej uczelni podlegającej ocenie)]],KategorieUczelni[],3,0)</f>
        <v>Nietechniczna</v>
      </c>
      <c r="AK107">
        <f>COUNTIF(AnalizaCzyste[[#This Row],[Czy jesteś absolwentem uczelni wyższej?]],"*"&amp;"Tak"&amp;"*")</f>
        <v>1</v>
      </c>
      <c r="AL107">
        <v>2001</v>
      </c>
      <c r="AM107" t="s">
        <v>148</v>
      </c>
      <c r="AN107" t="s">
        <v>1637</v>
      </c>
      <c r="AO107" t="s">
        <v>150</v>
      </c>
      <c r="AP107" t="s">
        <v>150</v>
      </c>
      <c r="AQ107" t="s">
        <v>169</v>
      </c>
      <c r="AR107" t="s">
        <v>150</v>
      </c>
      <c r="AS107" t="s">
        <v>169</v>
      </c>
      <c r="AT107" t="s">
        <v>1638</v>
      </c>
      <c r="AU107" t="s">
        <v>152</v>
      </c>
      <c r="AV107">
        <f>VLOOKUP(AnalizaCzyste[[#This Row],[w pierwszym roku po ukończeniu studiów : wybierz wartość z listy rozwijanej4]],Zarobki[],2,0)</f>
        <v>500</v>
      </c>
      <c r="AW107" t="s">
        <v>153</v>
      </c>
      <c r="AX107">
        <f>VLOOKUP(AnalizaCzyste[[#This Row],[w 3 lata po ukończeniu studiów : wybierz wartość z listy rozwijanej5]],Zarobki[],2,0)</f>
        <v>3500</v>
      </c>
      <c r="AY107" t="s">
        <v>1639</v>
      </c>
      <c r="AZ107" t="s">
        <v>1640</v>
      </c>
      <c r="BA107" t="s">
        <v>386</v>
      </c>
      <c r="BB107" t="s">
        <v>157</v>
      </c>
      <c r="BD107" s="1" t="s">
        <v>123</v>
      </c>
      <c r="CX107" s="1" t="s">
        <v>123</v>
      </c>
      <c r="DH107" s="1" t="s">
        <v>123</v>
      </c>
      <c r="DR107" s="1" t="s">
        <v>123</v>
      </c>
      <c r="EU107" s="1" t="s">
        <v>123</v>
      </c>
      <c r="FU107" s="1" t="s">
        <v>123</v>
      </c>
      <c r="HC107" t="s">
        <v>1641</v>
      </c>
      <c r="HD107" t="s">
        <v>1642</v>
      </c>
      <c r="HE107" t="s">
        <v>1643</v>
      </c>
      <c r="HF107" t="s">
        <v>140</v>
      </c>
      <c r="HG107">
        <v>1977</v>
      </c>
      <c r="HH107" t="str">
        <f>VLOOKUP(AnalizaCzyste[[#This Row],[Rok urodzenia]],KategorieWiekowe[],2,1)</f>
        <v>36–45 lat</v>
      </c>
      <c r="HI107" t="s">
        <v>141</v>
      </c>
      <c r="HJ107" t="s">
        <v>1644</v>
      </c>
      <c r="HK107" t="s">
        <v>1645</v>
      </c>
    </row>
    <row r="108" spans="1:221" x14ac:dyDescent="0.45">
      <c r="A108">
        <v>195</v>
      </c>
      <c r="B108">
        <f>_xlfn.IFNA(VLOOKUP(AnalizaCzyste[[#This Row],[Zakończono wypełnianie]],Zakończone[],2,0),"BRAK")</f>
        <v>111</v>
      </c>
      <c r="C108">
        <f t="shared" si="3"/>
        <v>38</v>
      </c>
      <c r="D108" t="s">
        <v>1649</v>
      </c>
      <c r="E108" t="s">
        <v>118</v>
      </c>
      <c r="F108" t="s">
        <v>359</v>
      </c>
      <c r="J108" t="s">
        <v>119</v>
      </c>
      <c r="K108" t="s">
        <v>1650</v>
      </c>
      <c r="L108" t="s">
        <v>1651</v>
      </c>
      <c r="M108">
        <v>386</v>
      </c>
      <c r="O108">
        <v>0</v>
      </c>
      <c r="P108" t="s">
        <v>122</v>
      </c>
      <c r="Q108" s="1" t="s">
        <v>123</v>
      </c>
      <c r="AG108" s="1" t="s">
        <v>124</v>
      </c>
      <c r="AH108" t="s">
        <v>191</v>
      </c>
      <c r="AI108" t="str">
        <f>VLOOKUP(AnalizaCzyste[[#This Row],[Jak się nazywa uczelnia którą ukończyłeś? (proszę o wybranie jednej uczelni podlegającej ocenie)]],KategorieUczelni[],2,0)</f>
        <v>Publiczna</v>
      </c>
      <c r="AJ108" t="str">
        <f>VLOOKUP(AnalizaCzyste[[#This Row],[Jak się nazywa uczelnia którą ukończyłeś? (proszę o wybranie jednej uczelni podlegającej ocenie)]],KategorieUczelni[],3,0)</f>
        <v>Techniczna</v>
      </c>
      <c r="AK108">
        <f>COUNTIF(AnalizaCzyste[[#This Row],[Czy jesteś absolwentem uczelni wyższej?]],"*"&amp;"Tak"&amp;"*")</f>
        <v>1</v>
      </c>
      <c r="AL108">
        <v>2016</v>
      </c>
      <c r="AM108" t="s">
        <v>126</v>
      </c>
      <c r="AN108" t="s">
        <v>1652</v>
      </c>
      <c r="AO108" t="s">
        <v>162</v>
      </c>
      <c r="AP108" t="s">
        <v>151</v>
      </c>
      <c r="AQ108" t="s">
        <v>162</v>
      </c>
      <c r="AR108" t="s">
        <v>150</v>
      </c>
      <c r="AS108" t="s">
        <v>236</v>
      </c>
      <c r="AT108" t="s">
        <v>530</v>
      </c>
      <c r="AU108" t="s">
        <v>153</v>
      </c>
      <c r="AV108">
        <f>VLOOKUP(AnalizaCzyste[[#This Row],[w pierwszym roku po ukończeniu studiów : wybierz wartość z listy rozwijanej4]],Zarobki[],2,0)</f>
        <v>3500</v>
      </c>
      <c r="AW108" t="s">
        <v>153</v>
      </c>
      <c r="AX108">
        <f>VLOOKUP(AnalizaCzyste[[#This Row],[w 3 lata po ukończeniu studiów : wybierz wartość z listy rozwijanej5]],Zarobki[],2,0)</f>
        <v>3500</v>
      </c>
      <c r="AY108" t="s">
        <v>1653</v>
      </c>
      <c r="AZ108" t="s">
        <v>1654</v>
      </c>
      <c r="BA108" t="s">
        <v>1655</v>
      </c>
      <c r="BB108" t="s">
        <v>172</v>
      </c>
      <c r="BD108" s="1" t="s">
        <v>123</v>
      </c>
      <c r="CX108" s="1" t="s">
        <v>123</v>
      </c>
      <c r="DH108" s="1" t="s">
        <v>123</v>
      </c>
      <c r="DR108" s="1" t="s">
        <v>123</v>
      </c>
      <c r="EU108" s="1" t="s">
        <v>123</v>
      </c>
      <c r="EV108" t="s">
        <v>178</v>
      </c>
      <c r="FU108" s="1" t="s">
        <v>123</v>
      </c>
      <c r="HC108" t="s">
        <v>1656</v>
      </c>
      <c r="HD108" t="s">
        <v>1657</v>
      </c>
      <c r="HE108" t="s">
        <v>1658</v>
      </c>
      <c r="HF108" t="s">
        <v>140</v>
      </c>
      <c r="HG108">
        <v>1993</v>
      </c>
      <c r="HH108" t="str">
        <f>VLOOKUP(AnalizaCzyste[[#This Row],[Rok urodzenia]],KategorieWiekowe[],2,1)</f>
        <v>26–35 lat</v>
      </c>
      <c r="HI108" t="s">
        <v>220</v>
      </c>
    </row>
    <row r="109" spans="1:221" x14ac:dyDescent="0.45">
      <c r="A109">
        <v>196</v>
      </c>
      <c r="B109">
        <f>_xlfn.IFNA(VLOOKUP(AnalizaCzyste[[#This Row],[Zakończono wypełnianie]],Zakończone[],2,0),"BRAK")</f>
        <v>112</v>
      </c>
      <c r="C109">
        <f t="shared" si="3"/>
        <v>60</v>
      </c>
      <c r="D109" t="s">
        <v>1659</v>
      </c>
      <c r="E109" t="s">
        <v>118</v>
      </c>
      <c r="J109" t="s">
        <v>119</v>
      </c>
      <c r="K109" t="s">
        <v>1660</v>
      </c>
      <c r="L109" t="s">
        <v>1661</v>
      </c>
      <c r="M109">
        <v>614</v>
      </c>
      <c r="O109">
        <v>0</v>
      </c>
      <c r="P109" t="s">
        <v>122</v>
      </c>
      <c r="Q109" s="1" t="s">
        <v>123</v>
      </c>
      <c r="AG109" s="1" t="s">
        <v>124</v>
      </c>
      <c r="AH109" t="s">
        <v>191</v>
      </c>
      <c r="AI109" t="str">
        <f>VLOOKUP(AnalizaCzyste[[#This Row],[Jak się nazywa uczelnia którą ukończyłeś? (proszę o wybranie jednej uczelni podlegającej ocenie)]],KategorieUczelni[],2,0)</f>
        <v>Publiczna</v>
      </c>
      <c r="AJ109" t="str">
        <f>VLOOKUP(AnalizaCzyste[[#This Row],[Jak się nazywa uczelnia którą ukończyłeś? (proszę o wybranie jednej uczelni podlegającej ocenie)]],KategorieUczelni[],3,0)</f>
        <v>Techniczna</v>
      </c>
      <c r="AK109">
        <f>COUNTIF(AnalizaCzyste[[#This Row],[Czy jesteś absolwentem uczelni wyższej?]],"*"&amp;"Tak"&amp;"*")</f>
        <v>1</v>
      </c>
      <c r="AL109">
        <v>1991</v>
      </c>
      <c r="AM109" t="s">
        <v>126</v>
      </c>
      <c r="AN109" t="s">
        <v>1662</v>
      </c>
      <c r="AO109" t="s">
        <v>150</v>
      </c>
      <c r="AP109" t="s">
        <v>150</v>
      </c>
      <c r="AQ109" t="s">
        <v>150</v>
      </c>
      <c r="AR109" t="s">
        <v>132</v>
      </c>
      <c r="AS109" t="s">
        <v>132</v>
      </c>
      <c r="AT109" t="s">
        <v>718</v>
      </c>
      <c r="AU109" t="s">
        <v>132</v>
      </c>
      <c r="AV109" t="str">
        <f>VLOOKUP(AnalizaCzyste[[#This Row],[w pierwszym roku po ukończeniu studiów : wybierz wartość z listy rozwijanej4]],Zarobki[],2,0)</f>
        <v>N/D</v>
      </c>
      <c r="AW109" t="s">
        <v>132</v>
      </c>
      <c r="AX109" t="str">
        <f>VLOOKUP(AnalizaCzyste[[#This Row],[w 3 lata po ukończeniu studiów : wybierz wartość z listy rozwijanej5]],Zarobki[],2,0)</f>
        <v>N/D</v>
      </c>
      <c r="AY109" t="s">
        <v>1663</v>
      </c>
      <c r="AZ109" t="s">
        <v>1664</v>
      </c>
      <c r="BA109" t="s">
        <v>1665</v>
      </c>
      <c r="BB109" t="s">
        <v>172</v>
      </c>
      <c r="BD109" s="1" t="s">
        <v>159</v>
      </c>
      <c r="BE109">
        <v>1</v>
      </c>
      <c r="BF109" t="s">
        <v>191</v>
      </c>
      <c r="BG109">
        <v>2018</v>
      </c>
      <c r="BH109" t="s">
        <v>126</v>
      </c>
      <c r="BI109" t="s">
        <v>1666</v>
      </c>
      <c r="BJ109" t="s">
        <v>151</v>
      </c>
      <c r="BK109" t="s">
        <v>151</v>
      </c>
      <c r="BL109" t="s">
        <v>151</v>
      </c>
      <c r="BM109" t="s">
        <v>151</v>
      </c>
      <c r="BN109" t="s">
        <v>151</v>
      </c>
      <c r="BO109">
        <v>1</v>
      </c>
      <c r="BQ109" t="s">
        <v>172</v>
      </c>
      <c r="BT109" t="s">
        <v>173</v>
      </c>
      <c r="CX109" s="1" t="s">
        <v>123</v>
      </c>
      <c r="DH109" s="1" t="s">
        <v>123</v>
      </c>
      <c r="DR109" s="1" t="s">
        <v>123</v>
      </c>
      <c r="EU109" s="1" t="s">
        <v>177</v>
      </c>
      <c r="EV109" t="s">
        <v>178</v>
      </c>
      <c r="EW109">
        <v>1</v>
      </c>
      <c r="EX109" t="s">
        <v>191</v>
      </c>
      <c r="EY109" t="s">
        <v>169</v>
      </c>
      <c r="EZ109" t="s">
        <v>169</v>
      </c>
      <c r="FA109" t="s">
        <v>151</v>
      </c>
      <c r="FB109" t="s">
        <v>178</v>
      </c>
      <c r="FC109" t="s">
        <v>1667</v>
      </c>
      <c r="FD109" t="s">
        <v>1668</v>
      </c>
      <c r="FE109" t="s">
        <v>173</v>
      </c>
      <c r="FU109" s="1" t="s">
        <v>123</v>
      </c>
      <c r="HC109" t="s">
        <v>1669</v>
      </c>
      <c r="HD109" t="s">
        <v>1670</v>
      </c>
      <c r="HE109" t="s">
        <v>1671</v>
      </c>
      <c r="HF109" t="s">
        <v>186</v>
      </c>
      <c r="HG109">
        <v>1966</v>
      </c>
      <c r="HH109" t="str">
        <f>VLOOKUP(AnalizaCzyste[[#This Row],[Rok urodzenia]],KategorieWiekowe[],2,1)</f>
        <v>46–55 lat</v>
      </c>
      <c r="HI109" t="s">
        <v>141</v>
      </c>
    </row>
    <row r="110" spans="1:221" x14ac:dyDescent="0.45">
      <c r="A110">
        <v>198</v>
      </c>
      <c r="B110">
        <f>_xlfn.IFNA(VLOOKUP(AnalizaCzyste[[#This Row],[Zakończono wypełnianie]],Zakończone[],2,0),"BRAK")</f>
        <v>113</v>
      </c>
      <c r="C110">
        <f t="shared" si="3"/>
        <v>37</v>
      </c>
      <c r="D110" t="s">
        <v>1674</v>
      </c>
      <c r="E110" t="s">
        <v>118</v>
      </c>
      <c r="J110" t="s">
        <v>119</v>
      </c>
      <c r="K110" t="s">
        <v>1675</v>
      </c>
      <c r="L110" t="s">
        <v>1676</v>
      </c>
      <c r="M110">
        <v>445</v>
      </c>
      <c r="O110">
        <v>0</v>
      </c>
      <c r="P110" t="s">
        <v>122</v>
      </c>
      <c r="Q110" s="1" t="s">
        <v>123</v>
      </c>
      <c r="AG110" s="1" t="s">
        <v>124</v>
      </c>
      <c r="AH110" t="s">
        <v>191</v>
      </c>
      <c r="AI110" t="str">
        <f>VLOOKUP(AnalizaCzyste[[#This Row],[Jak się nazywa uczelnia którą ukończyłeś? (proszę o wybranie jednej uczelni podlegającej ocenie)]],KategorieUczelni[],2,0)</f>
        <v>Publiczna</v>
      </c>
      <c r="AJ110" t="str">
        <f>VLOOKUP(AnalizaCzyste[[#This Row],[Jak się nazywa uczelnia którą ukończyłeś? (proszę o wybranie jednej uczelni podlegającej ocenie)]],KategorieUczelni[],3,0)</f>
        <v>Techniczna</v>
      </c>
      <c r="AK110">
        <f>COUNTIF(AnalizaCzyste[[#This Row],[Czy jesteś absolwentem uczelni wyższej?]],"*"&amp;"Tak"&amp;"*")</f>
        <v>1</v>
      </c>
      <c r="AL110">
        <v>2014</v>
      </c>
      <c r="AM110" t="s">
        <v>126</v>
      </c>
      <c r="AN110" t="s">
        <v>192</v>
      </c>
      <c r="AO110" t="s">
        <v>169</v>
      </c>
      <c r="AP110" t="s">
        <v>169</v>
      </c>
      <c r="AQ110" t="s">
        <v>162</v>
      </c>
      <c r="AR110" t="s">
        <v>151</v>
      </c>
      <c r="AS110" t="s">
        <v>151</v>
      </c>
      <c r="AT110" t="s">
        <v>237</v>
      </c>
      <c r="AU110" t="s">
        <v>226</v>
      </c>
      <c r="AV110">
        <f>VLOOKUP(AnalizaCzyste[[#This Row],[w pierwszym roku po ukończeniu studiów : wybierz wartość z listy rozwijanej4]],Zarobki[],2,0)</f>
        <v>4500</v>
      </c>
      <c r="AW110" t="s">
        <v>1428</v>
      </c>
      <c r="AX110">
        <f>VLOOKUP(AnalizaCzyste[[#This Row],[w 3 lata po ukończeniu studiów : wybierz wartość z listy rozwijanej5]],Zarobki[],2,0)</f>
        <v>6500</v>
      </c>
      <c r="AY110" t="s">
        <v>1677</v>
      </c>
      <c r="AZ110" t="s">
        <v>1678</v>
      </c>
      <c r="BA110" t="s">
        <v>1679</v>
      </c>
      <c r="BB110" t="s">
        <v>157</v>
      </c>
      <c r="BD110" s="1" t="s">
        <v>123</v>
      </c>
      <c r="CX110" s="1" t="s">
        <v>123</v>
      </c>
      <c r="DH110" s="1" t="s">
        <v>123</v>
      </c>
      <c r="DR110" s="1" t="s">
        <v>123</v>
      </c>
      <c r="EU110" s="1" t="s">
        <v>123</v>
      </c>
      <c r="FU110" s="1" t="s">
        <v>123</v>
      </c>
      <c r="HC110" t="s">
        <v>532</v>
      </c>
      <c r="HD110" t="s">
        <v>1680</v>
      </c>
      <c r="HE110" t="s">
        <v>1681</v>
      </c>
      <c r="HF110" t="s">
        <v>186</v>
      </c>
      <c r="HG110">
        <v>1984</v>
      </c>
      <c r="HH110" t="str">
        <f>VLOOKUP(AnalizaCzyste[[#This Row],[Rok urodzenia]],KategorieWiekowe[],2,1)</f>
        <v>36–45 lat</v>
      </c>
      <c r="HI110" t="s">
        <v>398</v>
      </c>
    </row>
    <row r="111" spans="1:221" x14ac:dyDescent="0.45">
      <c r="A111">
        <v>205</v>
      </c>
      <c r="B111">
        <f>_xlfn.IFNA(VLOOKUP(AnalizaCzyste[[#This Row],[Zakończono wypełnianie]],Zakończone[],2,0),"BRAK")</f>
        <v>114</v>
      </c>
      <c r="C111">
        <f t="shared" si="3"/>
        <v>39</v>
      </c>
      <c r="D111" t="s">
        <v>1709</v>
      </c>
      <c r="E111" t="s">
        <v>118</v>
      </c>
      <c r="J111" t="s">
        <v>119</v>
      </c>
      <c r="K111" t="s">
        <v>1710</v>
      </c>
      <c r="L111" t="s">
        <v>1711</v>
      </c>
      <c r="M111">
        <v>588</v>
      </c>
      <c r="O111">
        <v>0</v>
      </c>
      <c r="P111" t="s">
        <v>122</v>
      </c>
      <c r="Q111" s="1" t="s">
        <v>123</v>
      </c>
      <c r="AG111" s="1" t="s">
        <v>124</v>
      </c>
      <c r="AH111" t="s">
        <v>1712</v>
      </c>
      <c r="AI111" t="str">
        <f>VLOOKUP(AnalizaCzyste[[#This Row],[Jak się nazywa uczelnia którą ukończyłeś? (proszę o wybranie jednej uczelni podlegającej ocenie)]],KategorieUczelni[],2,0)</f>
        <v>Publiczna</v>
      </c>
      <c r="AJ111" t="str">
        <f>VLOOKUP(AnalizaCzyste[[#This Row],[Jak się nazywa uczelnia którą ukończyłeś? (proszę o wybranie jednej uczelni podlegającej ocenie)]],KategorieUczelni[],3,0)</f>
        <v>Nietechniczna</v>
      </c>
      <c r="AK111">
        <f>COUNTIF(AnalizaCzyste[[#This Row],[Czy jesteś absolwentem uczelni wyższej?]],"*"&amp;"Tak"&amp;"*")</f>
        <v>1</v>
      </c>
      <c r="AL111">
        <v>2012</v>
      </c>
      <c r="AM111" t="s">
        <v>148</v>
      </c>
      <c r="AN111" t="s">
        <v>1713</v>
      </c>
      <c r="AO111" t="s">
        <v>162</v>
      </c>
      <c r="AP111" t="s">
        <v>162</v>
      </c>
      <c r="AQ111" t="s">
        <v>169</v>
      </c>
      <c r="AR111" t="s">
        <v>129</v>
      </c>
      <c r="AS111" t="s">
        <v>129</v>
      </c>
      <c r="AT111" t="s">
        <v>1714</v>
      </c>
      <c r="AU111" t="s">
        <v>131</v>
      </c>
      <c r="AV111">
        <f>VLOOKUP(AnalizaCzyste[[#This Row],[w pierwszym roku po ukończeniu studiów : wybierz wartość z listy rozwijanej4]],Zarobki[],2,0)</f>
        <v>1500</v>
      </c>
      <c r="AW111" t="s">
        <v>131</v>
      </c>
      <c r="AX111">
        <f>VLOOKUP(AnalizaCzyste[[#This Row],[w 3 lata po ukończeniu studiów : wybierz wartość z listy rozwijanej5]],Zarobki[],2,0)</f>
        <v>1500</v>
      </c>
      <c r="AY111" t="s">
        <v>1715</v>
      </c>
      <c r="AZ111" t="s">
        <v>1716</v>
      </c>
      <c r="BA111" t="s">
        <v>1717</v>
      </c>
      <c r="BB111" t="s">
        <v>157</v>
      </c>
      <c r="BD111" s="1" t="s">
        <v>123</v>
      </c>
      <c r="CX111" s="1" t="s">
        <v>123</v>
      </c>
      <c r="DH111" s="1" t="s">
        <v>123</v>
      </c>
      <c r="DR111" s="1" t="s">
        <v>123</v>
      </c>
      <c r="EU111" s="1" t="s">
        <v>123</v>
      </c>
      <c r="FU111" s="1" t="s">
        <v>123</v>
      </c>
      <c r="HC111" t="s">
        <v>1718</v>
      </c>
      <c r="HD111" t="s">
        <v>1719</v>
      </c>
      <c r="HE111" t="s">
        <v>1720</v>
      </c>
      <c r="HF111" t="s">
        <v>140</v>
      </c>
      <c r="HG111">
        <v>1985</v>
      </c>
      <c r="HH111" t="str">
        <f>VLOOKUP(AnalizaCzyste[[#This Row],[Rok urodzenia]],KategorieWiekowe[],2,1)</f>
        <v>26–35 lat</v>
      </c>
      <c r="HI111" t="s">
        <v>246</v>
      </c>
      <c r="HK111" t="s">
        <v>1721</v>
      </c>
      <c r="HL111" t="s">
        <v>532</v>
      </c>
    </row>
    <row r="112" spans="1:221" x14ac:dyDescent="0.45">
      <c r="A112">
        <v>211</v>
      </c>
      <c r="B112">
        <f>_xlfn.IFNA(VLOOKUP(AnalizaCzyste[[#This Row],[Zakończono wypełnianie]],Zakończone[],2,0),"BRAK")</f>
        <v>115</v>
      </c>
      <c r="C112">
        <f t="shared" si="3"/>
        <v>41</v>
      </c>
      <c r="D112" t="s">
        <v>1572</v>
      </c>
      <c r="E112" t="s">
        <v>118</v>
      </c>
      <c r="J112" t="s">
        <v>119</v>
      </c>
      <c r="K112" t="s">
        <v>1738</v>
      </c>
      <c r="L112" t="s">
        <v>1739</v>
      </c>
      <c r="M112">
        <v>1112</v>
      </c>
      <c r="O112">
        <v>0</v>
      </c>
      <c r="P112" t="s">
        <v>122</v>
      </c>
      <c r="Q112" s="1" t="s">
        <v>123</v>
      </c>
      <c r="AG112" s="1" t="s">
        <v>124</v>
      </c>
      <c r="AH112" s="20" t="s">
        <v>191</v>
      </c>
      <c r="AI112" s="20" t="str">
        <f>VLOOKUP(AnalizaCzyste[[#This Row],[Jak się nazywa uczelnia którą ukończyłeś? (proszę o wybranie jednej uczelni podlegającej ocenie)]],KategorieUczelni[],2,0)</f>
        <v>Publiczna</v>
      </c>
      <c r="AJ112" s="20" t="str">
        <f>VLOOKUP(AnalizaCzyste[[#This Row],[Jak się nazywa uczelnia którą ukończyłeś? (proszę o wybranie jednej uczelni podlegającej ocenie)]],KategorieUczelni[],3,0)</f>
        <v>Techniczna</v>
      </c>
      <c r="AK112" s="20">
        <f>COUNTIF(AnalizaCzyste[[#This Row],[Czy jesteś absolwentem uczelni wyższej?]],"*"&amp;"Tak"&amp;"*")</f>
        <v>1</v>
      </c>
      <c r="AL112">
        <v>2001</v>
      </c>
      <c r="AM112" t="s">
        <v>126</v>
      </c>
      <c r="AN112" t="s">
        <v>1339</v>
      </c>
      <c r="AO112" t="s">
        <v>150</v>
      </c>
      <c r="AP112" t="s">
        <v>150</v>
      </c>
      <c r="AQ112" t="s">
        <v>150</v>
      </c>
      <c r="AR112" t="s">
        <v>162</v>
      </c>
      <c r="AS112" t="s">
        <v>162</v>
      </c>
      <c r="AT112" t="s">
        <v>1740</v>
      </c>
      <c r="AU112" t="s">
        <v>131</v>
      </c>
      <c r="AV112">
        <f>VLOOKUP(AnalizaCzyste[[#This Row],[w pierwszym roku po ukończeniu studiów : wybierz wartość z listy rozwijanej4]],Zarobki[],2,0)</f>
        <v>1500</v>
      </c>
      <c r="AW112" t="s">
        <v>302</v>
      </c>
      <c r="AX112">
        <f>VLOOKUP(AnalizaCzyste[[#This Row],[w 3 lata po ukończeniu studiów : wybierz wartość z listy rozwijanej5]],Zarobki[],2,0)</f>
        <v>2500</v>
      </c>
      <c r="AY112" t="s">
        <v>1741</v>
      </c>
      <c r="AZ112" t="s">
        <v>1742</v>
      </c>
      <c r="BA112" t="s">
        <v>1743</v>
      </c>
      <c r="BB112" t="s">
        <v>157</v>
      </c>
      <c r="BC112" t="s">
        <v>1744</v>
      </c>
      <c r="BD112" s="1" t="s">
        <v>123</v>
      </c>
      <c r="CX112" s="1" t="s">
        <v>123</v>
      </c>
      <c r="DH112" s="1" t="s">
        <v>123</v>
      </c>
      <c r="DR112" s="1" t="s">
        <v>123</v>
      </c>
      <c r="EU112" s="1" t="s">
        <v>123</v>
      </c>
      <c r="FU112" s="1" t="s">
        <v>123</v>
      </c>
      <c r="HC112" t="s">
        <v>1745</v>
      </c>
      <c r="HD112" t="s">
        <v>1746</v>
      </c>
      <c r="HE112" t="s">
        <v>1747</v>
      </c>
      <c r="HF112" t="s">
        <v>186</v>
      </c>
      <c r="HG112">
        <v>1976</v>
      </c>
      <c r="HH112" t="str">
        <f>VLOOKUP(AnalizaCzyste[[#This Row],[Rok urodzenia]],KategorieWiekowe[],2,1)</f>
        <v>36–45 lat</v>
      </c>
      <c r="HI112" t="s">
        <v>141</v>
      </c>
      <c r="HK112" t="s">
        <v>1748</v>
      </c>
      <c r="HL112" t="s">
        <v>1749</v>
      </c>
      <c r="HM112" t="s">
        <v>1750</v>
      </c>
    </row>
    <row r="113" spans="1:221" x14ac:dyDescent="0.45">
      <c r="A113">
        <v>212</v>
      </c>
      <c r="B113">
        <f>_xlfn.IFNA(VLOOKUP(AnalizaCzyste[[#This Row],[Zakończono wypełnianie]],Zakończone[],2,0),"BRAK")</f>
        <v>116</v>
      </c>
      <c r="C113">
        <f t="shared" si="3"/>
        <v>36</v>
      </c>
      <c r="D113" t="s">
        <v>1751</v>
      </c>
      <c r="E113" t="s">
        <v>118</v>
      </c>
      <c r="J113" t="s">
        <v>119</v>
      </c>
      <c r="K113" t="s">
        <v>1752</v>
      </c>
      <c r="L113" t="s">
        <v>1753</v>
      </c>
      <c r="M113">
        <v>625</v>
      </c>
      <c r="O113">
        <v>0</v>
      </c>
      <c r="P113" t="s">
        <v>122</v>
      </c>
      <c r="Q113" s="1" t="s">
        <v>123</v>
      </c>
      <c r="AG113" s="1" t="s">
        <v>124</v>
      </c>
      <c r="AH113" t="s">
        <v>191</v>
      </c>
      <c r="AI113" t="str">
        <f>VLOOKUP(AnalizaCzyste[[#This Row],[Jak się nazywa uczelnia którą ukończyłeś? (proszę o wybranie jednej uczelni podlegającej ocenie)]],KategorieUczelni[],2,0)</f>
        <v>Publiczna</v>
      </c>
      <c r="AJ113" t="str">
        <f>VLOOKUP(AnalizaCzyste[[#This Row],[Jak się nazywa uczelnia którą ukończyłeś? (proszę o wybranie jednej uczelni podlegającej ocenie)]],KategorieUczelni[],3,0)</f>
        <v>Techniczna</v>
      </c>
      <c r="AK113">
        <f>COUNTIF(AnalizaCzyste[[#This Row],[Czy jesteś absolwentem uczelni wyższej?]],"*"&amp;"Tak"&amp;"*")</f>
        <v>1</v>
      </c>
      <c r="AL113">
        <v>2009</v>
      </c>
      <c r="AM113" t="s">
        <v>126</v>
      </c>
      <c r="AN113" t="s">
        <v>192</v>
      </c>
      <c r="AO113" t="s">
        <v>162</v>
      </c>
      <c r="AP113" t="s">
        <v>150</v>
      </c>
      <c r="AQ113" t="s">
        <v>169</v>
      </c>
      <c r="AR113" t="s">
        <v>169</v>
      </c>
      <c r="AS113" t="s">
        <v>169</v>
      </c>
      <c r="AT113" t="s">
        <v>530</v>
      </c>
      <c r="AU113" t="s">
        <v>226</v>
      </c>
      <c r="AV113">
        <f>VLOOKUP(AnalizaCzyste[[#This Row],[w pierwszym roku po ukończeniu studiów : wybierz wartość z listy rozwijanej4]],Zarobki[],2,0)</f>
        <v>4500</v>
      </c>
      <c r="AW113" t="s">
        <v>759</v>
      </c>
      <c r="AX113">
        <f>VLOOKUP(AnalizaCzyste[[#This Row],[w 3 lata po ukończeniu studiów : wybierz wartość z listy rozwijanej5]],Zarobki[],2,0)</f>
        <v>5500</v>
      </c>
      <c r="AZ113" t="s">
        <v>1754</v>
      </c>
      <c r="BA113" t="s">
        <v>1755</v>
      </c>
      <c r="BC113" t="s">
        <v>1756</v>
      </c>
      <c r="BD113" s="1" t="s">
        <v>123</v>
      </c>
      <c r="CX113" s="1" t="s">
        <v>123</v>
      </c>
      <c r="DH113" s="1" t="s">
        <v>123</v>
      </c>
      <c r="DR113" s="1" t="s">
        <v>123</v>
      </c>
      <c r="EU113" s="1" t="s">
        <v>123</v>
      </c>
      <c r="FU113" s="1" t="s">
        <v>123</v>
      </c>
      <c r="HC113" t="s">
        <v>1757</v>
      </c>
      <c r="HD113" t="s">
        <v>1758</v>
      </c>
      <c r="HE113" t="s">
        <v>1759</v>
      </c>
      <c r="HF113" t="s">
        <v>186</v>
      </c>
      <c r="HG113">
        <v>1984</v>
      </c>
      <c r="HH113" t="str">
        <f>VLOOKUP(AnalizaCzyste[[#This Row],[Rok urodzenia]],KategorieWiekowe[],2,1)</f>
        <v>36–45 lat</v>
      </c>
      <c r="HI113" t="s">
        <v>141</v>
      </c>
    </row>
    <row r="114" spans="1:221" x14ac:dyDescent="0.45">
      <c r="A114">
        <v>214</v>
      </c>
      <c r="B114">
        <f>_xlfn.IFNA(VLOOKUP(AnalizaCzyste[[#This Row],[Zakończono wypełnianie]],Zakończone[],2,0),"BRAK")</f>
        <v>117</v>
      </c>
      <c r="C114">
        <f t="shared" si="3"/>
        <v>39</v>
      </c>
      <c r="D114" t="s">
        <v>1762</v>
      </c>
      <c r="E114" t="s">
        <v>118</v>
      </c>
      <c r="J114" t="s">
        <v>119</v>
      </c>
      <c r="K114" t="s">
        <v>1763</v>
      </c>
      <c r="L114" t="s">
        <v>1764</v>
      </c>
      <c r="M114">
        <v>336</v>
      </c>
      <c r="O114">
        <v>0</v>
      </c>
      <c r="P114" t="s">
        <v>122</v>
      </c>
      <c r="Q114" s="1" t="s">
        <v>123</v>
      </c>
      <c r="AG114" s="1" t="s">
        <v>124</v>
      </c>
      <c r="AH114" t="s">
        <v>191</v>
      </c>
      <c r="AI114" t="str">
        <f>VLOOKUP(AnalizaCzyste[[#This Row],[Jak się nazywa uczelnia którą ukończyłeś? (proszę o wybranie jednej uczelni podlegającej ocenie)]],KategorieUczelni[],2,0)</f>
        <v>Publiczna</v>
      </c>
      <c r="AJ114" t="str">
        <f>VLOOKUP(AnalizaCzyste[[#This Row],[Jak się nazywa uczelnia którą ukończyłeś? (proszę o wybranie jednej uczelni podlegającej ocenie)]],KategorieUczelni[],3,0)</f>
        <v>Techniczna</v>
      </c>
      <c r="AK114">
        <f>COUNTIF(AnalizaCzyste[[#This Row],[Czy jesteś absolwentem uczelni wyższej?]],"*"&amp;"Tak"&amp;"*")</f>
        <v>1</v>
      </c>
      <c r="AL114">
        <v>2002</v>
      </c>
      <c r="AM114" t="s">
        <v>126</v>
      </c>
      <c r="AN114" t="s">
        <v>1176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1765</v>
      </c>
      <c r="AU114" t="s">
        <v>302</v>
      </c>
      <c r="AV114">
        <f>VLOOKUP(AnalizaCzyste[[#This Row],[w pierwszym roku po ukończeniu studiów : wybierz wartość z listy rozwijanej4]],Zarobki[],2,0)</f>
        <v>2500</v>
      </c>
      <c r="AW114" t="s">
        <v>226</v>
      </c>
      <c r="AX114">
        <f>VLOOKUP(AnalizaCzyste[[#This Row],[w 3 lata po ukończeniu studiów : wybierz wartość z listy rozwijanej5]],Zarobki[],2,0)</f>
        <v>4500</v>
      </c>
      <c r="AZ114" t="s">
        <v>1766</v>
      </c>
      <c r="BA114" t="s">
        <v>386</v>
      </c>
      <c r="BB114" t="s">
        <v>157</v>
      </c>
      <c r="BC114" t="s">
        <v>1767</v>
      </c>
      <c r="BD114" s="1" t="s">
        <v>123</v>
      </c>
      <c r="CX114" s="1" t="s">
        <v>123</v>
      </c>
      <c r="DH114" s="1" t="s">
        <v>123</v>
      </c>
      <c r="DR114" s="1" t="s">
        <v>123</v>
      </c>
      <c r="EU114" s="1" t="s">
        <v>123</v>
      </c>
      <c r="FU114" s="1" t="s">
        <v>123</v>
      </c>
      <c r="HC114" t="s">
        <v>1768</v>
      </c>
      <c r="HD114" t="s">
        <v>1769</v>
      </c>
      <c r="HE114" t="s">
        <v>1769</v>
      </c>
      <c r="HF114" t="s">
        <v>186</v>
      </c>
      <c r="HG114">
        <v>1977</v>
      </c>
      <c r="HH114" t="str">
        <f>VLOOKUP(AnalizaCzyste[[#This Row],[Rok urodzenia]],KategorieWiekowe[],2,1)</f>
        <v>36–45 lat</v>
      </c>
      <c r="HI114" t="s">
        <v>141</v>
      </c>
      <c r="HK114" t="s">
        <v>386</v>
      </c>
      <c r="HL114" t="s">
        <v>386</v>
      </c>
    </row>
    <row r="115" spans="1:221" x14ac:dyDescent="0.45">
      <c r="A115">
        <v>215</v>
      </c>
      <c r="B115">
        <f>_xlfn.IFNA(VLOOKUP(AnalizaCzyste[[#This Row],[Zakończono wypełnianie]],Zakończone[],2,0),"BRAK")</f>
        <v>118</v>
      </c>
      <c r="C115">
        <f t="shared" si="3"/>
        <v>38</v>
      </c>
      <c r="D115" t="s">
        <v>1131</v>
      </c>
      <c r="E115" t="s">
        <v>118</v>
      </c>
      <c r="J115" t="s">
        <v>119</v>
      </c>
      <c r="K115" t="s">
        <v>1770</v>
      </c>
      <c r="L115" t="s">
        <v>1771</v>
      </c>
      <c r="M115">
        <v>1129</v>
      </c>
      <c r="O115">
        <v>0</v>
      </c>
      <c r="P115" t="s">
        <v>122</v>
      </c>
      <c r="Q115" s="1" t="s">
        <v>123</v>
      </c>
      <c r="AG115" s="1" t="s">
        <v>124</v>
      </c>
      <c r="AH115" t="s">
        <v>191</v>
      </c>
      <c r="AI115" t="str">
        <f>VLOOKUP(AnalizaCzyste[[#This Row],[Jak się nazywa uczelnia którą ukończyłeś? (proszę o wybranie jednej uczelni podlegającej ocenie)]],KategorieUczelni[],2,0)</f>
        <v>Publiczna</v>
      </c>
      <c r="AJ115" t="str">
        <f>VLOOKUP(AnalizaCzyste[[#This Row],[Jak się nazywa uczelnia którą ukończyłeś? (proszę o wybranie jednej uczelni podlegającej ocenie)]],KategorieUczelni[],3,0)</f>
        <v>Techniczna</v>
      </c>
      <c r="AK115">
        <f>COUNTIF(AnalizaCzyste[[#This Row],[Czy jesteś absolwentem uczelni wyższej?]],"*"&amp;"Tak"&amp;"*")</f>
        <v>1</v>
      </c>
      <c r="AL115">
        <v>2014</v>
      </c>
      <c r="AM115" t="s">
        <v>126</v>
      </c>
      <c r="AN115" t="s">
        <v>1186</v>
      </c>
      <c r="AO115" t="s">
        <v>162</v>
      </c>
      <c r="AP115" t="s">
        <v>150</v>
      </c>
      <c r="AQ115" t="s">
        <v>162</v>
      </c>
      <c r="AR115" t="s">
        <v>162</v>
      </c>
      <c r="AS115" t="s">
        <v>150</v>
      </c>
      <c r="AT115">
        <v>1</v>
      </c>
      <c r="AU115" t="s">
        <v>131</v>
      </c>
      <c r="AV115">
        <f>VLOOKUP(AnalizaCzyste[[#This Row],[w pierwszym roku po ukończeniu studiów : wybierz wartość z listy rozwijanej4]],Zarobki[],2,0)</f>
        <v>1500</v>
      </c>
      <c r="AW115" t="s">
        <v>153</v>
      </c>
      <c r="AX115">
        <f>VLOOKUP(AnalizaCzyste[[#This Row],[w 3 lata po ukończeniu studiów : wybierz wartość z listy rozwijanej5]],Zarobki[],2,0)</f>
        <v>3500</v>
      </c>
      <c r="AZ115" t="s">
        <v>766</v>
      </c>
      <c r="BA115" t="s">
        <v>1772</v>
      </c>
      <c r="BB115" t="s">
        <v>172</v>
      </c>
      <c r="BD115" s="1" t="s">
        <v>123</v>
      </c>
      <c r="CX115" s="1" t="s">
        <v>123</v>
      </c>
      <c r="DH115" s="1" t="s">
        <v>123</v>
      </c>
      <c r="DR115" s="1" t="s">
        <v>123</v>
      </c>
      <c r="EU115" s="1" t="s">
        <v>123</v>
      </c>
      <c r="FU115" s="1" t="s">
        <v>123</v>
      </c>
      <c r="HC115" t="s">
        <v>1773</v>
      </c>
      <c r="HD115" t="s">
        <v>1774</v>
      </c>
      <c r="HE115" t="s">
        <v>1775</v>
      </c>
      <c r="HF115" t="s">
        <v>140</v>
      </c>
      <c r="HG115">
        <v>1990</v>
      </c>
      <c r="HH115" t="str">
        <f>VLOOKUP(AnalizaCzyste[[#This Row],[Rok urodzenia]],KategorieWiekowe[],2,1)</f>
        <v>26–35 lat</v>
      </c>
      <c r="HI115" t="s">
        <v>141</v>
      </c>
      <c r="HK115" t="s">
        <v>1776</v>
      </c>
      <c r="HL115" t="s">
        <v>1777</v>
      </c>
    </row>
    <row r="116" spans="1:221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38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AG116" s="1" t="s">
        <v>124</v>
      </c>
      <c r="AH116" t="s">
        <v>223</v>
      </c>
      <c r="AI116" t="str">
        <f>VLOOKUP(AnalizaCzyste[[#This Row],[Jak się nazywa uczelnia którą ukończyłeś? (proszę o wybranie jednej uczelni podlegającej ocenie)]],KategorieUczelni[],2,0)</f>
        <v>Publiczna</v>
      </c>
      <c r="AJ116" t="str">
        <f>VLOOKUP(AnalizaCzyste[[#This Row],[Jak się nazywa uczelnia którą ukończyłeś? (proszę o wybranie jednej uczelni podlegającej ocenie)]],KategorieUczelni[],3,0)</f>
        <v>Nietechniczna</v>
      </c>
      <c r="AK116">
        <f>COUNTIF(AnalizaCzyste[[#This Row],[Czy jesteś absolwentem uczelni wyższej?]],"*"&amp;"Tak"&amp;"*")</f>
        <v>1</v>
      </c>
      <c r="AL116">
        <v>2011</v>
      </c>
      <c r="AM116" t="s">
        <v>148</v>
      </c>
      <c r="AN116" t="s">
        <v>1784</v>
      </c>
      <c r="AO116" t="s">
        <v>150</v>
      </c>
      <c r="AP116" t="s">
        <v>162</v>
      </c>
      <c r="AQ116" t="s">
        <v>169</v>
      </c>
      <c r="AR116" t="s">
        <v>150</v>
      </c>
      <c r="AS116" t="s">
        <v>150</v>
      </c>
      <c r="AT116">
        <v>2</v>
      </c>
      <c r="AU116" t="s">
        <v>302</v>
      </c>
      <c r="AV116">
        <f>VLOOKUP(AnalizaCzyste[[#This Row],[w pierwszym roku po ukończeniu studiów : wybierz wartość z listy rozwijanej4]],Zarobki[],2,0)</f>
        <v>2500</v>
      </c>
      <c r="AW116" t="s">
        <v>153</v>
      </c>
      <c r="AX116">
        <f>VLOOKUP(AnalizaCzyste[[#This Row],[w 3 lata po ukończeniu studiów : wybierz wartość z listy rozwijanej5]],Zarobki[],2,0)</f>
        <v>3500</v>
      </c>
      <c r="AY116" t="s">
        <v>1785</v>
      </c>
      <c r="AZ116" t="s">
        <v>1786</v>
      </c>
      <c r="BA116" t="s">
        <v>1787</v>
      </c>
      <c r="BB116" t="s">
        <v>157</v>
      </c>
      <c r="BD116" s="1" t="s">
        <v>123</v>
      </c>
      <c r="CX116" s="1" t="s">
        <v>123</v>
      </c>
      <c r="DH116" s="1" t="s">
        <v>123</v>
      </c>
      <c r="DR116" s="1" t="s">
        <v>123</v>
      </c>
      <c r="EU116" s="1" t="s">
        <v>123</v>
      </c>
      <c r="FU116" s="1" t="s">
        <v>123</v>
      </c>
      <c r="HC116" t="s">
        <v>1788</v>
      </c>
      <c r="HD116" t="s">
        <v>1789</v>
      </c>
      <c r="HE116" t="s">
        <v>1790</v>
      </c>
      <c r="HF116" t="s">
        <v>140</v>
      </c>
      <c r="HG116">
        <v>1986</v>
      </c>
      <c r="HH116" t="str">
        <f>VLOOKUP(AnalizaCzyste[[#This Row],[Rok urodzenia]],KategorieWiekowe[],2,1)</f>
        <v>26–35 lat</v>
      </c>
      <c r="HI116" t="s">
        <v>398</v>
      </c>
      <c r="HK116" t="s">
        <v>1791</v>
      </c>
    </row>
    <row r="117" spans="1:221" x14ac:dyDescent="0.45">
      <c r="A117">
        <v>218</v>
      </c>
      <c r="B117">
        <f>_xlfn.IFNA(VLOOKUP(AnalizaCzyste[[#This Row],[Zakończono wypełnianie]],Zakończone[],2,0),"BRAK")</f>
        <v>120</v>
      </c>
      <c r="C117">
        <f t="shared" si="3"/>
        <v>37</v>
      </c>
      <c r="D117" t="s">
        <v>1792</v>
      </c>
      <c r="E117" t="s">
        <v>118</v>
      </c>
      <c r="F117" t="s">
        <v>359</v>
      </c>
      <c r="J117" t="s">
        <v>119</v>
      </c>
      <c r="K117" t="s">
        <v>1793</v>
      </c>
      <c r="L117" t="s">
        <v>1794</v>
      </c>
      <c r="M117">
        <v>465</v>
      </c>
      <c r="O117">
        <v>0</v>
      </c>
      <c r="P117" t="s">
        <v>122</v>
      </c>
      <c r="Q117" s="1" t="s">
        <v>123</v>
      </c>
      <c r="AG117" s="1" t="s">
        <v>124</v>
      </c>
      <c r="AH117" t="s">
        <v>191</v>
      </c>
      <c r="AI117" t="str">
        <f>VLOOKUP(AnalizaCzyste[[#This Row],[Jak się nazywa uczelnia którą ukończyłeś? (proszę o wybranie jednej uczelni podlegającej ocenie)]],KategorieUczelni[],2,0)</f>
        <v>Publiczna</v>
      </c>
      <c r="AJ117" t="str">
        <f>VLOOKUP(AnalizaCzyste[[#This Row],[Jak się nazywa uczelnia którą ukończyłeś? (proszę o wybranie jednej uczelni podlegającej ocenie)]],KategorieUczelni[],3,0)</f>
        <v>Techniczna</v>
      </c>
      <c r="AK117">
        <f>COUNTIF(AnalizaCzyste[[#This Row],[Czy jesteś absolwentem uczelni wyższej?]],"*"&amp;"Tak"&amp;"*")</f>
        <v>1</v>
      </c>
      <c r="AL117">
        <v>2016</v>
      </c>
      <c r="AM117" t="s">
        <v>126</v>
      </c>
      <c r="AN117" t="s">
        <v>1795</v>
      </c>
      <c r="AO117" t="s">
        <v>236</v>
      </c>
      <c r="AP117" t="s">
        <v>236</v>
      </c>
      <c r="AQ117" t="s">
        <v>129</v>
      </c>
      <c r="AR117" t="s">
        <v>129</v>
      </c>
      <c r="AS117" t="s">
        <v>129</v>
      </c>
      <c r="AT117">
        <v>34</v>
      </c>
      <c r="AU117" t="s">
        <v>152</v>
      </c>
      <c r="AV117">
        <f>VLOOKUP(AnalizaCzyste[[#This Row],[w pierwszym roku po ukończeniu studiów : wybierz wartość z listy rozwijanej4]],Zarobki[],2,0)</f>
        <v>500</v>
      </c>
      <c r="AW117" t="s">
        <v>152</v>
      </c>
      <c r="AX117">
        <f>VLOOKUP(AnalizaCzyste[[#This Row],[w 3 lata po ukończeniu studiów : wybierz wartość z listy rozwijanej5]],Zarobki[],2,0)</f>
        <v>500</v>
      </c>
      <c r="AY117" t="s">
        <v>1796</v>
      </c>
      <c r="AZ117" t="s">
        <v>1797</v>
      </c>
      <c r="BA117" t="s">
        <v>1798</v>
      </c>
      <c r="BB117" t="s">
        <v>157</v>
      </c>
      <c r="BD117" s="1" t="s">
        <v>123</v>
      </c>
      <c r="CX117" s="1" t="s">
        <v>123</v>
      </c>
      <c r="DH117" s="1" t="s">
        <v>123</v>
      </c>
      <c r="DR117" s="1" t="s">
        <v>123</v>
      </c>
      <c r="EU117" s="1" t="s">
        <v>123</v>
      </c>
      <c r="FU117" s="1" t="s">
        <v>123</v>
      </c>
      <c r="HC117" t="s">
        <v>1799</v>
      </c>
      <c r="HD117" t="s">
        <v>1800</v>
      </c>
      <c r="HE117" t="s">
        <v>1801</v>
      </c>
      <c r="HF117" t="s">
        <v>140</v>
      </c>
      <c r="HG117" s="42">
        <v>1995</v>
      </c>
      <c r="HH117" t="str">
        <f>VLOOKUP(AnalizaCzyste[[#This Row],[Rok urodzenia]],KategorieWiekowe[],2,1)</f>
        <v>poniżej 26 lat</v>
      </c>
      <c r="HI117" t="s">
        <v>483</v>
      </c>
    </row>
    <row r="118" spans="1:221" x14ac:dyDescent="0.45">
      <c r="A118">
        <v>220</v>
      </c>
      <c r="B118">
        <f>_xlfn.IFNA(VLOOKUP(AnalizaCzyste[[#This Row],[Zakończono wypełnianie]],Zakończone[],2,0),"BRAK")</f>
        <v>121</v>
      </c>
      <c r="C118">
        <f t="shared" si="3"/>
        <v>40</v>
      </c>
      <c r="D118" t="s">
        <v>1336</v>
      </c>
      <c r="E118" t="s">
        <v>118</v>
      </c>
      <c r="J118" t="s">
        <v>119</v>
      </c>
      <c r="K118" t="s">
        <v>1808</v>
      </c>
      <c r="L118" t="s">
        <v>1809</v>
      </c>
      <c r="M118">
        <v>2379</v>
      </c>
      <c r="O118">
        <v>0</v>
      </c>
      <c r="P118" t="s">
        <v>122</v>
      </c>
      <c r="Q118" s="1" t="s">
        <v>123</v>
      </c>
      <c r="AG118" s="1" t="s">
        <v>124</v>
      </c>
      <c r="AH118" t="s">
        <v>223</v>
      </c>
      <c r="AI118" t="str">
        <f>VLOOKUP(AnalizaCzyste[[#This Row],[Jak się nazywa uczelnia którą ukończyłeś? (proszę o wybranie jednej uczelni podlegającej ocenie)]],KategorieUczelni[],2,0)</f>
        <v>Publiczna</v>
      </c>
      <c r="AJ118" t="str">
        <f>VLOOKUP(AnalizaCzyste[[#This Row],[Jak się nazywa uczelnia którą ukończyłeś? (proszę o wybranie jednej uczelni podlegającej ocenie)]],KategorieUczelni[],3,0)</f>
        <v>Nietechniczna</v>
      </c>
      <c r="AK118">
        <f>COUNTIF(AnalizaCzyste[[#This Row],[Czy jesteś absolwentem uczelni wyższej?]],"*"&amp;"Tak"&amp;"*")</f>
        <v>1</v>
      </c>
      <c r="AL118">
        <v>2012</v>
      </c>
      <c r="AM118" t="s">
        <v>148</v>
      </c>
      <c r="AN118" t="s">
        <v>1810</v>
      </c>
      <c r="AO118" t="s">
        <v>150</v>
      </c>
      <c r="AP118" t="s">
        <v>162</v>
      </c>
      <c r="AQ118" t="s">
        <v>150</v>
      </c>
      <c r="AR118" t="s">
        <v>162</v>
      </c>
      <c r="AS118" t="s">
        <v>150</v>
      </c>
      <c r="AT118" t="s">
        <v>237</v>
      </c>
      <c r="AU118" t="s">
        <v>132</v>
      </c>
      <c r="AV118" t="str">
        <f>VLOOKUP(AnalizaCzyste[[#This Row],[w pierwszym roku po ukończeniu studiów : wybierz wartość z listy rozwijanej4]],Zarobki[],2,0)</f>
        <v>N/D</v>
      </c>
      <c r="AW118" t="s">
        <v>132</v>
      </c>
      <c r="AX118" t="str">
        <f>VLOOKUP(AnalizaCzyste[[#This Row],[w 3 lata po ukończeniu studiów : wybierz wartość z listy rozwijanej5]],Zarobki[],2,0)</f>
        <v>N/D</v>
      </c>
      <c r="AY118" t="s">
        <v>1811</v>
      </c>
      <c r="AZ118" t="s">
        <v>1812</v>
      </c>
      <c r="BA118" t="s">
        <v>1813</v>
      </c>
      <c r="BB118" t="s">
        <v>230</v>
      </c>
      <c r="BC118" t="s">
        <v>1814</v>
      </c>
      <c r="BD118" s="1" t="s">
        <v>123</v>
      </c>
      <c r="CX118" s="1" t="s">
        <v>123</v>
      </c>
      <c r="DH118" s="1" t="s">
        <v>123</v>
      </c>
      <c r="DR118" s="1" t="s">
        <v>123</v>
      </c>
      <c r="EU118" s="1" t="s">
        <v>123</v>
      </c>
      <c r="FU118" s="1" t="s">
        <v>123</v>
      </c>
      <c r="HC118" t="s">
        <v>1815</v>
      </c>
      <c r="HD118" t="s">
        <v>1816</v>
      </c>
      <c r="HE118" t="s">
        <v>1817</v>
      </c>
      <c r="HF118" t="s">
        <v>140</v>
      </c>
      <c r="HG118">
        <v>1986</v>
      </c>
      <c r="HH118" t="str">
        <f>VLOOKUP(AnalizaCzyste[[#This Row],[Rok urodzenia]],KategorieWiekowe[],2,1)</f>
        <v>26–35 lat</v>
      </c>
      <c r="HI118" t="s">
        <v>246</v>
      </c>
      <c r="HK118" t="s">
        <v>1818</v>
      </c>
      <c r="HL118" t="s">
        <v>1819</v>
      </c>
    </row>
    <row r="119" spans="1:221" x14ac:dyDescent="0.45">
      <c r="A119">
        <v>223</v>
      </c>
      <c r="B119">
        <f>_xlfn.IFNA(VLOOKUP(AnalizaCzyste[[#This Row],[Zakończono wypełnianie]],Zakończone[],2,0),"BRAK")</f>
        <v>122</v>
      </c>
      <c r="C119">
        <f t="shared" si="3"/>
        <v>47</v>
      </c>
      <c r="D119" t="s">
        <v>1827</v>
      </c>
      <c r="E119" t="s">
        <v>118</v>
      </c>
      <c r="J119" t="s">
        <v>119</v>
      </c>
      <c r="K119" t="s">
        <v>1828</v>
      </c>
      <c r="L119" t="s">
        <v>1829</v>
      </c>
      <c r="M119">
        <v>673</v>
      </c>
      <c r="O119">
        <v>0</v>
      </c>
      <c r="P119" t="s">
        <v>122</v>
      </c>
      <c r="Q119" s="1" t="s">
        <v>123</v>
      </c>
      <c r="AG119" s="1" t="s">
        <v>124</v>
      </c>
      <c r="AH119" t="s">
        <v>223</v>
      </c>
      <c r="AI119" t="str">
        <f>VLOOKUP(AnalizaCzyste[[#This Row],[Jak się nazywa uczelnia którą ukończyłeś? (proszę o wybranie jednej uczelni podlegającej ocenie)]],KategorieUczelni[],2,0)</f>
        <v>Publiczna</v>
      </c>
      <c r="AJ119" t="str">
        <f>VLOOKUP(AnalizaCzyste[[#This Row],[Jak się nazywa uczelnia którą ukończyłeś? (proszę o wybranie jednej uczelni podlegającej ocenie)]],KategorieUczelni[],3,0)</f>
        <v>Nietechniczna</v>
      </c>
      <c r="AK119">
        <f>COUNTIF(AnalizaCzyste[[#This Row],[Czy jesteś absolwentem uczelni wyższej?]],"*"&amp;"Tak"&amp;"*")</f>
        <v>1</v>
      </c>
      <c r="AL119">
        <v>2005</v>
      </c>
      <c r="AM119" t="s">
        <v>148</v>
      </c>
      <c r="AN119" t="s">
        <v>1831</v>
      </c>
      <c r="AO119" t="s">
        <v>162</v>
      </c>
      <c r="AP119" t="s">
        <v>169</v>
      </c>
      <c r="AQ119" t="s">
        <v>169</v>
      </c>
      <c r="AR119" t="s">
        <v>128</v>
      </c>
      <c r="AS119" t="s">
        <v>162</v>
      </c>
      <c r="AT119" t="s">
        <v>237</v>
      </c>
      <c r="AU119" t="s">
        <v>302</v>
      </c>
      <c r="AV119">
        <f>VLOOKUP(AnalizaCzyste[[#This Row],[w pierwszym roku po ukończeniu studiów : wybierz wartość z listy rozwijanej4]],Zarobki[],2,0)</f>
        <v>2500</v>
      </c>
      <c r="AW119" t="s">
        <v>153</v>
      </c>
      <c r="AX119">
        <f>VLOOKUP(AnalizaCzyste[[#This Row],[w 3 lata po ukończeniu studiów : wybierz wartość z listy rozwijanej5]],Zarobki[],2,0)</f>
        <v>3500</v>
      </c>
      <c r="AY119" t="s">
        <v>1832</v>
      </c>
      <c r="AZ119" t="s">
        <v>1833</v>
      </c>
      <c r="BA119" t="s">
        <v>1834</v>
      </c>
      <c r="BC119" t="s">
        <v>158</v>
      </c>
      <c r="BD119" s="1" t="s">
        <v>123</v>
      </c>
      <c r="CX119" s="1" t="s">
        <v>123</v>
      </c>
      <c r="DH119" s="1" t="s">
        <v>214</v>
      </c>
      <c r="DI119" t="s">
        <v>191</v>
      </c>
      <c r="DJ119" t="s">
        <v>2277</v>
      </c>
      <c r="DK119" t="s">
        <v>150</v>
      </c>
      <c r="DL119" t="s">
        <v>150</v>
      </c>
      <c r="DM119" t="s">
        <v>151</v>
      </c>
      <c r="DN119" t="s">
        <v>150</v>
      </c>
      <c r="DO119" t="s">
        <v>169</v>
      </c>
      <c r="DP119" t="s">
        <v>169</v>
      </c>
      <c r="DQ119" t="s">
        <v>1836</v>
      </c>
      <c r="DR119" s="1" t="s">
        <v>123</v>
      </c>
      <c r="EU119" s="1" t="s">
        <v>123</v>
      </c>
      <c r="FU119" s="1" t="s">
        <v>123</v>
      </c>
      <c r="HC119" t="s">
        <v>1837</v>
      </c>
      <c r="HD119" t="s">
        <v>1838</v>
      </c>
      <c r="HE119" t="s">
        <v>1839</v>
      </c>
      <c r="HF119" t="s">
        <v>140</v>
      </c>
      <c r="HG119">
        <v>1981</v>
      </c>
      <c r="HH119" t="str">
        <f>VLOOKUP(AnalizaCzyste[[#This Row],[Rok urodzenia]],KategorieWiekowe[],2,1)</f>
        <v>36–45 lat</v>
      </c>
      <c r="HI119" t="s">
        <v>141</v>
      </c>
      <c r="HK119" t="s">
        <v>1840</v>
      </c>
    </row>
    <row r="120" spans="1:221" x14ac:dyDescent="0.45">
      <c r="A120">
        <v>227</v>
      </c>
      <c r="B120">
        <f>_xlfn.IFNA(VLOOKUP(AnalizaCzyste[[#This Row],[Zakończono wypełnianie]],Zakończone[],2,0),"BRAK")</f>
        <v>123</v>
      </c>
      <c r="C120">
        <f t="shared" si="3"/>
        <v>39</v>
      </c>
      <c r="D120" t="s">
        <v>1845</v>
      </c>
      <c r="E120" t="s">
        <v>118</v>
      </c>
      <c r="J120" t="s">
        <v>119</v>
      </c>
      <c r="K120" t="s">
        <v>1846</v>
      </c>
      <c r="L120" t="s">
        <v>1847</v>
      </c>
      <c r="M120">
        <v>790</v>
      </c>
      <c r="O120">
        <v>0</v>
      </c>
      <c r="P120" t="s">
        <v>122</v>
      </c>
      <c r="Q120" s="1" t="s">
        <v>123</v>
      </c>
      <c r="AG120" s="1" t="s">
        <v>124</v>
      </c>
      <c r="AH120" t="s">
        <v>223</v>
      </c>
      <c r="AI120" t="str">
        <f>VLOOKUP(AnalizaCzyste[[#This Row],[Jak się nazywa uczelnia którą ukończyłeś? (proszę o wybranie jednej uczelni podlegającej ocenie)]],KategorieUczelni[],2,0)</f>
        <v>Publiczna</v>
      </c>
      <c r="AJ120" t="str">
        <f>VLOOKUP(AnalizaCzyste[[#This Row],[Jak się nazywa uczelnia którą ukończyłeś? (proszę o wybranie jednej uczelni podlegającej ocenie)]],KategorieUczelni[],3,0)</f>
        <v>Nietechniczna</v>
      </c>
      <c r="AK120">
        <f>COUNTIF(AnalizaCzyste[[#This Row],[Czy jesteś absolwentem uczelni wyższej?]],"*"&amp;"Tak"&amp;"*")</f>
        <v>1</v>
      </c>
      <c r="AL120">
        <v>2018</v>
      </c>
      <c r="AM120" t="s">
        <v>148</v>
      </c>
      <c r="AN120" t="s">
        <v>461</v>
      </c>
      <c r="AO120" t="s">
        <v>162</v>
      </c>
      <c r="AP120" t="s">
        <v>162</v>
      </c>
      <c r="AQ120" t="s">
        <v>150</v>
      </c>
      <c r="AR120" t="s">
        <v>169</v>
      </c>
      <c r="AS120" t="s">
        <v>132</v>
      </c>
      <c r="AT120" t="s">
        <v>1848</v>
      </c>
      <c r="AU120" t="s">
        <v>302</v>
      </c>
      <c r="AV120">
        <f>VLOOKUP(AnalizaCzyste[[#This Row],[w pierwszym roku po ukończeniu studiów : wybierz wartość z listy rozwijanej4]],Zarobki[],2,0)</f>
        <v>2500</v>
      </c>
      <c r="AW120" t="s">
        <v>132</v>
      </c>
      <c r="AX120" t="str">
        <f>VLOOKUP(AnalizaCzyste[[#This Row],[w 3 lata po ukończeniu studiów : wybierz wartość z listy rozwijanej5]],Zarobki[],2,0)</f>
        <v>N/D</v>
      </c>
      <c r="AY120" t="s">
        <v>1849</v>
      </c>
      <c r="AZ120" t="s">
        <v>1850</v>
      </c>
      <c r="BA120" t="s">
        <v>1851</v>
      </c>
      <c r="BB120" t="s">
        <v>157</v>
      </c>
      <c r="BD120" s="1" t="s">
        <v>123</v>
      </c>
      <c r="CX120" s="1" t="s">
        <v>123</v>
      </c>
      <c r="DH120" s="1" t="s">
        <v>123</v>
      </c>
      <c r="DR120" s="1" t="s">
        <v>123</v>
      </c>
      <c r="EU120" s="1" t="s">
        <v>123</v>
      </c>
      <c r="FU120" s="1" t="s">
        <v>123</v>
      </c>
      <c r="HC120" t="s">
        <v>1852</v>
      </c>
      <c r="HD120" t="s">
        <v>1853</v>
      </c>
      <c r="HE120" t="s">
        <v>1854</v>
      </c>
      <c r="HF120" t="s">
        <v>140</v>
      </c>
      <c r="HG120">
        <v>1994</v>
      </c>
      <c r="HH120" t="str">
        <f>VLOOKUP(AnalizaCzyste[[#This Row],[Rok urodzenia]],KategorieWiekowe[],2,1)</f>
        <v>26–35 lat</v>
      </c>
      <c r="HI120" t="s">
        <v>141</v>
      </c>
      <c r="HJ120" t="s">
        <v>1855</v>
      </c>
      <c r="HK120" t="s">
        <v>1856</v>
      </c>
    </row>
    <row r="121" spans="1:221" x14ac:dyDescent="0.45">
      <c r="A121">
        <v>231</v>
      </c>
      <c r="B121">
        <f>_xlfn.IFNA(VLOOKUP(AnalizaCzyste[[#This Row],[Zakończono wypełnianie]],Zakończone[],2,0),"BRAK")</f>
        <v>124</v>
      </c>
      <c r="C121">
        <f t="shared" si="3"/>
        <v>37</v>
      </c>
      <c r="D121" t="s">
        <v>1864</v>
      </c>
      <c r="E121" t="s">
        <v>118</v>
      </c>
      <c r="F121" t="s">
        <v>359</v>
      </c>
      <c r="J121" t="s">
        <v>119</v>
      </c>
      <c r="K121" t="s">
        <v>1865</v>
      </c>
      <c r="L121" t="s">
        <v>1866</v>
      </c>
      <c r="M121">
        <v>607</v>
      </c>
      <c r="O121">
        <v>0</v>
      </c>
      <c r="P121" t="s">
        <v>122</v>
      </c>
      <c r="Q121" s="1" t="s">
        <v>123</v>
      </c>
      <c r="AG121" s="1" t="s">
        <v>124</v>
      </c>
      <c r="AH121" t="s">
        <v>191</v>
      </c>
      <c r="AI121" t="str">
        <f>VLOOKUP(AnalizaCzyste[[#This Row],[Jak się nazywa uczelnia którą ukończyłeś? (proszę o wybranie jednej uczelni podlegającej ocenie)]],KategorieUczelni[],2,0)</f>
        <v>Publiczna</v>
      </c>
      <c r="AJ121" t="str">
        <f>VLOOKUP(AnalizaCzyste[[#This Row],[Jak się nazywa uczelnia którą ukończyłeś? (proszę o wybranie jednej uczelni podlegającej ocenie)]],KategorieUczelni[],3,0)</f>
        <v>Techniczna</v>
      </c>
      <c r="AK121">
        <f>COUNTIF(AnalizaCzyste[[#This Row],[Czy jesteś absolwentem uczelni wyższej?]],"*"&amp;"Tak"&amp;"*")</f>
        <v>1</v>
      </c>
      <c r="AL121">
        <v>2015</v>
      </c>
      <c r="AM121" t="s">
        <v>148</v>
      </c>
      <c r="AN121" t="s">
        <v>1867</v>
      </c>
      <c r="AO121" t="s">
        <v>162</v>
      </c>
      <c r="AP121" t="s">
        <v>150</v>
      </c>
      <c r="AQ121" t="s">
        <v>169</v>
      </c>
      <c r="AR121" t="s">
        <v>151</v>
      </c>
      <c r="AS121" t="s">
        <v>162</v>
      </c>
      <c r="AT121" t="s">
        <v>1868</v>
      </c>
      <c r="AU121" t="s">
        <v>153</v>
      </c>
      <c r="AV121">
        <f>VLOOKUP(AnalizaCzyste[[#This Row],[w pierwszym roku po ukończeniu studiów : wybierz wartość z listy rozwijanej4]],Zarobki[],2,0)</f>
        <v>3500</v>
      </c>
      <c r="AW121" t="s">
        <v>226</v>
      </c>
      <c r="AX121">
        <f>VLOOKUP(AnalizaCzyste[[#This Row],[w 3 lata po ukończeniu studiów : wybierz wartość z listy rozwijanej5]],Zarobki[],2,0)</f>
        <v>4500</v>
      </c>
      <c r="AY121" t="s">
        <v>1869</v>
      </c>
      <c r="AZ121" t="s">
        <v>1870</v>
      </c>
      <c r="BA121" t="s">
        <v>1871</v>
      </c>
      <c r="BB121" t="s">
        <v>172</v>
      </c>
      <c r="BD121" s="1" t="s">
        <v>123</v>
      </c>
      <c r="CX121" s="1" t="s">
        <v>123</v>
      </c>
      <c r="DH121" s="1" t="s">
        <v>123</v>
      </c>
      <c r="DR121" s="1" t="s">
        <v>123</v>
      </c>
      <c r="EU121" s="1" t="s">
        <v>123</v>
      </c>
      <c r="FU121" s="1" t="s">
        <v>123</v>
      </c>
      <c r="HC121" t="s">
        <v>276</v>
      </c>
      <c r="HD121" t="s">
        <v>1872</v>
      </c>
      <c r="HE121" t="s">
        <v>1873</v>
      </c>
      <c r="HF121" t="s">
        <v>186</v>
      </c>
      <c r="HG121">
        <v>1991</v>
      </c>
      <c r="HH121" t="str">
        <f>VLOOKUP(AnalizaCzyste[[#This Row],[Rok urodzenia]],KategorieWiekowe[],2,1)</f>
        <v>26–35 lat</v>
      </c>
      <c r="HI121" t="s">
        <v>398</v>
      </c>
    </row>
    <row r="122" spans="1:221" x14ac:dyDescent="0.45">
      <c r="A122">
        <v>233</v>
      </c>
      <c r="B122">
        <f>_xlfn.IFNA(VLOOKUP(AnalizaCzyste[[#This Row],[Zakończono wypełnianie]],Zakończone[],2,0),"BRAK")</f>
        <v>125</v>
      </c>
      <c r="C122">
        <f t="shared" si="3"/>
        <v>50</v>
      </c>
      <c r="D122" t="s">
        <v>1880</v>
      </c>
      <c r="E122" t="s">
        <v>118</v>
      </c>
      <c r="F122" t="s">
        <v>359</v>
      </c>
      <c r="J122" t="s">
        <v>119</v>
      </c>
      <c r="K122" t="s">
        <v>1881</v>
      </c>
      <c r="L122" t="s">
        <v>1882</v>
      </c>
      <c r="M122">
        <v>627</v>
      </c>
      <c r="O122">
        <v>0</v>
      </c>
      <c r="P122" t="s">
        <v>122</v>
      </c>
      <c r="Q122" s="1" t="s">
        <v>123</v>
      </c>
      <c r="AG122" s="1" t="s">
        <v>124</v>
      </c>
      <c r="AH122" s="20" t="s">
        <v>191</v>
      </c>
      <c r="AI122" s="20" t="str">
        <f>VLOOKUP(AnalizaCzyste[[#This Row],[Jak się nazywa uczelnia którą ukończyłeś? (proszę o wybranie jednej uczelni podlegającej ocenie)]],KategorieUczelni[],2,0)</f>
        <v>Publiczna</v>
      </c>
      <c r="AJ122" s="20" t="str">
        <f>VLOOKUP(AnalizaCzyste[[#This Row],[Jak się nazywa uczelnia którą ukończyłeś? (proszę o wybranie jednej uczelni podlegającej ocenie)]],KategorieUczelni[],3,0)</f>
        <v>Techniczna</v>
      </c>
      <c r="AK122" s="20">
        <f>COUNTIF(AnalizaCzyste[[#This Row],[Czy jesteś absolwentem uczelni wyższej?]],"*"&amp;"Tak"&amp;"*")</f>
        <v>1</v>
      </c>
      <c r="AL122">
        <v>2011</v>
      </c>
      <c r="AM122" t="s">
        <v>126</v>
      </c>
      <c r="AN122" t="s">
        <v>1883</v>
      </c>
      <c r="AO122" t="s">
        <v>169</v>
      </c>
      <c r="AP122" t="s">
        <v>169</v>
      </c>
      <c r="AQ122" t="s">
        <v>169</v>
      </c>
      <c r="AR122" t="s">
        <v>151</v>
      </c>
      <c r="AS122" t="s">
        <v>150</v>
      </c>
      <c r="AT122" t="s">
        <v>1884</v>
      </c>
      <c r="AU122" t="s">
        <v>131</v>
      </c>
      <c r="AV122">
        <f>VLOOKUP(AnalizaCzyste[[#This Row],[w pierwszym roku po ukończeniu studiów : wybierz wartość z listy rozwijanej4]],Zarobki[],2,0)</f>
        <v>1500</v>
      </c>
      <c r="AW122" t="s">
        <v>153</v>
      </c>
      <c r="AX122">
        <f>VLOOKUP(AnalizaCzyste[[#This Row],[w 3 lata po ukończeniu studiów : wybierz wartość z listy rozwijanej5]],Zarobki[],2,0)</f>
        <v>3500</v>
      </c>
      <c r="AY122" t="s">
        <v>1885</v>
      </c>
      <c r="AZ122" t="s">
        <v>1886</v>
      </c>
      <c r="BA122" t="s">
        <v>1887</v>
      </c>
      <c r="BB122" t="s">
        <v>157</v>
      </c>
      <c r="BC122" t="s">
        <v>1888</v>
      </c>
      <c r="BD122" s="1" t="s">
        <v>123</v>
      </c>
      <c r="CX122" s="1" t="s">
        <v>123</v>
      </c>
      <c r="DH122" s="1" t="s">
        <v>123</v>
      </c>
      <c r="DR122" s="1" t="s">
        <v>123</v>
      </c>
      <c r="EU122" s="1" t="s">
        <v>177</v>
      </c>
      <c r="EV122" t="s">
        <v>180</v>
      </c>
      <c r="EW122" t="s">
        <v>132</v>
      </c>
      <c r="EX122" t="s">
        <v>1889</v>
      </c>
      <c r="EY122" t="s">
        <v>132</v>
      </c>
      <c r="EZ122" t="s">
        <v>132</v>
      </c>
      <c r="FA122" t="s">
        <v>132</v>
      </c>
      <c r="FB122" t="s">
        <v>180</v>
      </c>
      <c r="FC122" t="s">
        <v>1889</v>
      </c>
      <c r="FD122" t="s">
        <v>1889</v>
      </c>
      <c r="FE122" t="s">
        <v>173</v>
      </c>
      <c r="FU122" s="1" t="s">
        <v>123</v>
      </c>
      <c r="HC122" t="s">
        <v>1889</v>
      </c>
      <c r="HD122" t="s">
        <v>1889</v>
      </c>
      <c r="HE122" t="s">
        <v>1889</v>
      </c>
      <c r="HF122" t="s">
        <v>140</v>
      </c>
      <c r="HG122">
        <v>1987</v>
      </c>
      <c r="HH122" t="str">
        <f>VLOOKUP(AnalizaCzyste[[#This Row],[Rok urodzenia]],KategorieWiekowe[],2,1)</f>
        <v>26–35 lat</v>
      </c>
      <c r="HI122" t="s">
        <v>220</v>
      </c>
      <c r="HK122" t="s">
        <v>1889</v>
      </c>
      <c r="HL122" t="s">
        <v>1889</v>
      </c>
    </row>
    <row r="123" spans="1:221" x14ac:dyDescent="0.45">
      <c r="A123">
        <v>234</v>
      </c>
      <c r="B123">
        <f>_xlfn.IFNA(VLOOKUP(AnalizaCzyste[[#This Row],[Zakończono wypełnianie]],Zakończone[],2,0),"BRAK")</f>
        <v>126</v>
      </c>
      <c r="C123">
        <f t="shared" si="3"/>
        <v>36</v>
      </c>
      <c r="D123" t="s">
        <v>1890</v>
      </c>
      <c r="E123" t="s">
        <v>118</v>
      </c>
      <c r="J123" t="s">
        <v>119</v>
      </c>
      <c r="K123" t="s">
        <v>1891</v>
      </c>
      <c r="L123" t="s">
        <v>1892</v>
      </c>
      <c r="M123">
        <v>680</v>
      </c>
      <c r="O123">
        <v>0</v>
      </c>
      <c r="P123" t="s">
        <v>122</v>
      </c>
      <c r="Q123" s="1" t="s">
        <v>123</v>
      </c>
      <c r="AG123" s="1" t="s">
        <v>124</v>
      </c>
      <c r="AH123" t="s">
        <v>191</v>
      </c>
      <c r="AI123" t="str">
        <f>VLOOKUP(AnalizaCzyste[[#This Row],[Jak się nazywa uczelnia którą ukończyłeś? (proszę o wybranie jednej uczelni podlegającej ocenie)]],KategorieUczelni[],2,0)</f>
        <v>Publiczna</v>
      </c>
      <c r="AJ123" t="str">
        <f>VLOOKUP(AnalizaCzyste[[#This Row],[Jak się nazywa uczelnia którą ukończyłeś? (proszę o wybranie jednej uczelni podlegającej ocenie)]],KategorieUczelni[],3,0)</f>
        <v>Techniczna</v>
      </c>
      <c r="AK123">
        <f>COUNTIF(AnalizaCzyste[[#This Row],[Czy jesteś absolwentem uczelni wyższej?]],"*"&amp;"Tak"&amp;"*")</f>
        <v>1</v>
      </c>
      <c r="AL123">
        <v>2016</v>
      </c>
      <c r="AM123" t="s">
        <v>126</v>
      </c>
      <c r="AN123" t="s">
        <v>1893</v>
      </c>
      <c r="AO123" t="s">
        <v>150</v>
      </c>
      <c r="AP123" t="s">
        <v>150</v>
      </c>
      <c r="AQ123" t="s">
        <v>150</v>
      </c>
      <c r="AR123" t="s">
        <v>128</v>
      </c>
      <c r="AS123" t="s">
        <v>150</v>
      </c>
      <c r="AT123" t="s">
        <v>530</v>
      </c>
      <c r="AU123" t="s">
        <v>302</v>
      </c>
      <c r="AV123">
        <f>VLOOKUP(AnalizaCzyste[[#This Row],[w pierwszym roku po ukończeniu studiów : wybierz wartość z listy rozwijanej4]],Zarobki[],2,0)</f>
        <v>2500</v>
      </c>
      <c r="AW123" t="s">
        <v>226</v>
      </c>
      <c r="AX123">
        <f>VLOOKUP(AnalizaCzyste[[#This Row],[w 3 lata po ukończeniu studiów : wybierz wartość z listy rozwijanej5]],Zarobki[],2,0)</f>
        <v>4500</v>
      </c>
      <c r="AZ123" t="s">
        <v>1894</v>
      </c>
      <c r="BA123" t="s">
        <v>1895</v>
      </c>
      <c r="BB123" t="s">
        <v>157</v>
      </c>
      <c r="BD123" s="1" t="s">
        <v>123</v>
      </c>
      <c r="CX123" s="1" t="s">
        <v>123</v>
      </c>
      <c r="DH123" s="1" t="s">
        <v>123</v>
      </c>
      <c r="DR123" s="1" t="s">
        <v>123</v>
      </c>
      <c r="EU123" s="1" t="s">
        <v>123</v>
      </c>
      <c r="FU123" s="1" t="s">
        <v>123</v>
      </c>
      <c r="HC123" t="s">
        <v>1896</v>
      </c>
      <c r="HD123" t="s">
        <v>1897</v>
      </c>
      <c r="HE123" t="s">
        <v>1898</v>
      </c>
      <c r="HF123" t="s">
        <v>140</v>
      </c>
      <c r="HG123">
        <v>1991</v>
      </c>
      <c r="HH123" t="str">
        <f>VLOOKUP(AnalizaCzyste[[#This Row],[Rok urodzenia]],KategorieWiekowe[],2,1)</f>
        <v>26–35 lat</v>
      </c>
      <c r="HI123" t="s">
        <v>398</v>
      </c>
    </row>
    <row r="124" spans="1:221" x14ac:dyDescent="0.45">
      <c r="A124">
        <v>235</v>
      </c>
      <c r="B124">
        <f>_xlfn.IFNA(VLOOKUP(AnalizaCzyste[[#This Row],[Zakończono wypełnianie]],Zakończone[],2,0),"BRAK")</f>
        <v>127</v>
      </c>
      <c r="C124">
        <f t="shared" si="3"/>
        <v>39</v>
      </c>
      <c r="D124" t="s">
        <v>1899</v>
      </c>
      <c r="E124" t="s">
        <v>118</v>
      </c>
      <c r="F124" t="s">
        <v>359</v>
      </c>
      <c r="J124" t="s">
        <v>119</v>
      </c>
      <c r="K124" t="s">
        <v>1900</v>
      </c>
      <c r="L124" t="s">
        <v>1901</v>
      </c>
      <c r="M124">
        <v>650</v>
      </c>
      <c r="O124">
        <v>0</v>
      </c>
      <c r="P124" t="s">
        <v>122</v>
      </c>
      <c r="Q124" s="1" t="s">
        <v>123</v>
      </c>
      <c r="AG124" s="1" t="s">
        <v>124</v>
      </c>
      <c r="AH124" t="s">
        <v>223</v>
      </c>
      <c r="AI124" t="str">
        <f>VLOOKUP(AnalizaCzyste[[#This Row],[Jak się nazywa uczelnia którą ukończyłeś? (proszę o wybranie jednej uczelni podlegającej ocenie)]],KategorieUczelni[],2,0)</f>
        <v>Publiczna</v>
      </c>
      <c r="AJ124" t="str">
        <f>VLOOKUP(AnalizaCzyste[[#This Row],[Jak się nazywa uczelnia którą ukończyłeś? (proszę o wybranie jednej uczelni podlegającej ocenie)]],KategorieUczelni[],3,0)</f>
        <v>Nietechniczna</v>
      </c>
      <c r="AK124">
        <f>COUNTIF(AnalizaCzyste[[#This Row],[Czy jesteś absolwentem uczelni wyższej?]],"*"&amp;"Tak"&amp;"*")</f>
        <v>1</v>
      </c>
      <c r="AL124">
        <v>2009</v>
      </c>
      <c r="AM124" t="s">
        <v>148</v>
      </c>
      <c r="AN124" t="s">
        <v>1666</v>
      </c>
      <c r="AO124" t="s">
        <v>162</v>
      </c>
      <c r="AP124" t="s">
        <v>151</v>
      </c>
      <c r="AQ124" t="s">
        <v>236</v>
      </c>
      <c r="AR124" t="s">
        <v>236</v>
      </c>
      <c r="AS124" t="s">
        <v>128</v>
      </c>
      <c r="AT124">
        <v>9</v>
      </c>
      <c r="AU124" t="s">
        <v>131</v>
      </c>
      <c r="AV124">
        <f>VLOOKUP(AnalizaCzyste[[#This Row],[w pierwszym roku po ukończeniu studiów : wybierz wartość z listy rozwijanej4]],Zarobki[],2,0)</f>
        <v>1500</v>
      </c>
      <c r="AW124" t="s">
        <v>153</v>
      </c>
      <c r="AX124">
        <f>VLOOKUP(AnalizaCzyste[[#This Row],[w 3 lata po ukończeniu studiów : wybierz wartość z listy rozwijanej5]],Zarobki[],2,0)</f>
        <v>3500</v>
      </c>
      <c r="AY124" t="s">
        <v>1902</v>
      </c>
      <c r="AZ124" t="s">
        <v>1903</v>
      </c>
      <c r="BA124" t="s">
        <v>1904</v>
      </c>
      <c r="BC124" t="s">
        <v>1905</v>
      </c>
      <c r="BD124" s="1" t="s">
        <v>123</v>
      </c>
      <c r="CX124" s="1" t="s">
        <v>123</v>
      </c>
      <c r="DH124" s="1" t="s">
        <v>123</v>
      </c>
      <c r="DR124" s="1" t="s">
        <v>123</v>
      </c>
      <c r="EU124" s="1" t="s">
        <v>123</v>
      </c>
      <c r="FU124" s="1" t="s">
        <v>123</v>
      </c>
      <c r="HC124" t="s">
        <v>1906</v>
      </c>
      <c r="HD124" t="s">
        <v>1907</v>
      </c>
      <c r="HE124" t="s">
        <v>1908</v>
      </c>
      <c r="HF124" t="s">
        <v>140</v>
      </c>
      <c r="HG124">
        <v>1985</v>
      </c>
      <c r="HH124" t="str">
        <f>VLOOKUP(AnalizaCzyste[[#This Row],[Rok urodzenia]],KategorieWiekowe[],2,1)</f>
        <v>26–35 lat</v>
      </c>
      <c r="HI124" t="s">
        <v>141</v>
      </c>
      <c r="HK124" t="s">
        <v>142</v>
      </c>
      <c r="HL124" t="s">
        <v>1909</v>
      </c>
    </row>
    <row r="125" spans="1:221" x14ac:dyDescent="0.45">
      <c r="A125">
        <v>236</v>
      </c>
      <c r="B125">
        <f>_xlfn.IFNA(VLOOKUP(AnalizaCzyste[[#This Row],[Zakończono wypełnianie]],Zakończone[],2,0),"BRAK")</f>
        <v>128</v>
      </c>
      <c r="C125">
        <f t="shared" si="3"/>
        <v>40</v>
      </c>
      <c r="D125" t="s">
        <v>1910</v>
      </c>
      <c r="E125" t="s">
        <v>118</v>
      </c>
      <c r="F125" t="s">
        <v>1911</v>
      </c>
      <c r="J125" t="s">
        <v>119</v>
      </c>
      <c r="K125" t="s">
        <v>1912</v>
      </c>
      <c r="L125" t="s">
        <v>1913</v>
      </c>
      <c r="M125">
        <v>1026</v>
      </c>
      <c r="O125">
        <v>0</v>
      </c>
      <c r="P125" t="s">
        <v>122</v>
      </c>
      <c r="Q125" s="1" t="s">
        <v>123</v>
      </c>
      <c r="AG125" s="1" t="s">
        <v>124</v>
      </c>
      <c r="AH125" t="s">
        <v>191</v>
      </c>
      <c r="AI125" t="str">
        <f>VLOOKUP(AnalizaCzyste[[#This Row],[Jak się nazywa uczelnia którą ukończyłeś? (proszę o wybranie jednej uczelni podlegającej ocenie)]],KategorieUczelni[],2,0)</f>
        <v>Publiczna</v>
      </c>
      <c r="AJ125" t="str">
        <f>VLOOKUP(AnalizaCzyste[[#This Row],[Jak się nazywa uczelnia którą ukończyłeś? (proszę o wybranie jednej uczelni podlegającej ocenie)]],KategorieUczelni[],3,0)</f>
        <v>Techniczna</v>
      </c>
      <c r="AK125">
        <f>COUNTIF(AnalizaCzyste[[#This Row],[Czy jesteś absolwentem uczelni wyższej?]],"*"&amp;"Tak"&amp;"*")</f>
        <v>1</v>
      </c>
      <c r="AL125">
        <v>2011</v>
      </c>
      <c r="AM125" t="s">
        <v>126</v>
      </c>
      <c r="AN125" t="s">
        <v>1914</v>
      </c>
      <c r="AO125" t="s">
        <v>150</v>
      </c>
      <c r="AP125" t="s">
        <v>162</v>
      </c>
      <c r="AQ125" t="s">
        <v>150</v>
      </c>
      <c r="AR125" t="s">
        <v>151</v>
      </c>
      <c r="AS125" t="s">
        <v>169</v>
      </c>
      <c r="AT125" t="s">
        <v>1362</v>
      </c>
      <c r="AU125" t="s">
        <v>131</v>
      </c>
      <c r="AV125">
        <f>VLOOKUP(AnalizaCzyste[[#This Row],[w pierwszym roku po ukończeniu studiów : wybierz wartość z listy rozwijanej4]],Zarobki[],2,0)</f>
        <v>1500</v>
      </c>
      <c r="AW125" t="s">
        <v>759</v>
      </c>
      <c r="AX125">
        <f>VLOOKUP(AnalizaCzyste[[#This Row],[w 3 lata po ukończeniu studiów : wybierz wartość z listy rozwijanej5]],Zarobki[],2,0)</f>
        <v>5500</v>
      </c>
      <c r="AY125" t="s">
        <v>1915</v>
      </c>
      <c r="AZ125" t="s">
        <v>1916</v>
      </c>
      <c r="BA125" t="s">
        <v>1917</v>
      </c>
      <c r="BC125" t="s">
        <v>1918</v>
      </c>
      <c r="BD125" s="1" t="s">
        <v>123</v>
      </c>
      <c r="CX125" s="1" t="s">
        <v>123</v>
      </c>
      <c r="DH125" s="1" t="s">
        <v>123</v>
      </c>
      <c r="DR125" s="1" t="s">
        <v>123</v>
      </c>
      <c r="EU125" s="1" t="s">
        <v>123</v>
      </c>
      <c r="FU125" s="1" t="s">
        <v>123</v>
      </c>
      <c r="HC125" t="s">
        <v>1919</v>
      </c>
      <c r="HD125" t="s">
        <v>1920</v>
      </c>
      <c r="HE125" t="s">
        <v>1921</v>
      </c>
      <c r="HF125" t="s">
        <v>140</v>
      </c>
      <c r="HG125">
        <v>1987</v>
      </c>
      <c r="HH125" t="str">
        <f>VLOOKUP(AnalizaCzyste[[#This Row],[Rok urodzenia]],KategorieWiekowe[],2,1)</f>
        <v>26–35 lat</v>
      </c>
      <c r="HI125" t="s">
        <v>220</v>
      </c>
      <c r="HK125" t="s">
        <v>1922</v>
      </c>
      <c r="HL125" t="s">
        <v>1923</v>
      </c>
      <c r="HM125" t="s">
        <v>1924</v>
      </c>
    </row>
    <row r="126" spans="1:221" x14ac:dyDescent="0.45">
      <c r="A126">
        <v>238</v>
      </c>
      <c r="B126">
        <f>_xlfn.IFNA(VLOOKUP(AnalizaCzyste[[#This Row],[Zakończono wypełnianie]],Zakończone[],2,0),"BRAK")</f>
        <v>129</v>
      </c>
      <c r="C126">
        <f t="shared" si="3"/>
        <v>38</v>
      </c>
      <c r="D126" t="s">
        <v>1142</v>
      </c>
      <c r="E126" t="s">
        <v>118</v>
      </c>
      <c r="F126" t="s">
        <v>1927</v>
      </c>
      <c r="J126" t="s">
        <v>119</v>
      </c>
      <c r="K126" t="s">
        <v>1928</v>
      </c>
      <c r="L126" t="s">
        <v>1929</v>
      </c>
      <c r="M126">
        <v>1449</v>
      </c>
      <c r="O126">
        <v>0</v>
      </c>
      <c r="P126" t="s">
        <v>122</v>
      </c>
      <c r="Q126" s="1" t="s">
        <v>123</v>
      </c>
      <c r="AG126" s="1" t="s">
        <v>124</v>
      </c>
      <c r="AH126" t="s">
        <v>2270</v>
      </c>
      <c r="AI126" t="str">
        <f>VLOOKUP(AnalizaCzyste[[#This Row],[Jak się nazywa uczelnia którą ukończyłeś? (proszę o wybranie jednej uczelni podlegającej ocenie)]],KategorieUczelni[],2,0)</f>
        <v>Publiczna</v>
      </c>
      <c r="AJ126" t="str">
        <f>VLOOKUP(AnalizaCzyste[[#This Row],[Jak się nazywa uczelnia którą ukończyłeś? (proszę o wybranie jednej uczelni podlegającej ocenie)]],KategorieUczelni[],3,0)</f>
        <v>Nietechniczna</v>
      </c>
      <c r="AK126">
        <f>COUNTIF(AnalizaCzyste[[#This Row],[Czy jesteś absolwentem uczelni wyższej?]],"*"&amp;"Tak"&amp;"*")</f>
        <v>1</v>
      </c>
      <c r="AL126">
        <v>2007</v>
      </c>
      <c r="AM126" t="s">
        <v>126</v>
      </c>
      <c r="AN126" t="s">
        <v>1931</v>
      </c>
      <c r="AO126" t="s">
        <v>162</v>
      </c>
      <c r="AP126" t="s">
        <v>162</v>
      </c>
      <c r="AQ126" t="s">
        <v>169</v>
      </c>
      <c r="AR126" t="s">
        <v>169</v>
      </c>
      <c r="AS126" t="s">
        <v>169</v>
      </c>
      <c r="AT126" t="s">
        <v>1932</v>
      </c>
      <c r="AU126" t="s">
        <v>302</v>
      </c>
      <c r="AV126">
        <f>VLOOKUP(AnalizaCzyste[[#This Row],[w pierwszym roku po ukończeniu studiów : wybierz wartość z listy rozwijanej4]],Zarobki[],2,0)</f>
        <v>2500</v>
      </c>
      <c r="AW126" t="s">
        <v>153</v>
      </c>
      <c r="AX126">
        <f>VLOOKUP(AnalizaCzyste[[#This Row],[w 3 lata po ukończeniu studiów : wybierz wartość z listy rozwijanej5]],Zarobki[],2,0)</f>
        <v>3500</v>
      </c>
      <c r="AY126" t="s">
        <v>1933</v>
      </c>
      <c r="AZ126" t="s">
        <v>1934</v>
      </c>
      <c r="BA126" t="s">
        <v>1935</v>
      </c>
      <c r="BC126" t="s">
        <v>1936</v>
      </c>
      <c r="BD126" s="1" t="s">
        <v>123</v>
      </c>
      <c r="CX126" s="1" t="s">
        <v>123</v>
      </c>
      <c r="DH126" s="1" t="s">
        <v>123</v>
      </c>
      <c r="DR126" s="1" t="s">
        <v>123</v>
      </c>
      <c r="EU126" s="1" t="s">
        <v>123</v>
      </c>
      <c r="FU126" s="1" t="s">
        <v>123</v>
      </c>
      <c r="HC126" t="s">
        <v>1937</v>
      </c>
      <c r="HD126" t="s">
        <v>1938</v>
      </c>
      <c r="HE126" t="s">
        <v>1939</v>
      </c>
      <c r="HF126" t="s">
        <v>186</v>
      </c>
      <c r="HG126" s="42">
        <v>1995</v>
      </c>
      <c r="HH126" t="str">
        <f>VLOOKUP(AnalizaCzyste[[#This Row],[Rok urodzenia]],KategorieWiekowe[],2,1)</f>
        <v>poniżej 26 lat</v>
      </c>
      <c r="HI126" t="s">
        <v>398</v>
      </c>
      <c r="HK126" t="s">
        <v>1940</v>
      </c>
    </row>
    <row r="127" spans="1:221" x14ac:dyDescent="0.45">
      <c r="A127">
        <v>243</v>
      </c>
      <c r="B127">
        <f>_xlfn.IFNA(VLOOKUP(AnalizaCzyste[[#This Row],[Zakończono wypełnianie]],Zakończone[],2,0),"BRAK")</f>
        <v>130</v>
      </c>
      <c r="C127">
        <f t="shared" si="3"/>
        <v>39</v>
      </c>
      <c r="D127" t="s">
        <v>1951</v>
      </c>
      <c r="E127" t="s">
        <v>118</v>
      </c>
      <c r="J127" t="s">
        <v>119</v>
      </c>
      <c r="K127" t="s">
        <v>1952</v>
      </c>
      <c r="L127" t="s">
        <v>1953</v>
      </c>
      <c r="M127">
        <v>942</v>
      </c>
      <c r="O127">
        <v>0</v>
      </c>
      <c r="P127" t="s">
        <v>122</v>
      </c>
      <c r="Q127" s="1" t="s">
        <v>123</v>
      </c>
      <c r="AG127" s="1" t="s">
        <v>124</v>
      </c>
      <c r="AH127" t="s">
        <v>223</v>
      </c>
      <c r="AI127" t="str">
        <f>VLOOKUP(AnalizaCzyste[[#This Row],[Jak się nazywa uczelnia którą ukończyłeś? (proszę o wybranie jednej uczelni podlegającej ocenie)]],KategorieUczelni[],2,0)</f>
        <v>Publiczna</v>
      </c>
      <c r="AJ127" t="str">
        <f>VLOOKUP(AnalizaCzyste[[#This Row],[Jak się nazywa uczelnia którą ukończyłeś? (proszę o wybranie jednej uczelni podlegającej ocenie)]],KategorieUczelni[],3,0)</f>
        <v>Nietechniczna</v>
      </c>
      <c r="AK127">
        <f>COUNTIF(AnalizaCzyste[[#This Row],[Czy jesteś absolwentem uczelni wyższej?]],"*"&amp;"Tak"&amp;"*")</f>
        <v>1</v>
      </c>
      <c r="AL127">
        <v>2012</v>
      </c>
      <c r="AM127" t="s">
        <v>148</v>
      </c>
      <c r="AN127" t="s">
        <v>161</v>
      </c>
      <c r="AO127" t="s">
        <v>128</v>
      </c>
      <c r="AP127" t="s">
        <v>162</v>
      </c>
      <c r="AQ127" t="s">
        <v>128</v>
      </c>
      <c r="AR127" t="s">
        <v>128</v>
      </c>
      <c r="AS127" t="s">
        <v>236</v>
      </c>
      <c r="AT127" t="s">
        <v>530</v>
      </c>
      <c r="AU127" t="s">
        <v>302</v>
      </c>
      <c r="AV127">
        <f>VLOOKUP(AnalizaCzyste[[#This Row],[w pierwszym roku po ukończeniu studiów : wybierz wartość z listy rozwijanej4]],Zarobki[],2,0)</f>
        <v>2500</v>
      </c>
      <c r="AW127" t="s">
        <v>131</v>
      </c>
      <c r="AX127">
        <f>VLOOKUP(AnalizaCzyste[[#This Row],[w 3 lata po ukończeniu studiów : wybierz wartość z listy rozwijanej5]],Zarobki[],2,0)</f>
        <v>1500</v>
      </c>
      <c r="AY127" t="s">
        <v>1955</v>
      </c>
      <c r="AZ127" t="s">
        <v>1956</v>
      </c>
      <c r="BA127" t="s">
        <v>1957</v>
      </c>
      <c r="BB127" t="s">
        <v>157</v>
      </c>
      <c r="BD127" s="1" t="s">
        <v>123</v>
      </c>
      <c r="CX127" s="1" t="s">
        <v>123</v>
      </c>
      <c r="DH127" s="1" t="s">
        <v>123</v>
      </c>
      <c r="DR127" s="1" t="s">
        <v>123</v>
      </c>
      <c r="EU127" s="1" t="s">
        <v>123</v>
      </c>
      <c r="FU127" s="1" t="s">
        <v>123</v>
      </c>
      <c r="HC127" t="s">
        <v>1958</v>
      </c>
      <c r="HD127" t="s">
        <v>1959</v>
      </c>
      <c r="HE127" t="s">
        <v>1960</v>
      </c>
      <c r="HF127" t="s">
        <v>140</v>
      </c>
      <c r="HG127">
        <v>1986</v>
      </c>
      <c r="HH127" t="str">
        <f>VLOOKUP(AnalizaCzyste[[#This Row],[Rok urodzenia]],KategorieWiekowe[],2,1)</f>
        <v>26–35 lat</v>
      </c>
      <c r="HI127" t="s">
        <v>1630</v>
      </c>
      <c r="HK127" t="s">
        <v>1961</v>
      </c>
      <c r="HL127" t="s">
        <v>142</v>
      </c>
    </row>
    <row r="128" spans="1:221" x14ac:dyDescent="0.45">
      <c r="A128">
        <v>245</v>
      </c>
      <c r="B128">
        <f>_xlfn.IFNA(VLOOKUP(AnalizaCzyste[[#This Row],[Zakończono wypełnianie]],Zakończone[],2,0),"BRAK")</f>
        <v>131</v>
      </c>
      <c r="C128">
        <f t="shared" si="3"/>
        <v>38</v>
      </c>
      <c r="D128" t="s">
        <v>1965</v>
      </c>
      <c r="E128" t="s">
        <v>118</v>
      </c>
      <c r="F128" t="s">
        <v>1966</v>
      </c>
      <c r="J128" t="s">
        <v>119</v>
      </c>
      <c r="K128" t="s">
        <v>1967</v>
      </c>
      <c r="L128" t="s">
        <v>1968</v>
      </c>
      <c r="M128">
        <v>504</v>
      </c>
      <c r="O128">
        <v>0</v>
      </c>
      <c r="P128" t="s">
        <v>122</v>
      </c>
      <c r="Q128" s="1" t="s">
        <v>123</v>
      </c>
      <c r="AG128" s="1" t="s">
        <v>124</v>
      </c>
      <c r="AH128" t="s">
        <v>191</v>
      </c>
      <c r="AI128" t="str">
        <f>VLOOKUP(AnalizaCzyste[[#This Row],[Jak się nazywa uczelnia którą ukończyłeś? (proszę o wybranie jednej uczelni podlegającej ocenie)]],KategorieUczelni[],2,0)</f>
        <v>Publiczna</v>
      </c>
      <c r="AJ128" t="str">
        <f>VLOOKUP(AnalizaCzyste[[#This Row],[Jak się nazywa uczelnia którą ukończyłeś? (proszę o wybranie jednej uczelni podlegającej ocenie)]],KategorieUczelni[],3,0)</f>
        <v>Techniczna</v>
      </c>
      <c r="AK128">
        <f>COUNTIF(AnalizaCzyste[[#This Row],[Czy jesteś absolwentem uczelni wyższej?]],"*"&amp;"Tak"&amp;"*")</f>
        <v>1</v>
      </c>
      <c r="AL128">
        <v>2003</v>
      </c>
      <c r="AM128" t="s">
        <v>126</v>
      </c>
      <c r="AN128" t="s">
        <v>127</v>
      </c>
      <c r="AO128" t="s">
        <v>150</v>
      </c>
      <c r="AP128" t="s">
        <v>150</v>
      </c>
      <c r="AQ128" t="s">
        <v>162</v>
      </c>
      <c r="AR128" t="s">
        <v>151</v>
      </c>
      <c r="AS128" t="s">
        <v>151</v>
      </c>
      <c r="AT128" t="s">
        <v>237</v>
      </c>
      <c r="AU128" t="s">
        <v>152</v>
      </c>
      <c r="AV128">
        <f>VLOOKUP(AnalizaCzyste[[#This Row],[w pierwszym roku po ukończeniu studiów : wybierz wartość z listy rozwijanej4]],Zarobki[],2,0)</f>
        <v>500</v>
      </c>
      <c r="AW128" t="s">
        <v>131</v>
      </c>
      <c r="AX128">
        <f>VLOOKUP(AnalizaCzyste[[#This Row],[w 3 lata po ukończeniu studiów : wybierz wartość z listy rozwijanej5]],Zarobki[],2,0)</f>
        <v>1500</v>
      </c>
      <c r="AY128" t="s">
        <v>1969</v>
      </c>
      <c r="AZ128" t="s">
        <v>1970</v>
      </c>
      <c r="BA128" t="s">
        <v>1971</v>
      </c>
      <c r="BB128" t="s">
        <v>157</v>
      </c>
      <c r="BC128" t="s">
        <v>1972</v>
      </c>
      <c r="BD128" s="1" t="s">
        <v>123</v>
      </c>
      <c r="CX128" s="1" t="s">
        <v>123</v>
      </c>
      <c r="DH128" s="1" t="s">
        <v>123</v>
      </c>
      <c r="DR128" s="1" t="s">
        <v>123</v>
      </c>
      <c r="EU128" s="1" t="s">
        <v>123</v>
      </c>
      <c r="FU128" s="1" t="s">
        <v>123</v>
      </c>
      <c r="HC128" t="s">
        <v>1973</v>
      </c>
      <c r="HD128" t="s">
        <v>1363</v>
      </c>
      <c r="HE128" t="s">
        <v>1974</v>
      </c>
      <c r="HF128" t="s">
        <v>140</v>
      </c>
      <c r="HG128">
        <v>1979</v>
      </c>
      <c r="HH128" t="str">
        <f>VLOOKUP(AnalizaCzyste[[#This Row],[Rok urodzenia]],KategorieWiekowe[],2,1)</f>
        <v>36–45 lat</v>
      </c>
      <c r="HI128" t="s">
        <v>141</v>
      </c>
    </row>
    <row r="129" spans="1:221" hidden="1" x14ac:dyDescent="0.45">
      <c r="A129">
        <v>248</v>
      </c>
      <c r="B129">
        <f>_xlfn.IFNA(VLOOKUP(AnalizaCzyste[[#This Row],[Zakończono wypełnianie]],Zakończone[],2,0),"BRAK")</f>
        <v>133</v>
      </c>
      <c r="C129">
        <f t="shared" si="3"/>
        <v>36</v>
      </c>
      <c r="D129" t="s">
        <v>1142</v>
      </c>
      <c r="E129" t="s">
        <v>118</v>
      </c>
      <c r="J129" t="s">
        <v>119</v>
      </c>
      <c r="K129" t="s">
        <v>1979</v>
      </c>
      <c r="L129" t="s">
        <v>1980</v>
      </c>
      <c r="M129">
        <v>1026</v>
      </c>
      <c r="O129">
        <v>0</v>
      </c>
      <c r="P129" t="s">
        <v>122</v>
      </c>
      <c r="Q129" s="1" t="s">
        <v>416</v>
      </c>
      <c r="R129" t="s">
        <v>813</v>
      </c>
      <c r="S129" t="s">
        <v>148</v>
      </c>
      <c r="T129" t="s">
        <v>1982</v>
      </c>
      <c r="U129" t="s">
        <v>162</v>
      </c>
      <c r="V129" t="s">
        <v>162</v>
      </c>
      <c r="W129" t="s">
        <v>150</v>
      </c>
      <c r="X129" t="s">
        <v>1983</v>
      </c>
      <c r="Y129" t="s">
        <v>1984</v>
      </c>
      <c r="Z129" t="s">
        <v>194</v>
      </c>
      <c r="AA129" t="s">
        <v>1985</v>
      </c>
      <c r="AB129" t="s">
        <v>1986</v>
      </c>
      <c r="AC129" t="s">
        <v>1987</v>
      </c>
      <c r="AD129" t="s">
        <v>157</v>
      </c>
      <c r="AF129">
        <v>4</v>
      </c>
      <c r="AG129" s="1" t="s">
        <v>123</v>
      </c>
      <c r="AI129" t="e">
        <f>VLOOKUP(AnalizaCzyste[[#This Row],[Jak się nazywa uczelnia którą ukończyłeś? (proszę o wybranie jednej uczelni podlegającej ocenie)]],KategorieUczelni[],2,0)</f>
        <v>#N/A</v>
      </c>
      <c r="AJ129" t="e">
        <f>VLOOKUP(AnalizaCzyste[[#This Row],[Jak się nazywa uczelnia którą ukończyłeś? (proszę o wybranie jednej uczelni podlegającej ocenie)]],KategorieUczelni[],3,0)</f>
        <v>#N/A</v>
      </c>
      <c r="AK129">
        <f>COUNTIF(AnalizaCzyste[[#This Row],[Czy jesteś absolwentem uczelni wyższej?]],"*"&amp;"Tak"&amp;"*")</f>
        <v>0</v>
      </c>
      <c r="AV129" t="e">
        <f>VLOOKUP(AnalizaCzyste[[#This Row],[w pierwszym roku po ukończeniu studiów : wybierz wartość z listy rozwijanej4]],Zarobki[],2,0)</f>
        <v>#N/A</v>
      </c>
      <c r="AX129" t="e">
        <f>VLOOKUP(AnalizaCzyste[[#This Row],[w 3 lata po ukończeniu studiów : wybierz wartość z listy rozwijanej5]],Zarobki[],2,0)</f>
        <v>#N/A</v>
      </c>
      <c r="BD129" s="1" t="s">
        <v>123</v>
      </c>
      <c r="CX129" s="1" t="s">
        <v>123</v>
      </c>
      <c r="DH129" s="1" t="s">
        <v>123</v>
      </c>
      <c r="DR129" s="1" t="s">
        <v>123</v>
      </c>
      <c r="EU129" s="1" t="s">
        <v>123</v>
      </c>
      <c r="FU129" s="1" t="s">
        <v>123</v>
      </c>
      <c r="HC129" t="s">
        <v>1988</v>
      </c>
      <c r="HD129" t="s">
        <v>1989</v>
      </c>
      <c r="HE129" t="s">
        <v>1990</v>
      </c>
      <c r="HF129" t="s">
        <v>186</v>
      </c>
      <c r="HG129">
        <v>1992</v>
      </c>
      <c r="HH129" t="str">
        <f>VLOOKUP(AnalizaCzyste[[#This Row],[Rok urodzenia]],KategorieWiekowe[],2,1)</f>
        <v>26–35 lat</v>
      </c>
      <c r="HI129" t="s">
        <v>246</v>
      </c>
      <c r="HK129" t="s">
        <v>1991</v>
      </c>
    </row>
    <row r="130" spans="1:221" x14ac:dyDescent="0.45">
      <c r="A130">
        <v>257</v>
      </c>
      <c r="B130">
        <f>_xlfn.IFNA(VLOOKUP(AnalizaCzyste[[#This Row],[Zakończono wypełnianie]],Zakończone[],2,0),"BRAK")</f>
        <v>134</v>
      </c>
      <c r="C130">
        <f t="shared" si="3"/>
        <v>67</v>
      </c>
      <c r="D130" t="s">
        <v>2014</v>
      </c>
      <c r="E130" t="s">
        <v>118</v>
      </c>
      <c r="J130" t="s">
        <v>119</v>
      </c>
      <c r="K130" t="s">
        <v>2015</v>
      </c>
      <c r="L130" t="s">
        <v>2016</v>
      </c>
      <c r="M130">
        <v>1430</v>
      </c>
      <c r="O130">
        <v>0</v>
      </c>
      <c r="P130" t="s">
        <v>122</v>
      </c>
      <c r="Q130" s="1" t="s">
        <v>123</v>
      </c>
      <c r="AG130" s="1" t="s">
        <v>124</v>
      </c>
      <c r="AH130" t="s">
        <v>191</v>
      </c>
      <c r="AI130" t="str">
        <f>VLOOKUP(AnalizaCzyste[[#This Row],[Jak się nazywa uczelnia którą ukończyłeś? (proszę o wybranie jednej uczelni podlegającej ocenie)]],KategorieUczelni[],2,0)</f>
        <v>Publiczna</v>
      </c>
      <c r="AJ130" t="str">
        <f>VLOOKUP(AnalizaCzyste[[#This Row],[Jak się nazywa uczelnia którą ukończyłeś? (proszę o wybranie jednej uczelni podlegającej ocenie)]],KategorieUczelni[],3,0)</f>
        <v>Techniczna</v>
      </c>
      <c r="AK130">
        <f>COUNTIF(AnalizaCzyste[[#This Row],[Czy jesteś absolwentem uczelni wyższej?]],"*"&amp;"Tak"&amp;"*")</f>
        <v>1</v>
      </c>
      <c r="AL130">
        <v>1989</v>
      </c>
      <c r="AM130" t="s">
        <v>126</v>
      </c>
      <c r="AN130" t="s">
        <v>2017</v>
      </c>
      <c r="AO130" t="s">
        <v>150</v>
      </c>
      <c r="AP130" t="s">
        <v>150</v>
      </c>
      <c r="AQ130" t="s">
        <v>162</v>
      </c>
      <c r="AR130" t="s">
        <v>162</v>
      </c>
      <c r="AS130" t="s">
        <v>162</v>
      </c>
      <c r="AT130">
        <v>0</v>
      </c>
      <c r="AU130" t="s">
        <v>226</v>
      </c>
      <c r="AV130">
        <f>VLOOKUP(AnalizaCzyste[[#This Row],[w pierwszym roku po ukończeniu studiów : wybierz wartość z listy rozwijanej4]],Zarobki[],2,0)</f>
        <v>4500</v>
      </c>
      <c r="AW130" t="s">
        <v>226</v>
      </c>
      <c r="AX130">
        <f>VLOOKUP(AnalizaCzyste[[#This Row],[w 3 lata po ukończeniu studiów : wybierz wartość z listy rozwijanej5]],Zarobki[],2,0)</f>
        <v>4500</v>
      </c>
      <c r="AY130" t="s">
        <v>2018</v>
      </c>
      <c r="AZ130" t="s">
        <v>1229</v>
      </c>
      <c r="BA130" t="s">
        <v>1229</v>
      </c>
      <c r="BB130" t="s">
        <v>157</v>
      </c>
      <c r="BC130" t="s">
        <v>1271</v>
      </c>
      <c r="BD130" s="1" t="s">
        <v>159</v>
      </c>
      <c r="BE130">
        <v>1</v>
      </c>
      <c r="BF130" t="s">
        <v>191</v>
      </c>
      <c r="BG130">
        <v>2016</v>
      </c>
      <c r="BH130" t="s">
        <v>126</v>
      </c>
      <c r="BI130" t="s">
        <v>2019</v>
      </c>
      <c r="BJ130" t="s">
        <v>150</v>
      </c>
      <c r="BK130" t="s">
        <v>150</v>
      </c>
      <c r="BL130" t="s">
        <v>151</v>
      </c>
      <c r="BM130" t="s">
        <v>128</v>
      </c>
      <c r="BN130" t="s">
        <v>162</v>
      </c>
      <c r="BO130" t="s">
        <v>2020</v>
      </c>
      <c r="BP130" t="s">
        <v>2021</v>
      </c>
      <c r="BQ130" t="s">
        <v>157</v>
      </c>
      <c r="BT130" t="s">
        <v>173</v>
      </c>
      <c r="CX130" s="1" t="s">
        <v>123</v>
      </c>
      <c r="DH130" s="1" t="s">
        <v>123</v>
      </c>
      <c r="DR130" s="1" t="s">
        <v>123</v>
      </c>
      <c r="EU130" s="1" t="s">
        <v>123</v>
      </c>
      <c r="FU130" s="1" t="s">
        <v>2022</v>
      </c>
      <c r="FV130" t="s">
        <v>2023</v>
      </c>
      <c r="FW130" t="s">
        <v>2024</v>
      </c>
      <c r="FX130">
        <v>1</v>
      </c>
      <c r="FY130" t="s">
        <v>191</v>
      </c>
      <c r="FZ130" t="s">
        <v>150</v>
      </c>
      <c r="GA130" t="s">
        <v>150</v>
      </c>
      <c r="GB130" t="s">
        <v>150</v>
      </c>
      <c r="GC130" t="s">
        <v>150</v>
      </c>
      <c r="GD130" t="s">
        <v>150</v>
      </c>
      <c r="GE130" t="s">
        <v>150</v>
      </c>
      <c r="GF130" t="s">
        <v>150</v>
      </c>
      <c r="GH130" t="s">
        <v>2025</v>
      </c>
      <c r="GI130" t="s">
        <v>173</v>
      </c>
      <c r="HC130" t="s">
        <v>1229</v>
      </c>
      <c r="HD130" t="s">
        <v>1229</v>
      </c>
      <c r="HE130" t="s">
        <v>1229</v>
      </c>
      <c r="HF130" t="s">
        <v>186</v>
      </c>
      <c r="HG130">
        <v>1965</v>
      </c>
      <c r="HH130" t="str">
        <f>VLOOKUP(AnalizaCzyste[[#This Row],[Rok urodzenia]],KategorieWiekowe[],2,1)</f>
        <v>46–55 lat</v>
      </c>
      <c r="HI130" t="s">
        <v>220</v>
      </c>
      <c r="HK130" t="s">
        <v>2026</v>
      </c>
      <c r="HM130" t="s">
        <v>2027</v>
      </c>
    </row>
    <row r="131" spans="1:221" x14ac:dyDescent="0.45">
      <c r="A131">
        <v>258</v>
      </c>
      <c r="B131">
        <f>_xlfn.IFNA(VLOOKUP(AnalizaCzyste[[#This Row],[Zakończono wypełnianie]],Zakończone[],2,0),"BRAK")</f>
        <v>135</v>
      </c>
      <c r="C131">
        <f t="shared" si="3"/>
        <v>61</v>
      </c>
      <c r="D131" t="s">
        <v>2014</v>
      </c>
      <c r="E131" t="s">
        <v>118</v>
      </c>
      <c r="J131" t="s">
        <v>119</v>
      </c>
      <c r="K131" t="s">
        <v>2028</v>
      </c>
      <c r="L131" t="s">
        <v>2029</v>
      </c>
      <c r="M131">
        <v>721</v>
      </c>
      <c r="O131">
        <v>0</v>
      </c>
      <c r="P131" t="s">
        <v>122</v>
      </c>
      <c r="Q131" s="1" t="s">
        <v>123</v>
      </c>
      <c r="AG131" s="1" t="s">
        <v>124</v>
      </c>
      <c r="AH131" t="s">
        <v>234</v>
      </c>
      <c r="AI131" t="str">
        <f>VLOOKUP(AnalizaCzyste[[#This Row],[Jak się nazywa uczelnia którą ukończyłeś? (proszę o wybranie jednej uczelni podlegającej ocenie)]],KategorieUczelni[],2,0)</f>
        <v>Publiczna</v>
      </c>
      <c r="AJ131" t="str">
        <f>VLOOKUP(AnalizaCzyste[[#This Row],[Jak się nazywa uczelnia którą ukończyłeś? (proszę o wybranie jednej uczelni podlegającej ocenie)]],KategorieUczelni[],3,0)</f>
        <v>Nietechniczna</v>
      </c>
      <c r="AK131">
        <f>COUNTIF(AnalizaCzyste[[#This Row],[Czy jesteś absolwentem uczelni wyższej?]],"*"&amp;"Tak"&amp;"*")</f>
        <v>1</v>
      </c>
      <c r="AL131">
        <v>1985</v>
      </c>
      <c r="AM131" t="s">
        <v>148</v>
      </c>
      <c r="AN131" t="s">
        <v>2030</v>
      </c>
      <c r="AO131" t="s">
        <v>169</v>
      </c>
      <c r="AP131" t="s">
        <v>169</v>
      </c>
      <c r="AQ131" t="s">
        <v>150</v>
      </c>
      <c r="AR131" t="s">
        <v>128</v>
      </c>
      <c r="AS131" t="s">
        <v>128</v>
      </c>
      <c r="AT131">
        <v>4</v>
      </c>
      <c r="AU131" t="s">
        <v>131</v>
      </c>
      <c r="AV131">
        <f>VLOOKUP(AnalizaCzyste[[#This Row],[w pierwszym roku po ukończeniu studiów : wybierz wartość z listy rozwijanej4]],Zarobki[],2,0)</f>
        <v>1500</v>
      </c>
      <c r="AW131" t="s">
        <v>131</v>
      </c>
      <c r="AX131">
        <f>VLOOKUP(AnalizaCzyste[[#This Row],[w 3 lata po ukończeniu studiów : wybierz wartość z listy rozwijanej5]],Zarobki[],2,0)</f>
        <v>1500</v>
      </c>
      <c r="AY131" t="s">
        <v>2031</v>
      </c>
      <c r="AZ131" t="s">
        <v>1229</v>
      </c>
      <c r="BA131" t="s">
        <v>1229</v>
      </c>
      <c r="BB131" t="s">
        <v>157</v>
      </c>
      <c r="BC131" t="s">
        <v>2032</v>
      </c>
      <c r="BD131" s="1" t="s">
        <v>123</v>
      </c>
      <c r="CX131" s="1" t="s">
        <v>123</v>
      </c>
      <c r="DH131" s="1" t="s">
        <v>123</v>
      </c>
      <c r="DR131" s="1" t="s">
        <v>174</v>
      </c>
      <c r="DS131" t="s">
        <v>394</v>
      </c>
      <c r="DW131" t="s">
        <v>234</v>
      </c>
      <c r="DX131" t="s">
        <v>162</v>
      </c>
      <c r="DY131" t="s">
        <v>162</v>
      </c>
      <c r="DZ131" t="s">
        <v>162</v>
      </c>
      <c r="EA131" t="s">
        <v>132</v>
      </c>
      <c r="EB131" t="s">
        <v>132</v>
      </c>
      <c r="EC131" t="s">
        <v>132</v>
      </c>
      <c r="ED131" t="s">
        <v>162</v>
      </c>
      <c r="EE131">
        <v>20</v>
      </c>
      <c r="EF131">
        <v>60</v>
      </c>
      <c r="EG131">
        <v>0</v>
      </c>
      <c r="EH131">
        <v>0</v>
      </c>
      <c r="EI131">
        <v>0</v>
      </c>
      <c r="EJ131">
        <v>20</v>
      </c>
      <c r="EK131">
        <v>0</v>
      </c>
      <c r="EM131">
        <v>20</v>
      </c>
      <c r="EN131">
        <v>60</v>
      </c>
      <c r="EO131">
        <v>0</v>
      </c>
      <c r="EP131">
        <v>0</v>
      </c>
      <c r="EQ131">
        <v>0</v>
      </c>
      <c r="ER131">
        <v>20</v>
      </c>
      <c r="ES131">
        <v>0</v>
      </c>
      <c r="EU131" s="1" t="s">
        <v>123</v>
      </c>
      <c r="FU131" s="1" t="s">
        <v>123</v>
      </c>
      <c r="HC131" t="s">
        <v>2033</v>
      </c>
      <c r="HD131" t="s">
        <v>1229</v>
      </c>
      <c r="HE131" t="s">
        <v>1229</v>
      </c>
      <c r="HF131" t="s">
        <v>186</v>
      </c>
      <c r="HG131">
        <v>1961</v>
      </c>
      <c r="HH131" t="str">
        <f>VLOOKUP(AnalizaCzyste[[#This Row],[Rok urodzenia]],KategorieWiekowe[],2,1)</f>
        <v>56–65 lat</v>
      </c>
      <c r="HI131" t="s">
        <v>141</v>
      </c>
    </row>
    <row r="132" spans="1:221" x14ac:dyDescent="0.45">
      <c r="A132">
        <v>259</v>
      </c>
      <c r="B132">
        <f>_xlfn.IFNA(VLOOKUP(AnalizaCzyste[[#This Row],[Zakończono wypełnianie]],Zakończone[],2,0),"BRAK")</f>
        <v>136</v>
      </c>
      <c r="C132">
        <f t="shared" si="3"/>
        <v>78</v>
      </c>
      <c r="D132" t="s">
        <v>2014</v>
      </c>
      <c r="E132" t="s">
        <v>118</v>
      </c>
      <c r="J132" t="s">
        <v>119</v>
      </c>
      <c r="K132" t="s">
        <v>2034</v>
      </c>
      <c r="L132" t="s">
        <v>2035</v>
      </c>
      <c r="M132">
        <v>1151</v>
      </c>
      <c r="O132">
        <v>0</v>
      </c>
      <c r="P132" t="s">
        <v>122</v>
      </c>
      <c r="Q132" s="1" t="s">
        <v>123</v>
      </c>
      <c r="AG132" s="1" t="s">
        <v>124</v>
      </c>
      <c r="AH132" t="s">
        <v>223</v>
      </c>
      <c r="AI132" t="str">
        <f>VLOOKUP(AnalizaCzyste[[#This Row],[Jak się nazywa uczelnia którą ukończyłeś? (proszę o wybranie jednej uczelni podlegającej ocenie)]],KategorieUczelni[],2,0)</f>
        <v>Publiczna</v>
      </c>
      <c r="AJ132" t="str">
        <f>VLOOKUP(AnalizaCzyste[[#This Row],[Jak się nazywa uczelnia którą ukończyłeś? (proszę o wybranie jednej uczelni podlegającej ocenie)]],KategorieUczelni[],3,0)</f>
        <v>Nietechniczna</v>
      </c>
      <c r="AK132">
        <f>COUNTIF(AnalizaCzyste[[#This Row],[Czy jesteś absolwentem uczelni wyższej?]],"*"&amp;"Tak"&amp;"*")</f>
        <v>1</v>
      </c>
      <c r="AL132">
        <v>1987</v>
      </c>
      <c r="AM132" t="s">
        <v>148</v>
      </c>
      <c r="AN132" t="s">
        <v>554</v>
      </c>
      <c r="AO132" t="s">
        <v>132</v>
      </c>
      <c r="AP132" t="s">
        <v>132</v>
      </c>
      <c r="AQ132" t="s">
        <v>132</v>
      </c>
      <c r="AR132" t="s">
        <v>132</v>
      </c>
      <c r="AS132" t="s">
        <v>132</v>
      </c>
      <c r="AT132" t="s">
        <v>2036</v>
      </c>
      <c r="AU132" t="s">
        <v>132</v>
      </c>
      <c r="AV132" t="str">
        <f>VLOOKUP(AnalizaCzyste[[#This Row],[w pierwszym roku po ukończeniu studiów : wybierz wartość z listy rozwijanej4]],Zarobki[],2,0)</f>
        <v>N/D</v>
      </c>
      <c r="AW132" t="s">
        <v>132</v>
      </c>
      <c r="AX132" t="str">
        <f>VLOOKUP(AnalizaCzyste[[#This Row],[w 3 lata po ukończeniu studiów : wybierz wartość z listy rozwijanej5]],Zarobki[],2,0)</f>
        <v>N/D</v>
      </c>
      <c r="AZ132" t="s">
        <v>1229</v>
      </c>
      <c r="BA132" t="s">
        <v>1229</v>
      </c>
      <c r="BB132" t="s">
        <v>157</v>
      </c>
      <c r="BC132" t="s">
        <v>2037</v>
      </c>
      <c r="BD132" s="1" t="s">
        <v>159</v>
      </c>
      <c r="BE132">
        <v>3</v>
      </c>
      <c r="BF132" t="s">
        <v>191</v>
      </c>
      <c r="BG132">
        <v>2020</v>
      </c>
      <c r="BH132" t="s">
        <v>126</v>
      </c>
      <c r="BI132" t="s">
        <v>2038</v>
      </c>
      <c r="BJ132" t="s">
        <v>150</v>
      </c>
      <c r="BK132" t="s">
        <v>162</v>
      </c>
      <c r="BL132" t="s">
        <v>169</v>
      </c>
      <c r="BM132" t="s">
        <v>150</v>
      </c>
      <c r="BN132" t="s">
        <v>132</v>
      </c>
      <c r="BO132" t="s">
        <v>2039</v>
      </c>
      <c r="BP132" t="s">
        <v>2040</v>
      </c>
      <c r="BQ132" t="s">
        <v>157</v>
      </c>
      <c r="BT132" t="s">
        <v>166</v>
      </c>
      <c r="BU132" t="s">
        <v>191</v>
      </c>
      <c r="BV132">
        <v>2013</v>
      </c>
      <c r="BW132" t="s">
        <v>126</v>
      </c>
      <c r="BX132" t="s">
        <v>1867</v>
      </c>
      <c r="BY132" t="s">
        <v>162</v>
      </c>
      <c r="BZ132" t="s">
        <v>150</v>
      </c>
      <c r="CA132" t="s">
        <v>162</v>
      </c>
      <c r="CB132" t="s">
        <v>162</v>
      </c>
      <c r="CC132" t="s">
        <v>162</v>
      </c>
      <c r="CD132" t="s">
        <v>237</v>
      </c>
      <c r="CF132" t="s">
        <v>157</v>
      </c>
      <c r="CH132" t="s">
        <v>2041</v>
      </c>
      <c r="CI132" t="s">
        <v>238</v>
      </c>
      <c r="CJ132" t="s">
        <v>191</v>
      </c>
      <c r="CK132">
        <v>2016</v>
      </c>
      <c r="CL132" t="s">
        <v>126</v>
      </c>
      <c r="CM132" t="s">
        <v>2042</v>
      </c>
      <c r="CN132" t="s">
        <v>151</v>
      </c>
      <c r="CO132" t="s">
        <v>162</v>
      </c>
      <c r="CP132" t="s">
        <v>150</v>
      </c>
      <c r="CQ132" t="s">
        <v>169</v>
      </c>
      <c r="CR132" t="s">
        <v>150</v>
      </c>
      <c r="CS132" t="s">
        <v>237</v>
      </c>
      <c r="CT132" t="s">
        <v>2043</v>
      </c>
      <c r="CU132" t="s">
        <v>157</v>
      </c>
      <c r="CX132" s="1" t="s">
        <v>123</v>
      </c>
      <c r="DH132" s="1" t="s">
        <v>123</v>
      </c>
      <c r="DR132" s="1" t="s">
        <v>123</v>
      </c>
      <c r="EU132" s="1" t="s">
        <v>123</v>
      </c>
      <c r="FU132" s="1" t="s">
        <v>123</v>
      </c>
      <c r="HC132" t="s">
        <v>1229</v>
      </c>
      <c r="HD132" t="s">
        <v>1229</v>
      </c>
      <c r="HE132" t="s">
        <v>1229</v>
      </c>
      <c r="HF132" t="s">
        <v>186</v>
      </c>
      <c r="HG132">
        <v>1962</v>
      </c>
      <c r="HH132" t="str">
        <f>VLOOKUP(AnalizaCzyste[[#This Row],[Rok urodzenia]],KategorieWiekowe[],2,1)</f>
        <v>56–65 lat</v>
      </c>
      <c r="HI132" t="s">
        <v>141</v>
      </c>
      <c r="HL132" t="s">
        <v>2044</v>
      </c>
      <c r="HM132" t="s">
        <v>2045</v>
      </c>
    </row>
    <row r="133" spans="1:221" x14ac:dyDescent="0.45">
      <c r="A133">
        <v>260</v>
      </c>
      <c r="B133">
        <f>_xlfn.IFNA(VLOOKUP(AnalizaCzyste[[#This Row],[Zakończono wypełnianie]],Zakończone[],2,0),"BRAK")</f>
        <v>137</v>
      </c>
      <c r="C133">
        <f t="shared" si="3"/>
        <v>72</v>
      </c>
      <c r="D133" t="s">
        <v>2014</v>
      </c>
      <c r="E133" t="s">
        <v>118</v>
      </c>
      <c r="J133" t="s">
        <v>119</v>
      </c>
      <c r="K133" t="s">
        <v>2046</v>
      </c>
      <c r="L133" t="s">
        <v>2047</v>
      </c>
      <c r="M133">
        <v>707</v>
      </c>
      <c r="O133">
        <v>0</v>
      </c>
      <c r="P133" t="s">
        <v>122</v>
      </c>
      <c r="Q133" s="1" t="s">
        <v>123</v>
      </c>
      <c r="AG133" s="1" t="s">
        <v>124</v>
      </c>
      <c r="AH133" t="s">
        <v>191</v>
      </c>
      <c r="AI133" t="str">
        <f>VLOOKUP(AnalizaCzyste[[#This Row],[Jak się nazywa uczelnia którą ukończyłeś? (proszę o wybranie jednej uczelni podlegającej ocenie)]],KategorieUczelni[],2,0)</f>
        <v>Publiczna</v>
      </c>
      <c r="AJ133" t="str">
        <f>VLOOKUP(AnalizaCzyste[[#This Row],[Jak się nazywa uczelnia którą ukończyłeś? (proszę o wybranie jednej uczelni podlegającej ocenie)]],KategorieUczelni[],3,0)</f>
        <v>Techniczna</v>
      </c>
      <c r="AK133">
        <f>COUNTIF(AnalizaCzyste[[#This Row],[Czy jesteś absolwentem uczelni wyższej?]],"*"&amp;"Tak"&amp;"*")</f>
        <v>1</v>
      </c>
      <c r="AL133">
        <v>1985</v>
      </c>
      <c r="AM133" t="s">
        <v>126</v>
      </c>
      <c r="AN133" t="s">
        <v>2017</v>
      </c>
      <c r="AO133" t="s">
        <v>150</v>
      </c>
      <c r="AP133" t="s">
        <v>150</v>
      </c>
      <c r="AQ133" t="s">
        <v>151</v>
      </c>
      <c r="AR133" t="s">
        <v>236</v>
      </c>
      <c r="AS133" t="s">
        <v>150</v>
      </c>
      <c r="AT133" t="s">
        <v>237</v>
      </c>
      <c r="AU133" t="s">
        <v>152</v>
      </c>
      <c r="AV133">
        <f>VLOOKUP(AnalizaCzyste[[#This Row],[w pierwszym roku po ukończeniu studiów : wybierz wartość z listy rozwijanej4]],Zarobki[],2,0)</f>
        <v>500</v>
      </c>
      <c r="AW133" t="s">
        <v>759</v>
      </c>
      <c r="AX133">
        <f>VLOOKUP(AnalizaCzyste[[#This Row],[w 3 lata po ukończeniu studiów : wybierz wartość z listy rozwijanej5]],Zarobki[],2,0)</f>
        <v>5500</v>
      </c>
      <c r="AY133" t="s">
        <v>2048</v>
      </c>
      <c r="AZ133" t="s">
        <v>1229</v>
      </c>
      <c r="BA133" t="s">
        <v>1229</v>
      </c>
      <c r="BB133" t="s">
        <v>157</v>
      </c>
      <c r="BC133" t="s">
        <v>2032</v>
      </c>
      <c r="BD133" s="1" t="s">
        <v>159</v>
      </c>
      <c r="BE133">
        <v>1</v>
      </c>
      <c r="BF133" t="s">
        <v>191</v>
      </c>
      <c r="BG133">
        <v>2018</v>
      </c>
      <c r="BH133" t="s">
        <v>126</v>
      </c>
      <c r="BI133" t="s">
        <v>2049</v>
      </c>
      <c r="BJ133" t="s">
        <v>151</v>
      </c>
      <c r="BK133" t="s">
        <v>151</v>
      </c>
      <c r="BL133" t="s">
        <v>128</v>
      </c>
      <c r="BM133" t="s">
        <v>162</v>
      </c>
      <c r="BN133" t="s">
        <v>132</v>
      </c>
      <c r="BO133">
        <v>12</v>
      </c>
      <c r="BP133" t="s">
        <v>2050</v>
      </c>
      <c r="BQ133" t="s">
        <v>157</v>
      </c>
      <c r="BT133" t="s">
        <v>173</v>
      </c>
      <c r="CX133" s="1" t="s">
        <v>123</v>
      </c>
      <c r="DH133" s="1" t="s">
        <v>123</v>
      </c>
      <c r="DR133" s="1" t="s">
        <v>123</v>
      </c>
      <c r="EU133" s="1" t="s">
        <v>177</v>
      </c>
      <c r="EV133" t="s">
        <v>178</v>
      </c>
      <c r="EW133">
        <v>2</v>
      </c>
      <c r="EX133" t="s">
        <v>191</v>
      </c>
      <c r="EY133" t="s">
        <v>151</v>
      </c>
      <c r="EZ133" t="s">
        <v>162</v>
      </c>
      <c r="FA133" t="s">
        <v>151</v>
      </c>
      <c r="FB133" t="s">
        <v>178</v>
      </c>
      <c r="FC133" t="s">
        <v>2051</v>
      </c>
      <c r="FD133" t="s">
        <v>2052</v>
      </c>
      <c r="FE133" t="s">
        <v>1206</v>
      </c>
      <c r="FF133" t="s">
        <v>223</v>
      </c>
      <c r="FG133" t="s">
        <v>162</v>
      </c>
      <c r="FH133" t="s">
        <v>162</v>
      </c>
      <c r="FI133" t="s">
        <v>151</v>
      </c>
      <c r="FJ133" t="s">
        <v>178</v>
      </c>
      <c r="FK133" t="s">
        <v>2053</v>
      </c>
      <c r="FL133" t="s">
        <v>2054</v>
      </c>
      <c r="FM133" t="s">
        <v>173</v>
      </c>
      <c r="FU133" s="1" t="s">
        <v>123</v>
      </c>
      <c r="HC133" t="s">
        <v>1229</v>
      </c>
      <c r="HD133" t="s">
        <v>1229</v>
      </c>
      <c r="HE133" t="s">
        <v>1229</v>
      </c>
      <c r="HF133" t="s">
        <v>186</v>
      </c>
      <c r="HG133">
        <v>1959</v>
      </c>
      <c r="HH133" t="str">
        <f>VLOOKUP(AnalizaCzyste[[#This Row],[Rok urodzenia]],KategorieWiekowe[],2,1)</f>
        <v>56–65 lat</v>
      </c>
      <c r="HI133" t="s">
        <v>141</v>
      </c>
      <c r="HK133" t="s">
        <v>2055</v>
      </c>
      <c r="HM133" t="s">
        <v>2056</v>
      </c>
    </row>
    <row r="134" spans="1:221" x14ac:dyDescent="0.45">
      <c r="A134">
        <v>261</v>
      </c>
      <c r="B134">
        <f>_xlfn.IFNA(VLOOKUP(AnalizaCzyste[[#This Row],[Zakończono wypełnianie]],Zakończone[],2,0),"BRAK")</f>
        <v>138</v>
      </c>
      <c r="C134">
        <f t="shared" si="3"/>
        <v>67</v>
      </c>
      <c r="D134" t="s">
        <v>2014</v>
      </c>
      <c r="E134" t="s">
        <v>118</v>
      </c>
      <c r="J134" t="s">
        <v>119</v>
      </c>
      <c r="K134" t="s">
        <v>2057</v>
      </c>
      <c r="L134" t="s">
        <v>2058</v>
      </c>
      <c r="M134">
        <v>616</v>
      </c>
      <c r="O134">
        <v>0</v>
      </c>
      <c r="P134" t="s">
        <v>122</v>
      </c>
      <c r="Q134" s="1" t="s">
        <v>123</v>
      </c>
      <c r="AG134" s="1" t="s">
        <v>124</v>
      </c>
      <c r="AH134" t="s">
        <v>223</v>
      </c>
      <c r="AI134" t="str">
        <f>VLOOKUP(AnalizaCzyste[[#This Row],[Jak się nazywa uczelnia którą ukończyłeś? (proszę o wybranie jednej uczelni podlegającej ocenie)]],KategorieUczelni[],2,0)</f>
        <v>Publiczna</v>
      </c>
      <c r="AJ134" t="str">
        <f>VLOOKUP(AnalizaCzyste[[#This Row],[Jak się nazywa uczelnia którą ukończyłeś? (proszę o wybranie jednej uczelni podlegającej ocenie)]],KategorieUczelni[],3,0)</f>
        <v>Nietechniczna</v>
      </c>
      <c r="AK134">
        <f>COUNTIF(AnalizaCzyste[[#This Row],[Czy jesteś absolwentem uczelni wyższej?]],"*"&amp;"Tak"&amp;"*")</f>
        <v>1</v>
      </c>
      <c r="AL134">
        <v>1992</v>
      </c>
      <c r="AM134" t="s">
        <v>148</v>
      </c>
      <c r="AN134" t="s">
        <v>2059</v>
      </c>
      <c r="AO134" t="s">
        <v>150</v>
      </c>
      <c r="AP134" t="s">
        <v>169</v>
      </c>
      <c r="AQ134" t="s">
        <v>150</v>
      </c>
      <c r="AR134" t="s">
        <v>151</v>
      </c>
      <c r="AS134" t="s">
        <v>162</v>
      </c>
      <c r="AT134">
        <v>0</v>
      </c>
      <c r="AU134" t="s">
        <v>131</v>
      </c>
      <c r="AV134">
        <f>VLOOKUP(AnalizaCzyste[[#This Row],[w pierwszym roku po ukończeniu studiów : wybierz wartość z listy rozwijanej4]],Zarobki[],2,0)</f>
        <v>1500</v>
      </c>
      <c r="AW134" t="s">
        <v>302</v>
      </c>
      <c r="AX134">
        <f>VLOOKUP(AnalizaCzyste[[#This Row],[w 3 lata po ukończeniu studiów : wybierz wartość z listy rozwijanej5]],Zarobki[],2,0)</f>
        <v>2500</v>
      </c>
      <c r="AY134" t="s">
        <v>2060</v>
      </c>
      <c r="AZ134" t="s">
        <v>1229</v>
      </c>
      <c r="BA134" t="s">
        <v>1229</v>
      </c>
      <c r="BB134" t="s">
        <v>157</v>
      </c>
      <c r="BC134" t="s">
        <v>2032</v>
      </c>
      <c r="BD134" s="1" t="s">
        <v>159</v>
      </c>
      <c r="BE134">
        <v>1</v>
      </c>
      <c r="BF134" t="s">
        <v>445</v>
      </c>
      <c r="BG134">
        <v>2019</v>
      </c>
      <c r="BH134" t="s">
        <v>148</v>
      </c>
      <c r="BI134" t="s">
        <v>461</v>
      </c>
      <c r="BJ134" t="s">
        <v>169</v>
      </c>
      <c r="BK134" t="s">
        <v>169</v>
      </c>
      <c r="BL134" t="s">
        <v>169</v>
      </c>
      <c r="BM134" t="s">
        <v>169</v>
      </c>
      <c r="BN134" t="s">
        <v>132</v>
      </c>
      <c r="BO134" t="s">
        <v>2020</v>
      </c>
      <c r="BP134" t="s">
        <v>2061</v>
      </c>
      <c r="BQ134" t="s">
        <v>157</v>
      </c>
      <c r="BS134" t="s">
        <v>2062</v>
      </c>
      <c r="BT134" t="s">
        <v>173</v>
      </c>
      <c r="CX134" s="1" t="s">
        <v>123</v>
      </c>
      <c r="DH134" s="1" t="s">
        <v>123</v>
      </c>
      <c r="DR134" s="1" t="s">
        <v>123</v>
      </c>
      <c r="EU134" s="1" t="s">
        <v>123</v>
      </c>
      <c r="FU134" s="1" t="s">
        <v>2022</v>
      </c>
      <c r="FV134" t="s">
        <v>2023</v>
      </c>
      <c r="FW134" t="s">
        <v>2063</v>
      </c>
      <c r="FX134">
        <v>1</v>
      </c>
      <c r="FY134" t="s">
        <v>191</v>
      </c>
      <c r="FZ134" t="s">
        <v>150</v>
      </c>
      <c r="GA134" t="s">
        <v>150</v>
      </c>
      <c r="GB134" t="s">
        <v>169</v>
      </c>
      <c r="GC134" t="s">
        <v>169</v>
      </c>
      <c r="GD134" t="s">
        <v>132</v>
      </c>
      <c r="GE134" t="s">
        <v>132</v>
      </c>
      <c r="GF134" t="s">
        <v>169</v>
      </c>
      <c r="GI134" t="s">
        <v>173</v>
      </c>
      <c r="HC134" t="s">
        <v>1229</v>
      </c>
      <c r="HD134" t="s">
        <v>1229</v>
      </c>
      <c r="HE134" t="s">
        <v>1229</v>
      </c>
      <c r="HF134" t="s">
        <v>186</v>
      </c>
      <c r="HG134">
        <v>1968</v>
      </c>
      <c r="HH134" t="str">
        <f>VLOOKUP(AnalizaCzyste[[#This Row],[Rok urodzenia]],KategorieWiekowe[],2,1)</f>
        <v>46–55 lat</v>
      </c>
      <c r="HI134" t="s">
        <v>220</v>
      </c>
      <c r="HK134" t="s">
        <v>2055</v>
      </c>
      <c r="HM134" t="s">
        <v>2064</v>
      </c>
    </row>
    <row r="135" spans="1:221" x14ac:dyDescent="0.45">
      <c r="A135">
        <v>206</v>
      </c>
      <c r="B135" t="str">
        <f>_xlfn.IFNA(VLOOKUP(AnalizaCzyste[[#This Row],[Zakończono wypełnianie]],Zakończone[],2,0),"BRAK")</f>
        <v>BRAK</v>
      </c>
      <c r="C135">
        <f t="shared" si="3"/>
        <v>36</v>
      </c>
      <c r="D135" t="s">
        <v>1722</v>
      </c>
      <c r="E135" t="s">
        <v>118</v>
      </c>
      <c r="F135" t="s">
        <v>1647</v>
      </c>
      <c r="J135" t="s">
        <v>286</v>
      </c>
      <c r="K135" t="s">
        <v>1723</v>
      </c>
      <c r="L135" t="s">
        <v>1723</v>
      </c>
      <c r="M135">
        <v>0</v>
      </c>
      <c r="O135">
        <v>0</v>
      </c>
      <c r="P135" t="s">
        <v>122</v>
      </c>
      <c r="Q135" s="1" t="s">
        <v>123</v>
      </c>
      <c r="AG135" s="1" t="s">
        <v>124</v>
      </c>
      <c r="AH135" s="20" t="s">
        <v>223</v>
      </c>
      <c r="AI135" s="20" t="str">
        <f>VLOOKUP(AnalizaCzyste[[#This Row],[Jak się nazywa uczelnia którą ukończyłeś? (proszę o wybranie jednej uczelni podlegającej ocenie)]],KategorieUczelni[],2,0)</f>
        <v>Publiczna</v>
      </c>
      <c r="AJ135" s="20" t="str">
        <f>VLOOKUP(AnalizaCzyste[[#This Row],[Jak się nazywa uczelnia którą ukończyłeś? (proszę o wybranie jednej uczelni podlegającej ocenie)]],KategorieUczelni[],3,0)</f>
        <v>Nietechniczna</v>
      </c>
      <c r="AK135" s="20">
        <f>COUNTIF(AnalizaCzyste[[#This Row],[Czy jesteś absolwentem uczelni wyższej?]],"*"&amp;"Tak"&amp;"*")</f>
        <v>1</v>
      </c>
      <c r="AL135">
        <v>2005</v>
      </c>
      <c r="AM135" t="s">
        <v>148</v>
      </c>
      <c r="AN135" t="s">
        <v>1725</v>
      </c>
      <c r="AO135" t="s">
        <v>150</v>
      </c>
      <c r="AP135" t="s">
        <v>162</v>
      </c>
      <c r="AQ135" t="s">
        <v>162</v>
      </c>
      <c r="AR135" t="s">
        <v>162</v>
      </c>
      <c r="AS135" t="s">
        <v>162</v>
      </c>
      <c r="AT135">
        <v>2</v>
      </c>
      <c r="AU135" t="s">
        <v>131</v>
      </c>
      <c r="AV135">
        <f>VLOOKUP(AnalizaCzyste[[#This Row],[w pierwszym roku po ukończeniu studiów : wybierz wartość z listy rozwijanej4]],Zarobki[],2,0)</f>
        <v>1500</v>
      </c>
      <c r="AW135" t="s">
        <v>302</v>
      </c>
      <c r="AX135">
        <f>VLOOKUP(AnalizaCzyste[[#This Row],[w 3 lata po ukończeniu studiów : wybierz wartość z listy rozwijanej5]],Zarobki[],2,0)</f>
        <v>2500</v>
      </c>
      <c r="AY135" t="s">
        <v>1726</v>
      </c>
      <c r="AZ135" t="s">
        <v>1727</v>
      </c>
      <c r="BA135" t="s">
        <v>1728</v>
      </c>
      <c r="BB135" t="s">
        <v>157</v>
      </c>
      <c r="BD135" s="1" t="s">
        <v>123</v>
      </c>
      <c r="CX135" s="1" t="s">
        <v>123</v>
      </c>
      <c r="DH135" s="1" t="s">
        <v>123</v>
      </c>
      <c r="DR135" s="1" t="s">
        <v>123</v>
      </c>
      <c r="EU135" s="1" t="s">
        <v>123</v>
      </c>
      <c r="FU135" s="1" t="s">
        <v>123</v>
      </c>
      <c r="HF135" t="s">
        <v>140</v>
      </c>
      <c r="HG135">
        <v>1981</v>
      </c>
      <c r="HH135" t="str">
        <f>VLOOKUP(AnalizaCzyste[[#This Row],[Rok urodzenia]],KategorieWiekowe[],2,1)</f>
        <v>36–45 lat</v>
      </c>
      <c r="HI135" t="s">
        <v>483</v>
      </c>
      <c r="HK135" t="s">
        <v>142</v>
      </c>
      <c r="HL135" t="s">
        <v>180</v>
      </c>
    </row>
    <row r="136" spans="1:221" ht="14.65" thickBot="1" x14ac:dyDescent="0.5">
      <c r="P136" s="6">
        <f t="shared" ref="P136:AZ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>
        <f t="shared" si="4"/>
        <v>14</v>
      </c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9</v>
      </c>
      <c r="AB136" s="1">
        <f t="shared" si="4"/>
        <v>14</v>
      </c>
      <c r="AC136" s="1">
        <f t="shared" si="4"/>
        <v>14</v>
      </c>
      <c r="AD136" s="1">
        <f t="shared" si="4"/>
        <v>13</v>
      </c>
      <c r="AE136" s="1">
        <f t="shared" si="4"/>
        <v>2</v>
      </c>
      <c r="AF136" s="1">
        <f t="shared" si="4"/>
        <v>14</v>
      </c>
      <c r="AG136" s="6">
        <f t="shared" si="4"/>
        <v>133</v>
      </c>
      <c r="AH136" s="1">
        <f t="shared" si="4"/>
        <v>120</v>
      </c>
      <c r="AI136" s="1"/>
      <c r="AJ136" s="1"/>
      <c r="AK136" s="1">
        <f>SUBTOTAL(109,AnalizaCzyste[LicznikAbsolwentów])</f>
        <v>120</v>
      </c>
      <c r="AL136" s="1">
        <f t="shared" si="4"/>
        <v>119</v>
      </c>
      <c r="AM136" s="1">
        <f t="shared" si="4"/>
        <v>120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>
        <f t="shared" si="4"/>
        <v>120</v>
      </c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120</v>
      </c>
      <c r="AV136" s="1"/>
      <c r="AW136" s="1">
        <f t="shared" si="4"/>
        <v>120</v>
      </c>
      <c r="AX136" s="1"/>
      <c r="AY136" s="1">
        <f t="shared" si="4"/>
        <v>98</v>
      </c>
      <c r="AZ136" s="1">
        <f t="shared" si="4"/>
        <v>120</v>
      </c>
      <c r="BA136" s="1">
        <f t="shared" ref="BA136:CF136" si="5">COUNTA((BA3:BA135))</f>
        <v>120</v>
      </c>
      <c r="BB136" s="1">
        <f t="shared" si="5"/>
        <v>108</v>
      </c>
      <c r="BC136" s="1">
        <f t="shared" si="5"/>
        <v>38</v>
      </c>
      <c r="BD136" s="6">
        <f t="shared" si="5"/>
        <v>133</v>
      </c>
      <c r="BE136" s="1">
        <f t="shared" si="5"/>
        <v>17</v>
      </c>
      <c r="BF136" s="1">
        <f t="shared" si="5"/>
        <v>17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17</v>
      </c>
      <c r="BM136" s="1">
        <f t="shared" si="5"/>
        <v>17</v>
      </c>
      <c r="BN136" s="1">
        <f t="shared" si="5"/>
        <v>17</v>
      </c>
      <c r="BO136" s="1">
        <f t="shared" si="5"/>
        <v>17</v>
      </c>
      <c r="BP136" s="1">
        <f t="shared" si="5"/>
        <v>15</v>
      </c>
      <c r="BQ136" s="1">
        <f t="shared" si="5"/>
        <v>17</v>
      </c>
      <c r="BR136" s="1">
        <f t="shared" si="5"/>
        <v>1</v>
      </c>
      <c r="BS136" s="1">
        <f t="shared" si="5"/>
        <v>8</v>
      </c>
      <c r="BT136" s="1">
        <f t="shared" si="5"/>
        <v>17</v>
      </c>
      <c r="BU136" s="1">
        <f t="shared" si="5"/>
        <v>5</v>
      </c>
      <c r="BV136" s="1">
        <f t="shared" si="5"/>
        <v>5</v>
      </c>
      <c r="BW136" s="1">
        <f t="shared" si="5"/>
        <v>5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5</v>
      </c>
      <c r="CB136" s="1">
        <f t="shared" si="5"/>
        <v>5</v>
      </c>
      <c r="CC136" s="1">
        <f t="shared" si="5"/>
        <v>5</v>
      </c>
      <c r="CD136" s="1">
        <f t="shared" si="5"/>
        <v>5</v>
      </c>
      <c r="CE136" s="1">
        <f t="shared" si="5"/>
        <v>3</v>
      </c>
      <c r="CF136" s="1">
        <f t="shared" si="5"/>
        <v>5</v>
      </c>
      <c r="CG136" s="1">
        <f t="shared" ref="CG136:CX136" si="6">COUNTA((CG3:CG135))</f>
        <v>0</v>
      </c>
      <c r="CH136" s="1">
        <f t="shared" si="6"/>
        <v>3</v>
      </c>
      <c r="CI136" s="1">
        <f t="shared" si="6"/>
        <v>5</v>
      </c>
      <c r="CJ136" s="1">
        <f t="shared" si="6"/>
        <v>2</v>
      </c>
      <c r="CK136" s="1">
        <f t="shared" si="6"/>
        <v>2</v>
      </c>
      <c r="CL136" s="1">
        <f t="shared" si="6"/>
        <v>2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2</v>
      </c>
      <c r="CS136" s="1">
        <f t="shared" si="6"/>
        <v>2</v>
      </c>
      <c r="CT136" s="1">
        <f t="shared" si="6"/>
        <v>2</v>
      </c>
      <c r="CU136" s="1">
        <f t="shared" si="6"/>
        <v>2</v>
      </c>
      <c r="CV136" s="1">
        <f t="shared" si="6"/>
        <v>0</v>
      </c>
      <c r="CW136" s="1">
        <f t="shared" si="6"/>
        <v>1</v>
      </c>
      <c r="CX136" s="6">
        <f t="shared" si="6"/>
        <v>133</v>
      </c>
      <c r="DH136" s="6">
        <f>COUNTA((DH3:DH135))</f>
        <v>133</v>
      </c>
      <c r="DR136" s="6">
        <f>COUNTA((DR3:DR135))</f>
        <v>133</v>
      </c>
      <c r="EU136" s="6">
        <f>COUNTA((EU3:EU135))</f>
        <v>133</v>
      </c>
      <c r="FU136" s="6">
        <f>COUNTA((FU3:FU135))</f>
        <v>133</v>
      </c>
      <c r="HF136" s="6">
        <f>COUNTA((HF3:HF135))</f>
        <v>133</v>
      </c>
      <c r="HG136" s="6">
        <f>COUNTA((HG3:HG135))</f>
        <v>133</v>
      </c>
      <c r="HH136" s="6"/>
      <c r="HI136" s="6">
        <f>COUNTA((HI3:HI135))</f>
        <v>133</v>
      </c>
      <c r="HJ136" s="6">
        <f>COUNTA((HJ3:HJ135))</f>
        <v>7</v>
      </c>
      <c r="HK136" s="6">
        <f>COUNTA((HK3:HK135))</f>
        <v>84</v>
      </c>
      <c r="HL136" s="6">
        <f>COUNTA((HL3:HL135))</f>
        <v>52</v>
      </c>
      <c r="HM136" s="6">
        <f>COUNTA((HM3:HM135))</f>
        <v>12</v>
      </c>
    </row>
    <row r="137" spans="1:221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>
        <f>COUNTIF(AnalizaCzyste[Czy jesteś absolwentem uczelni wyższej?],"*"&amp;"Tak"&amp;"*")</f>
        <v>120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7">
        <f>COUNTIF(AnalizaCzyste[Czy jesteś rodzicem / opiekunem absolwenta uczelni wyższej?],"*"&amp;"Tak"&amp;"*")</f>
        <v>17</v>
      </c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7">
        <f>COUNTIF(AnalizaCzyste[Czy jesteś aktualnie pracownikiem administracyjnym uczelni wyższej?],"*"&amp;"Tak"&amp;"*")</f>
        <v>4</v>
      </c>
      <c r="CY137" s="8"/>
      <c r="CZ137" s="8"/>
      <c r="DA137" s="8"/>
      <c r="DB137" s="8"/>
      <c r="DC137" s="8"/>
      <c r="DD137" s="8"/>
      <c r="DE137" s="8"/>
      <c r="DF137" s="8"/>
      <c r="DG137" s="8"/>
      <c r="DH137" s="7">
        <f>COUNTIF(AnalizaCzyste[Czy jesteś aktualnie pracownikiem naukowym lub dydaktycznym uczelni wyższej?],"*"&amp;"Tak"&amp;"*")</f>
        <v>16</v>
      </c>
      <c r="DI137" s="8"/>
      <c r="DJ137" s="8"/>
      <c r="DK137" s="8"/>
      <c r="DL137" s="8"/>
      <c r="DM137" s="8"/>
      <c r="DN137" s="8"/>
      <c r="DO137" s="8"/>
      <c r="DP137" s="8"/>
      <c r="DQ137" s="8"/>
      <c r="DR137" s="7">
        <f>COUNTIF(AnalizaCzyste[Czy jesteś przedstawicielem władz uczelni z grupy rektorów, prorektorów, dziekanów, prodziekanów, członków senatu lub członków rady uczelni?],"*"&amp;"Tak"&amp;"*")</f>
        <v>5</v>
      </c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7">
        <f>COUNTIF(AnalizaCzyste[Czy jesteś przedstawicielem firmy, w której są zatrudniani absolwenci uczelni wyższych (tytuł licencjata, magistra lub wyższy)?],"*"&amp;"Tak"&amp;"*")</f>
        <v>18</v>
      </c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7">
        <f>COUNTIF(AnalizaCzyste[Czy jesteś przedstawicielem władz samorządowych lub centralnych Rzeczypospolitej Polskiej?],"*"&amp;"Tak"&amp;"*")</f>
        <v>2</v>
      </c>
      <c r="FV137" s="7">
        <f>COUNTIF(AnalizaCzyste[Proszę wskaż jaki poziom władzy samorządowej lub centralnej reprezentujesz.],"*"&amp;"Tak"&amp;"*")</f>
        <v>0</v>
      </c>
      <c r="FW137" s="7">
        <f>COUNTIF(AnalizaCzyste[Proszę o podanie nazwy organu władzy jaki reprezentujesz.],"*"&amp;"Tak"&amp;"*")</f>
        <v>0</v>
      </c>
      <c r="FX137" s="7">
        <f>COUNTIF(AnalizaCzyste[Ile uczelni będziesz oceniać?26],"*"&amp;"Tak"&amp;"*")</f>
        <v>0</v>
      </c>
      <c r="FY137" s="7">
        <f>COUNTIF(AnalizaCzyste[Jak się nazywa uczelnia, którą ocenisz?],"*"&amp;"Tak"&amp;"*")</f>
        <v>0</v>
      </c>
      <c r="FZ137" s="7">
        <f>COUNTIF(AnalizaCzyste[Efekty działań ocenianej uczelni na rzesz jakości edukacji są zgodne ze strategią rozwoju w regionie.],"*"&amp;"Tak"&amp;"*")</f>
        <v>0</v>
      </c>
      <c r="GA137" s="7">
        <f>COUNTIF(AnalizaCzyste[Wartość wykształcenia zdobywanego przez studentów na ocenianej uczelni jest wysoka.27],"*"&amp;"Tak"&amp;"*")</f>
        <v>0</v>
      </c>
      <c r="GB137" s="7">
        <f>COUNTIF(AnalizaCzyste[Zdobyte przez studentów ocenianej uczelni wykształcenie miało/ma pozytywny wpływ na ich zarobki.28],"*"&amp;"Tak"&amp;"*")</f>
        <v>0</v>
      </c>
      <c r="GC137" s="7">
        <f>COUNTIF(AnalizaCzyste[Efekty działań ocenianej uczelni na rzecz jakości edukacji mają dobry wpływ na rozwój regionu.29],"*"&amp;"Tak"&amp;"*")</f>
        <v>0</v>
      </c>
      <c r="GD137" s="7">
        <f>COUNTIF(AnalizaCzyste[Efekty działań ocenianej uczelni na rzecz jakości edukacji mają dobry wpływ na rozwój Polski.30],"*"&amp;"Tak"&amp;"*")</f>
        <v>0</v>
      </c>
      <c r="GE137" s="7">
        <f>COUNTIF(AnalizaCzyste[Współpraca ocenianej uczelni z biznesem ma pozytywne efekty dla rozwoju regionu / kraju.31],"*"&amp;"Tak"&amp;"*")</f>
        <v>0</v>
      </c>
      <c r="GF137" s="7">
        <f>COUNTIF(AnalizaCzyste[Ogólny poziom mojej satysfakcji z jakości usług edukacyjnych ocenianej uczelni jest wysoki.32],"*"&amp;"Tak"&amp;"*")</f>
        <v>0</v>
      </c>
      <c r="GG137" s="7">
        <f>COUNTIF(AnalizaCzyste[Pole dodatkowe33],"*"&amp;"Tak"&amp;"*")</f>
        <v>0</v>
      </c>
      <c r="GH137" s="7">
        <f>COUNTIF(AnalizaCzyste[Jakie inne efekty pracy ocenianej uczelni technicznej dostrzegasz obecnie?],"*"&amp;"Tak"&amp;"*")</f>
        <v>0</v>
      </c>
      <c r="GI137" s="7">
        <f>COUNTIF(AnalizaCzyste[Czy będziesz oceniać drugą uczelnię?],"*"&amp;"Tak"&amp;"*")</f>
        <v>0</v>
      </c>
      <c r="GJ137" s="7">
        <f>COUNTIF(AnalizaCzyste[Jak się nazywa uczelnia, którą ocenisz?34],"*"&amp;"Tak"&amp;"*")</f>
        <v>0</v>
      </c>
      <c r="GK137" s="7">
        <f>COUNTIF(AnalizaCzyste[Efekty działań ocenianej uczelni na rzesz jakości edukacji są zgodne ze strategią rozwoju w regionie.35],"*"&amp;"Tak"&amp;"*")</f>
        <v>0</v>
      </c>
      <c r="GL137" s="7">
        <f>COUNTIF(AnalizaCzyste[Wartość wykształcenia zdobywanego przez studentów na ocenianej uczelni jest wysoka.36],"*"&amp;"Tak"&amp;"*")</f>
        <v>0</v>
      </c>
      <c r="GM137" s="7">
        <f>COUNTIF(AnalizaCzyste[Zdobyte przez studentów ocenianej uczelni wykształcenie miało/ma pozytywny wpływ na ich zarobki.37],"*"&amp;"Tak"&amp;"*")</f>
        <v>0</v>
      </c>
      <c r="GN137" s="7">
        <f>COUNTIF(AnalizaCzyste[Efekty działań ocenianej uczelni na rzecz jakości edukacji mają dobry wpływ na rozwój regionu.38],"*"&amp;"Tak"&amp;"*")</f>
        <v>0</v>
      </c>
      <c r="GO137" s="7">
        <f>COUNTIF(AnalizaCzyste[Efekty działań ocenianej uczelni na rzecz jakości edukacji mają dobry wpływ na rozwój Polski.39],"*"&amp;"Tak"&amp;"*")</f>
        <v>0</v>
      </c>
      <c r="GP137" s="7">
        <f>COUNTIF(AnalizaCzyste[Współpraca ocenianej uczelni z biznesem ma pozytywne efekty dla rozwoju regionu / kraju.40],"*"&amp;"Tak"&amp;"*")</f>
        <v>0</v>
      </c>
      <c r="GQ137" s="7">
        <f>COUNTIF(AnalizaCzyste[Ogólny poziom mojej satysfakcji z jakości usług edukacyjnych ocenianej uczelni jest wysoki.41],"*"&amp;"Tak"&amp;"*")</f>
        <v>0</v>
      </c>
      <c r="GR137" s="7">
        <f>COUNTIF(AnalizaCzyste[Jakie inne efekty pracy ocenianej uczelni dostrzegasz obecnie?],"*"&amp;"Tak"&amp;"*")</f>
        <v>0</v>
      </c>
      <c r="GS137" s="7">
        <f>COUNTIF(AnalizaCzyste[Czy będziesz oceniać trzecią uczelnię?],"*"&amp;"Tak"&amp;"*")</f>
        <v>0</v>
      </c>
      <c r="GT137" s="7">
        <f>COUNTIF(AnalizaCzyste[Jak się nazywa uczelnia, którą ocenisz?42],"*"&amp;"Tak"&amp;"*")</f>
        <v>0</v>
      </c>
      <c r="GU137" s="7">
        <f>COUNTIF(AnalizaCzyste[Efekty działań ocenianej uczelni na rzesz jakości edukacji są zgodne ze strategią rozwoju w regionie.43],"*"&amp;"Tak"&amp;"*")</f>
        <v>0</v>
      </c>
      <c r="GV137" s="7">
        <f>COUNTIF(AnalizaCzyste[Wartość wykształcenia zdobywanego przez studentów na ocenianej uczelni jest wysoka.44],"*"&amp;"Tak"&amp;"*")</f>
        <v>0</v>
      </c>
      <c r="GW137" s="7">
        <f>COUNTIF(AnalizaCzyste[Zdobyte przez studentów ocenianej uczelni wykształcenie miało/ma pozytywny wpływ na ich zarobki.45],"*"&amp;"Tak"&amp;"*")</f>
        <v>0</v>
      </c>
      <c r="GX137" s="7">
        <f>COUNTIF(AnalizaCzyste[Efekty działań ocenianej uczelni na rzecz jakości edukacji mają dobry wpływ na rozwój regionu.46],"*"&amp;"Tak"&amp;"*")</f>
        <v>0</v>
      </c>
      <c r="GY137" s="7">
        <f>COUNTIF(AnalizaCzyste[Efekty działań ocenianej uczelni na rzecz jakości edukacji mają dobry wpływ na rozwój Polski.47],"*"&amp;"Tak"&amp;"*")</f>
        <v>0</v>
      </c>
      <c r="GZ137" s="7">
        <f>COUNTIF(AnalizaCzyste[Współpraca ocenianej uczelni z biznesem ma pozytywne efekty dla rozwoju regionu / kraju.48],"*"&amp;"Tak"&amp;"*")</f>
        <v>0</v>
      </c>
      <c r="HA137" s="7">
        <f>COUNTIF(AnalizaCzyste[Ogólny poziom mojej satysfakcji z jakości usług edukacyjnych ocenianej uczelni jest wysoki.49],"*"&amp;"Tak"&amp;"*")</f>
        <v>0</v>
      </c>
      <c r="HB137" s="7">
        <f>COUNTIF(AnalizaCzyste[Jakie inne efekty pracy ocenianej uczelni dostrzegasz obecnie?50],"*"&amp;"Tak"&amp;"*")</f>
        <v>0</v>
      </c>
      <c r="HC137" s="7">
        <f>COUNTIF(AnalizaCzyste[Jakie, Twoim zdaniem, elementy decydują o tym, że uczelnie są lepsze lub gorsze.],"*"&amp;"Tak"&amp;"*")</f>
        <v>5</v>
      </c>
      <c r="HD137" s="7">
        <f>COUNTIF(AnalizaCzyste[Kolumna51],"*"&amp;"Tak"&amp;"*")</f>
        <v>10</v>
      </c>
      <c r="HE137" s="7">
        <f>COUNTIF(AnalizaCzyste[Kolumna52],"*"&amp;"Tak"&amp;"*")</f>
        <v>3</v>
      </c>
      <c r="HF137" s="7">
        <f>COUNTIF(AnalizaCzyste[Płeć],"*"&amp;"Mężczyzna"&amp;"*")</f>
        <v>66</v>
      </c>
      <c r="HG137" s="7">
        <f>COUNTIF(AnalizaCzyste[Rok urodzenia],"*"&amp;"Tak"&amp;"*")</f>
        <v>0</v>
      </c>
      <c r="HH137" s="7"/>
      <c r="HI137" s="7">
        <f>COUNTIF(AnalizaCzyste[Z jakiej wielkości miejscowości pochodzisz? (dotyczy miejscowości, w której się wychowałaś/eś],"*"&amp;"Tak"&amp;"*")</f>
        <v>0</v>
      </c>
    </row>
    <row r="138" spans="1:221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>
        <f>COUNTIF(AnalizaCzyste[Czy jesteś absolwentem uczelni wyższej?],"*"&amp;"Nie (przejście"&amp;"*")</f>
        <v>13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7">
        <f>COUNTIF(AnalizaCzyste[Czy jesteś rodzicem / opiekunem absolwenta uczelni wyższej?],"*"&amp;"Nie (przejście"&amp;"*")</f>
        <v>116</v>
      </c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7">
        <f>COUNTIF(AnalizaCzyste[Czy jesteś aktualnie pracownikiem administracyjnym uczelni wyższej?],"*"&amp;"Nie (przejście"&amp;"*")</f>
        <v>129</v>
      </c>
      <c r="CY138" s="8"/>
      <c r="CZ138" s="8"/>
      <c r="DA138" s="8"/>
      <c r="DB138" s="8"/>
      <c r="DC138" s="8"/>
      <c r="DD138" s="8"/>
      <c r="DE138" s="8"/>
      <c r="DF138" s="8"/>
      <c r="DG138" s="8"/>
      <c r="DH138" s="7">
        <f>COUNTIF(AnalizaCzyste[Czy jesteś aktualnie pracownikiem naukowym lub dydaktycznym uczelni wyższej?],"*"&amp;"Nie (przejście"&amp;"*")</f>
        <v>117</v>
      </c>
      <c r="DI138" s="8"/>
      <c r="DJ138" s="8"/>
      <c r="DK138" s="8"/>
      <c r="DL138" s="8"/>
      <c r="DM138" s="8"/>
      <c r="DN138" s="8"/>
      <c r="DO138" s="8"/>
      <c r="DP138" s="8"/>
      <c r="DQ138" s="8"/>
      <c r="DR138" s="7">
        <f>COUNTIF(AnalizaCzyste[Czy jesteś przedstawicielem władz uczelni z grupy rektorów, prorektorów, dziekanów, prodziekanów, członków senatu lub członków rady uczelni?],"*"&amp;"Nie (przejście"&amp;"*")</f>
        <v>128</v>
      </c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7">
        <f>COUNTIF(AnalizaCzyste[Czy jesteś przedstawicielem firmy, w której są zatrudniani absolwenci uczelni wyższych (tytuł licencjata, magistra lub wyższy)?],"*"&amp;"Nie (przejście"&amp;"*")</f>
        <v>115</v>
      </c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7">
        <f>COUNTIF(AnalizaCzyste[Czy jesteś przedstawicielem władz samorządowych lub centralnych Rzeczypospolitej Polskiej?],"*"&amp;"Nie (przejście"&amp;"*")</f>
        <v>131</v>
      </c>
      <c r="FV138" s="7">
        <f>COUNTIF(AnalizaCzyste[Proszę wskaż jaki poziom władzy samorządowej lub centralnej reprezentujesz.],"*"&amp;"Nie (przejście"&amp;"*")</f>
        <v>0</v>
      </c>
      <c r="FW138" s="7">
        <f>COUNTIF(AnalizaCzyste[Proszę o podanie nazwy organu władzy jaki reprezentujesz.],"*"&amp;"Nie (przejście"&amp;"*")</f>
        <v>0</v>
      </c>
      <c r="FX138" s="7">
        <f>COUNTIF(AnalizaCzyste[Ile uczelni będziesz oceniać?26],"*"&amp;"Nie (przejście"&amp;"*")</f>
        <v>0</v>
      </c>
      <c r="FY138" s="7">
        <f>COUNTIF(AnalizaCzyste[Jak się nazywa uczelnia, którą ocenisz?],"*"&amp;"Nie (przejście"&amp;"*")</f>
        <v>0</v>
      </c>
      <c r="FZ138" s="7">
        <f>COUNTIF(AnalizaCzyste[Efekty działań ocenianej uczelni na rzesz jakości edukacji są zgodne ze strategią rozwoju w regionie.],"*"&amp;"Nie (przejście"&amp;"*")</f>
        <v>0</v>
      </c>
      <c r="GA138" s="7">
        <f>COUNTIF(AnalizaCzyste[Wartość wykształcenia zdobywanego przez studentów na ocenianej uczelni jest wysoka.27],"*"&amp;"Nie (przejście"&amp;"*")</f>
        <v>0</v>
      </c>
      <c r="GB138" s="7">
        <f>COUNTIF(AnalizaCzyste[Zdobyte przez studentów ocenianej uczelni wykształcenie miało/ma pozytywny wpływ na ich zarobki.28],"*"&amp;"Nie (przejście"&amp;"*")</f>
        <v>0</v>
      </c>
      <c r="GC138" s="7">
        <f>COUNTIF(AnalizaCzyste[Efekty działań ocenianej uczelni na rzecz jakości edukacji mają dobry wpływ na rozwój regionu.29],"*"&amp;"Nie (przejście"&amp;"*")</f>
        <v>0</v>
      </c>
      <c r="GD138" s="7">
        <f>COUNTIF(AnalizaCzyste[Efekty działań ocenianej uczelni na rzecz jakości edukacji mają dobry wpływ na rozwój Polski.30],"*"&amp;"Nie (przejście"&amp;"*")</f>
        <v>0</v>
      </c>
      <c r="GE138" s="7">
        <f>COUNTIF(AnalizaCzyste[Współpraca ocenianej uczelni z biznesem ma pozytywne efekty dla rozwoju regionu / kraju.31],"*"&amp;"Nie (przejście"&amp;"*")</f>
        <v>0</v>
      </c>
      <c r="GF138" s="7">
        <f>COUNTIF(AnalizaCzyste[Ogólny poziom mojej satysfakcji z jakości usług edukacyjnych ocenianej uczelni jest wysoki.32],"*"&amp;"Nie (przejście"&amp;"*")</f>
        <v>0</v>
      </c>
      <c r="GG138" s="7">
        <f>COUNTIF(AnalizaCzyste[Pole dodatkowe33],"*"&amp;"Nie (przejście"&amp;"*")</f>
        <v>0</v>
      </c>
      <c r="GH138" s="7">
        <f>COUNTIF(AnalizaCzyste[Jakie inne efekty pracy ocenianej uczelni technicznej dostrzegasz obecnie?],"*"&amp;"Nie (przejście"&amp;"*")</f>
        <v>0</v>
      </c>
      <c r="GI138" s="7">
        <f>COUNTIF(AnalizaCzyste[Czy będziesz oceniać drugą uczelnię?],"*"&amp;"Nie (przejście"&amp;"*")</f>
        <v>2</v>
      </c>
      <c r="GJ138" s="7">
        <f>COUNTIF(AnalizaCzyste[Jak się nazywa uczelnia, którą ocenisz?34],"*"&amp;"Nie (przejście"&amp;"*")</f>
        <v>0</v>
      </c>
      <c r="GK138" s="7">
        <f>COUNTIF(AnalizaCzyste[Efekty działań ocenianej uczelni na rzesz jakości edukacji są zgodne ze strategią rozwoju w regionie.35],"*"&amp;"Nie (przejście"&amp;"*")</f>
        <v>0</v>
      </c>
      <c r="GL138" s="7">
        <f>COUNTIF(AnalizaCzyste[Wartość wykształcenia zdobywanego przez studentów na ocenianej uczelni jest wysoka.36],"*"&amp;"Nie (przejście"&amp;"*")</f>
        <v>0</v>
      </c>
      <c r="GM138" s="7">
        <f>COUNTIF(AnalizaCzyste[Zdobyte przez studentów ocenianej uczelni wykształcenie miało/ma pozytywny wpływ na ich zarobki.37],"*"&amp;"Nie (przejście"&amp;"*")</f>
        <v>0</v>
      </c>
      <c r="GN138" s="7">
        <f>COUNTIF(AnalizaCzyste[Efekty działań ocenianej uczelni na rzecz jakości edukacji mają dobry wpływ na rozwój regionu.38],"*"&amp;"Nie (przejście"&amp;"*")</f>
        <v>0</v>
      </c>
      <c r="GO138" s="7">
        <f>COUNTIF(AnalizaCzyste[Efekty działań ocenianej uczelni na rzecz jakości edukacji mają dobry wpływ na rozwój Polski.39],"*"&amp;"Nie (przejście"&amp;"*")</f>
        <v>0</v>
      </c>
      <c r="GP138" s="7">
        <f>COUNTIF(AnalizaCzyste[Współpraca ocenianej uczelni z biznesem ma pozytywne efekty dla rozwoju regionu / kraju.40],"*"&amp;"Nie (przejście"&amp;"*")</f>
        <v>0</v>
      </c>
      <c r="GQ138" s="7">
        <f>COUNTIF(AnalizaCzyste[Ogólny poziom mojej satysfakcji z jakości usług edukacyjnych ocenianej uczelni jest wysoki.41],"*"&amp;"Nie (przejście"&amp;"*")</f>
        <v>0</v>
      </c>
      <c r="GR138" s="7">
        <f>COUNTIF(AnalizaCzyste[Jakie inne efekty pracy ocenianej uczelni dostrzegasz obecnie?],"*"&amp;"Nie (przejście"&amp;"*")</f>
        <v>0</v>
      </c>
      <c r="GS138" s="7">
        <f>COUNTIF(AnalizaCzyste[Czy będziesz oceniać trzecią uczelnię?],"*"&amp;"Nie (przejście"&amp;"*")</f>
        <v>0</v>
      </c>
      <c r="GT138" s="7">
        <f>COUNTIF(AnalizaCzyste[Jak się nazywa uczelnia, którą ocenisz?42],"*"&amp;"Nie (przejście"&amp;"*")</f>
        <v>0</v>
      </c>
      <c r="GU138" s="7">
        <f>COUNTIF(AnalizaCzyste[Efekty działań ocenianej uczelni na rzesz jakości edukacji są zgodne ze strategią rozwoju w regionie.43],"*"&amp;"Nie (przejście"&amp;"*")</f>
        <v>0</v>
      </c>
      <c r="GV138" s="7">
        <f>COUNTIF(AnalizaCzyste[Wartość wykształcenia zdobywanego przez studentów na ocenianej uczelni jest wysoka.44],"*"&amp;"Nie (przejście"&amp;"*")</f>
        <v>0</v>
      </c>
      <c r="GW138" s="7">
        <f>COUNTIF(AnalizaCzyste[Zdobyte przez studentów ocenianej uczelni wykształcenie miało/ma pozytywny wpływ na ich zarobki.45],"*"&amp;"Nie (przejście"&amp;"*")</f>
        <v>0</v>
      </c>
      <c r="GX138" s="7">
        <f>COUNTIF(AnalizaCzyste[Efekty działań ocenianej uczelni na rzecz jakości edukacji mają dobry wpływ na rozwój regionu.46],"*"&amp;"Nie (przejście"&amp;"*")</f>
        <v>0</v>
      </c>
      <c r="GY138" s="7">
        <f>COUNTIF(AnalizaCzyste[Efekty działań ocenianej uczelni na rzecz jakości edukacji mają dobry wpływ na rozwój Polski.47],"*"&amp;"Nie (przejście"&amp;"*")</f>
        <v>0</v>
      </c>
      <c r="GZ138" s="7">
        <f>COUNTIF(AnalizaCzyste[Współpraca ocenianej uczelni z biznesem ma pozytywne efekty dla rozwoju regionu / kraju.48],"*"&amp;"Nie (przejście"&amp;"*")</f>
        <v>0</v>
      </c>
      <c r="HA138" s="7">
        <f>COUNTIF(AnalizaCzyste[Ogólny poziom mojej satysfakcji z jakości usług edukacyjnych ocenianej uczelni jest wysoki.49],"*"&amp;"Nie (przejście"&amp;"*")</f>
        <v>0</v>
      </c>
      <c r="HB138" s="7">
        <f>COUNTIF(AnalizaCzyste[Jakie inne efekty pracy ocenianej uczelni dostrzegasz obecnie?50],"*"&amp;"Nie (przejście"&amp;"*")</f>
        <v>0</v>
      </c>
      <c r="HC138" s="7">
        <f>COUNTIF(AnalizaCzyste[Jakie, Twoim zdaniem, elementy decydują o tym, że uczelnie są lepsze lub gorsze.],"*"&amp;"Nie (przejście"&amp;"*")</f>
        <v>0</v>
      </c>
      <c r="HD138" s="7">
        <f>COUNTIF(AnalizaCzyste[Kolumna51],"*"&amp;"Nie (przejście"&amp;"*")</f>
        <v>0</v>
      </c>
      <c r="HE138" s="7">
        <f>COUNTIF(AnalizaCzyste[Kolumna52],"*"&amp;"Nie (przejście"&amp;"*")</f>
        <v>0</v>
      </c>
      <c r="HF138" s="7">
        <f>COUNTIF(AnalizaCzyste[Płeć],"*"&amp;"Kobieta"&amp;"*")</f>
        <v>67</v>
      </c>
      <c r="HG138" s="7">
        <f>COUNTIF(AnalizaCzyste[Rok urodzenia],"*"&amp;"Nie (przejście"&amp;"*")</f>
        <v>0</v>
      </c>
      <c r="HH138" s="7"/>
      <c r="HI138" s="7">
        <f>COUNTIF(AnalizaCzyste[Z jakiej wielkości miejscowości pochodzisz? (dotyczy miejscowości, w której się wychowałaś/eś],"*"&amp;"Nie (przejście"&amp;"*")</f>
        <v>0</v>
      </c>
    </row>
    <row r="139" spans="1:221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>
        <f>COUNTBLANK(AnalizaCzyste[Czy jesteś absolwentem uczelni wyższej?])</f>
        <v>0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7">
        <f>COUNTBLANK(AnalizaCzyste[Czy jesteś rodzicem / opiekunem absolwenta uczelni wyższej?])</f>
        <v>0</v>
      </c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7">
        <f>COUNTBLANK(AnalizaCzyste[Czy jesteś aktualnie pracownikiem administracyjnym uczelni wyższej?])</f>
        <v>0</v>
      </c>
      <c r="CY139" s="8"/>
      <c r="CZ139" s="8"/>
      <c r="DA139" s="8"/>
      <c r="DB139" s="8"/>
      <c r="DC139" s="8"/>
      <c r="DD139" s="8"/>
      <c r="DE139" s="8"/>
      <c r="DF139" s="8"/>
      <c r="DG139" s="8"/>
      <c r="DH139" s="7">
        <f>COUNTBLANK(AnalizaCzyste[Czy jesteś aktualnie pracownikiem naukowym lub dydaktycznym uczelni wyższej?])</f>
        <v>0</v>
      </c>
      <c r="DI139" s="8"/>
      <c r="DJ139" s="8"/>
      <c r="DK139" s="8"/>
      <c r="DL139" s="8"/>
      <c r="DM139" s="8"/>
      <c r="DN139" s="8"/>
      <c r="DO139" s="8"/>
      <c r="DP139" s="8"/>
      <c r="DQ139" s="8"/>
      <c r="DR139" s="7">
        <f>COUNTBLANK(AnalizaCzyste[Czy jesteś przedstawicielem władz uczelni z grupy rektorów, prorektorów, dziekanów, prodziekanów, członków senatu lub członków rady uczelni?])</f>
        <v>0</v>
      </c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7">
        <f>COUNTBLANK(AnalizaCzyste[Czy jesteś przedstawicielem firmy, w której są zatrudniani absolwenci uczelni wyższych (tytuł licencjata, magistra lub wyższy)?])</f>
        <v>0</v>
      </c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7">
        <f>COUNTBLANK(AnalizaCzyste[Czy jesteś przedstawicielem władz samorządowych lub centralnych Rzeczypospolitej Polskiej?])</f>
        <v>0</v>
      </c>
      <c r="FV139" s="7">
        <f>COUNTBLANK(AnalizaCzyste[Proszę wskaż jaki poziom władzy samorządowej lub centralnej reprezentujesz.])</f>
        <v>66</v>
      </c>
      <c r="FW139" s="7">
        <f>COUNTBLANK(AnalizaCzyste[Proszę o podanie nazwy organu władzy jaki reprezentujesz.])</f>
        <v>131</v>
      </c>
      <c r="FX139" s="7">
        <f>COUNTBLANK(AnalizaCzyste[Ile uczelni będziesz oceniać?26])</f>
        <v>96</v>
      </c>
      <c r="FY139" s="7">
        <f>COUNTBLANK(AnalizaCzyste[Jak się nazywa uczelnia, którą ocenisz?])</f>
        <v>131</v>
      </c>
      <c r="FZ139" s="7">
        <f>COUNTBLANK(AnalizaCzyste[Efekty działań ocenianej uczelni na rzesz jakości edukacji są zgodne ze strategią rozwoju w regionie.])</f>
        <v>131</v>
      </c>
      <c r="GA139" s="7">
        <f>COUNTBLANK(AnalizaCzyste[Wartość wykształcenia zdobywanego przez studentów na ocenianej uczelni jest wysoka.27])</f>
        <v>131</v>
      </c>
      <c r="GB139" s="7">
        <f>COUNTBLANK(AnalizaCzyste[Zdobyte przez studentów ocenianej uczelni wykształcenie miało/ma pozytywny wpływ na ich zarobki.28])</f>
        <v>131</v>
      </c>
      <c r="GC139" s="7">
        <f>COUNTBLANK(AnalizaCzyste[Efekty działań ocenianej uczelni na rzecz jakości edukacji mają dobry wpływ na rozwój regionu.29])</f>
        <v>131</v>
      </c>
      <c r="GD139" s="7">
        <f>COUNTBLANK(AnalizaCzyste[Efekty działań ocenianej uczelni na rzecz jakości edukacji mają dobry wpływ na rozwój Polski.30])</f>
        <v>131</v>
      </c>
      <c r="GE139" s="7">
        <f>COUNTBLANK(AnalizaCzyste[Współpraca ocenianej uczelni z biznesem ma pozytywne efekty dla rozwoju regionu / kraju.31])</f>
        <v>131</v>
      </c>
      <c r="GF139" s="7">
        <f>COUNTBLANK(AnalizaCzyste[Ogólny poziom mojej satysfakcji z jakości usług edukacyjnych ocenianej uczelni jest wysoki.32])</f>
        <v>131</v>
      </c>
      <c r="GG139" s="7">
        <f>COUNTBLANK(AnalizaCzyste[Pole dodatkowe33])</f>
        <v>133</v>
      </c>
      <c r="GH139" s="7">
        <f>COUNTBLANK(AnalizaCzyste[Jakie inne efekty pracy ocenianej uczelni technicznej dostrzegasz obecnie?])</f>
        <v>132</v>
      </c>
      <c r="GI139" s="7">
        <f>COUNTBLANK(AnalizaCzyste[Czy będziesz oceniać drugą uczelnię?])</f>
        <v>131</v>
      </c>
      <c r="GJ139" s="7">
        <f>COUNTBLANK(AnalizaCzyste[Jak się nazywa uczelnia, którą ocenisz?34])</f>
        <v>133</v>
      </c>
      <c r="GK139" s="7">
        <f>COUNTBLANK(AnalizaCzyste[Efekty działań ocenianej uczelni na rzesz jakości edukacji są zgodne ze strategią rozwoju w regionie.35])</f>
        <v>133</v>
      </c>
      <c r="GL139" s="7">
        <f>COUNTBLANK(AnalizaCzyste[Wartość wykształcenia zdobywanego przez studentów na ocenianej uczelni jest wysoka.36])</f>
        <v>133</v>
      </c>
      <c r="GM139" s="7">
        <f>COUNTBLANK(AnalizaCzyste[Zdobyte przez studentów ocenianej uczelni wykształcenie miało/ma pozytywny wpływ na ich zarobki.37])</f>
        <v>133</v>
      </c>
      <c r="GN139" s="7">
        <f>COUNTBLANK(AnalizaCzyste[Efekty działań ocenianej uczelni na rzecz jakości edukacji mają dobry wpływ na rozwój regionu.38])</f>
        <v>133</v>
      </c>
      <c r="GO139" s="7">
        <f>COUNTBLANK(AnalizaCzyste[Efekty działań ocenianej uczelni na rzecz jakości edukacji mają dobry wpływ na rozwój Polski.39])</f>
        <v>133</v>
      </c>
      <c r="GP139" s="7">
        <f>COUNTBLANK(AnalizaCzyste[Współpraca ocenianej uczelni z biznesem ma pozytywne efekty dla rozwoju regionu / kraju.40])</f>
        <v>133</v>
      </c>
      <c r="GQ139" s="7">
        <f>COUNTBLANK(AnalizaCzyste[Ogólny poziom mojej satysfakcji z jakości usług edukacyjnych ocenianej uczelni jest wysoki.41])</f>
        <v>133</v>
      </c>
      <c r="GR139" s="7">
        <f>COUNTBLANK(AnalizaCzyste[Jakie inne efekty pracy ocenianej uczelni dostrzegasz obecnie?])</f>
        <v>133</v>
      </c>
      <c r="GS139" s="7">
        <f>COUNTBLANK(AnalizaCzyste[Czy będziesz oceniać trzecią uczelnię?])</f>
        <v>133</v>
      </c>
      <c r="GT139" s="7">
        <f>COUNTBLANK(AnalizaCzyste[Jak się nazywa uczelnia, którą ocenisz?42])</f>
        <v>133</v>
      </c>
      <c r="GU139" s="7">
        <f>COUNTBLANK(AnalizaCzyste[Efekty działań ocenianej uczelni na rzesz jakości edukacji są zgodne ze strategią rozwoju w regionie.43])</f>
        <v>133</v>
      </c>
      <c r="GV139" s="7">
        <f>COUNTBLANK(AnalizaCzyste[Wartość wykształcenia zdobywanego przez studentów na ocenianej uczelni jest wysoka.44])</f>
        <v>133</v>
      </c>
      <c r="GW139" s="7">
        <f>COUNTBLANK(AnalizaCzyste[Zdobyte przez studentów ocenianej uczelni wykształcenie miało/ma pozytywny wpływ na ich zarobki.45])</f>
        <v>133</v>
      </c>
      <c r="GX139" s="7">
        <f>COUNTBLANK(AnalizaCzyste[Efekty działań ocenianej uczelni na rzecz jakości edukacji mają dobry wpływ na rozwój regionu.46])</f>
        <v>133</v>
      </c>
      <c r="GY139" s="7">
        <f>COUNTBLANK(AnalizaCzyste[Efekty działań ocenianej uczelni na rzecz jakości edukacji mają dobry wpływ na rozwój Polski.47])</f>
        <v>133</v>
      </c>
      <c r="GZ139" s="7">
        <f>COUNTBLANK(AnalizaCzyste[Współpraca ocenianej uczelni z biznesem ma pozytywne efekty dla rozwoju regionu / kraju.48])</f>
        <v>133</v>
      </c>
      <c r="HA139" s="7">
        <f>COUNTBLANK(AnalizaCzyste[Ogólny poziom mojej satysfakcji z jakości usług edukacyjnych ocenianej uczelni jest wysoki.49])</f>
        <v>133</v>
      </c>
      <c r="HB139" s="7">
        <f>COUNTBLANK(AnalizaCzyste[Jakie inne efekty pracy ocenianej uczelni dostrzegasz obecnie?50])</f>
        <v>133</v>
      </c>
      <c r="HC139" s="7">
        <f>COUNTBLANK(AnalizaCzyste[Jakie, Twoim zdaniem, elementy decydują o tym, że uczelnie są lepsze lub gorsze.])</f>
        <v>1</v>
      </c>
      <c r="HD139" s="7">
        <f>COUNTBLANK(AnalizaCzyste[Kolumna51])</f>
        <v>1</v>
      </c>
      <c r="HE139" s="7">
        <f>COUNTBLANK(AnalizaCzyste[Kolumna52])</f>
        <v>1</v>
      </c>
      <c r="HF139" s="7">
        <f>COUNTBLANK(AnalizaCzyste[Płeć])</f>
        <v>0</v>
      </c>
      <c r="HG139" s="7">
        <f>COUNTBLANK(AnalizaCzyste[Rok urodzenia])</f>
        <v>0</v>
      </c>
      <c r="HH139" s="7"/>
      <c r="HI139" s="7">
        <f>COUNTBLANK(AnalizaCzyste[Z jakiej wielkości miejscowości pochodzisz? (dotyczy miejscowości, w której się wychowałaś/eś])</f>
        <v>0</v>
      </c>
    </row>
    <row r="140" spans="1:221" ht="14.65" thickBot="1" x14ac:dyDescent="0.5">
      <c r="P140">
        <f>SUM(P137:P139)</f>
        <v>133</v>
      </c>
      <c r="Q140">
        <f t="shared" ref="Q140:CG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V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133</v>
      </c>
      <c r="AH140">
        <f t="shared" si="7"/>
        <v>0</v>
      </c>
      <c r="AL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Q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W140">
        <f t="shared" si="7"/>
        <v>0</v>
      </c>
      <c r="AY140">
        <f t="shared" si="7"/>
        <v>0</v>
      </c>
      <c r="AZ140">
        <f t="shared" si="7"/>
        <v>0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133</v>
      </c>
      <c r="BE140">
        <f t="shared" si="7"/>
        <v>0</v>
      </c>
      <c r="BF140">
        <f t="shared" si="7"/>
        <v>0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M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si="7"/>
        <v>0</v>
      </c>
      <c r="CE140">
        <f t="shared" si="7"/>
        <v>0</v>
      </c>
      <c r="CF140">
        <f t="shared" si="7"/>
        <v>0</v>
      </c>
      <c r="CG140">
        <f t="shared" si="7"/>
        <v>0</v>
      </c>
      <c r="CH140">
        <f t="shared" ref="CH140:DR140" si="8">SUM(CH137:CH139)</f>
        <v>0</v>
      </c>
      <c r="CI140">
        <f t="shared" si="8"/>
        <v>0</v>
      </c>
      <c r="CJ140">
        <f t="shared" si="8"/>
        <v>0</v>
      </c>
      <c r="CK140">
        <f t="shared" si="8"/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0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133</v>
      </c>
      <c r="CY140">
        <f t="shared" si="8"/>
        <v>0</v>
      </c>
      <c r="CZ140">
        <f t="shared" si="8"/>
        <v>0</v>
      </c>
      <c r="DA140">
        <f t="shared" si="8"/>
        <v>0</v>
      </c>
      <c r="DB140">
        <f t="shared" si="8"/>
        <v>0</v>
      </c>
      <c r="DC140">
        <f t="shared" si="8"/>
        <v>0</v>
      </c>
      <c r="DD140">
        <f t="shared" si="8"/>
        <v>0</v>
      </c>
      <c r="DE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133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0</v>
      </c>
      <c r="DM140">
        <f t="shared" si="8"/>
        <v>0</v>
      </c>
      <c r="DN140">
        <f t="shared" si="8"/>
        <v>0</v>
      </c>
      <c r="DO140">
        <f t="shared" si="8"/>
        <v>0</v>
      </c>
      <c r="DP140">
        <f t="shared" si="8"/>
        <v>0</v>
      </c>
      <c r="DQ140">
        <f t="shared" si="8"/>
        <v>0</v>
      </c>
      <c r="DR140">
        <f t="shared" si="8"/>
        <v>133</v>
      </c>
      <c r="DS140">
        <f>SUM(DS137:DS139)</f>
        <v>0</v>
      </c>
      <c r="DT140">
        <f t="shared" ref="DT140:GE140" si="9">SUM(DT137:DT139)</f>
        <v>0</v>
      </c>
      <c r="DU140">
        <f t="shared" si="9"/>
        <v>0</v>
      </c>
      <c r="DV140">
        <f t="shared" si="9"/>
        <v>0</v>
      </c>
      <c r="DW140">
        <f t="shared" si="9"/>
        <v>0</v>
      </c>
      <c r="DX140">
        <f t="shared" si="9"/>
        <v>0</v>
      </c>
      <c r="DY140">
        <f t="shared" si="9"/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J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0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133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0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F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0</v>
      </c>
      <c r="FR140">
        <f t="shared" si="9"/>
        <v>0</v>
      </c>
      <c r="FS140">
        <f t="shared" si="9"/>
        <v>0</v>
      </c>
      <c r="FT140">
        <f t="shared" si="9"/>
        <v>0</v>
      </c>
      <c r="FU140">
        <f t="shared" si="9"/>
        <v>133</v>
      </c>
      <c r="FV140">
        <f t="shared" si="9"/>
        <v>66</v>
      </c>
      <c r="FW140">
        <f t="shared" si="9"/>
        <v>131</v>
      </c>
      <c r="FX140">
        <f t="shared" si="9"/>
        <v>96</v>
      </c>
      <c r="FY140">
        <f t="shared" si="9"/>
        <v>131</v>
      </c>
      <c r="FZ140">
        <f t="shared" si="9"/>
        <v>131</v>
      </c>
      <c r="GA140">
        <f t="shared" si="9"/>
        <v>131</v>
      </c>
      <c r="GB140">
        <f t="shared" si="9"/>
        <v>131</v>
      </c>
      <c r="GC140">
        <f t="shared" si="9"/>
        <v>131</v>
      </c>
      <c r="GD140">
        <f t="shared" si="9"/>
        <v>131</v>
      </c>
      <c r="GE140">
        <f t="shared" si="9"/>
        <v>131</v>
      </c>
      <c r="GF140">
        <f t="shared" ref="GF140:HF140" si="10">SUM(GF137:GF139)</f>
        <v>131</v>
      </c>
      <c r="GG140">
        <f t="shared" si="10"/>
        <v>133</v>
      </c>
      <c r="GH140">
        <f t="shared" si="10"/>
        <v>132</v>
      </c>
      <c r="GI140">
        <f t="shared" si="10"/>
        <v>133</v>
      </c>
      <c r="GJ140">
        <f t="shared" si="10"/>
        <v>133</v>
      </c>
      <c r="GK140">
        <f t="shared" si="10"/>
        <v>133</v>
      </c>
      <c r="GL140">
        <f t="shared" si="10"/>
        <v>133</v>
      </c>
      <c r="GM140">
        <f t="shared" si="10"/>
        <v>133</v>
      </c>
      <c r="GN140">
        <f t="shared" si="10"/>
        <v>133</v>
      </c>
      <c r="GO140">
        <f t="shared" si="10"/>
        <v>133</v>
      </c>
      <c r="GP140">
        <f t="shared" si="10"/>
        <v>133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133</v>
      </c>
      <c r="GZ140">
        <f t="shared" si="10"/>
        <v>133</v>
      </c>
      <c r="HA140">
        <f t="shared" si="10"/>
        <v>133</v>
      </c>
      <c r="HB140">
        <f t="shared" si="10"/>
        <v>133</v>
      </c>
      <c r="HC140">
        <f t="shared" si="10"/>
        <v>6</v>
      </c>
      <c r="HD140">
        <f t="shared" si="10"/>
        <v>11</v>
      </c>
      <c r="HE140">
        <f t="shared" si="10"/>
        <v>4</v>
      </c>
      <c r="HF140">
        <f t="shared" si="10"/>
        <v>133</v>
      </c>
      <c r="HG140">
        <f>SUM(HG136,HG139)</f>
        <v>133</v>
      </c>
      <c r="HI140">
        <f>SUM(HI136,HI139)</f>
        <v>133</v>
      </c>
    </row>
    <row r="141" spans="1:221" ht="14.65" thickTop="1" x14ac:dyDescent="0.45">
      <c r="Q141" s="7"/>
      <c r="EE141">
        <f t="shared" ref="EE141:EK141" si="11">SUM(EE66,EE67,EE74,EE84,EE87)</f>
        <v>0</v>
      </c>
      <c r="EF141">
        <f t="shared" si="11"/>
        <v>0</v>
      </c>
      <c r="EG141">
        <f t="shared" si="11"/>
        <v>0</v>
      </c>
      <c r="EH141">
        <f t="shared" si="11"/>
        <v>0</v>
      </c>
      <c r="EI141">
        <f t="shared" si="11"/>
        <v>0</v>
      </c>
      <c r="EJ141">
        <f t="shared" si="11"/>
        <v>0</v>
      </c>
      <c r="EK141">
        <f t="shared" si="11"/>
        <v>0</v>
      </c>
      <c r="EL141">
        <f>SUM(EE141:EK141)</f>
        <v>0</v>
      </c>
      <c r="EM141">
        <f t="shared" ref="EM141:ES141" si="12">SUM(EM66,EM67,EM74,EM84,EM87)</f>
        <v>0</v>
      </c>
      <c r="EN141">
        <f t="shared" si="12"/>
        <v>0</v>
      </c>
      <c r="EO141">
        <f t="shared" si="12"/>
        <v>0</v>
      </c>
      <c r="EP141">
        <f t="shared" si="12"/>
        <v>0</v>
      </c>
      <c r="EQ141">
        <f t="shared" si="12"/>
        <v>0</v>
      </c>
      <c r="ER141">
        <f t="shared" si="12"/>
        <v>0</v>
      </c>
      <c r="ES141">
        <f t="shared" si="12"/>
        <v>0</v>
      </c>
      <c r="ET141">
        <f>SUM(EM141:ES141)</f>
        <v>0</v>
      </c>
    </row>
    <row r="142" spans="1:221" x14ac:dyDescent="0.45">
      <c r="EE142" s="33" t="e">
        <f t="shared" ref="EE142:EK142" si="13">EE141/$EL$141</f>
        <v>#DIV/0!</v>
      </c>
      <c r="EF142" s="33" t="e">
        <f t="shared" si="13"/>
        <v>#DIV/0!</v>
      </c>
      <c r="EG142" s="33" t="e">
        <f t="shared" si="13"/>
        <v>#DIV/0!</v>
      </c>
      <c r="EH142" s="33" t="e">
        <f t="shared" si="13"/>
        <v>#DIV/0!</v>
      </c>
      <c r="EI142" s="33" t="e">
        <f t="shared" si="13"/>
        <v>#DIV/0!</v>
      </c>
      <c r="EJ142" s="33" t="e">
        <f t="shared" si="13"/>
        <v>#DIV/0!</v>
      </c>
      <c r="EK142" s="33" t="e">
        <f t="shared" si="13"/>
        <v>#DIV/0!</v>
      </c>
      <c r="EL142" s="33" t="e">
        <f>SUM(EE142:EK142)</f>
        <v>#DIV/0!</v>
      </c>
      <c r="EM142" s="33" t="e">
        <f t="shared" ref="EM142:ES142" si="14">EM141/$EL$141</f>
        <v>#DIV/0!</v>
      </c>
      <c r="EN142" s="33" t="e">
        <f t="shared" si="14"/>
        <v>#DIV/0!</v>
      </c>
      <c r="EO142" s="33" t="e">
        <f t="shared" si="14"/>
        <v>#DIV/0!</v>
      </c>
      <c r="EP142" s="33" t="e">
        <f t="shared" si="14"/>
        <v>#DIV/0!</v>
      </c>
      <c r="EQ142" s="33" t="e">
        <f t="shared" si="14"/>
        <v>#DIV/0!</v>
      </c>
      <c r="ER142" s="33" t="e">
        <f t="shared" si="14"/>
        <v>#DIV/0!</v>
      </c>
      <c r="ES142" s="33" t="e">
        <f t="shared" si="14"/>
        <v>#DIV/0!</v>
      </c>
      <c r="ET142" s="33" t="e">
        <f>SUM(EM142:ES142)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3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K195"/>
  <sheetViews>
    <sheetView tabSelected="1" workbookViewId="0">
      <selection activeCell="E37" sqref="E37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46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  <row r="180" spans="2:11" ht="71.25" x14ac:dyDescent="0.45">
      <c r="B180" s="56" t="s">
        <v>2453</v>
      </c>
      <c r="C180" s="56" t="s">
        <v>2454</v>
      </c>
      <c r="D180" s="56" t="s">
        <v>2456</v>
      </c>
      <c r="E180" s="56" t="s">
        <v>2457</v>
      </c>
      <c r="F180" s="56" t="s">
        <v>2460</v>
      </c>
      <c r="G180" s="56" t="s">
        <v>2459</v>
      </c>
      <c r="H180" s="56" t="s">
        <v>2465</v>
      </c>
      <c r="I180" s="56" t="s">
        <v>2466</v>
      </c>
      <c r="J180" s="56" t="s">
        <v>2467</v>
      </c>
      <c r="K180" s="28" t="s">
        <v>2468</v>
      </c>
    </row>
    <row r="181" spans="2:11" x14ac:dyDescent="0.45">
      <c r="B181" t="s">
        <v>132</v>
      </c>
      <c r="C181" s="20" t="s">
        <v>2329</v>
      </c>
      <c r="D181">
        <f>COUNTIF(AnalizaCzyste[w pierwszym roku po ukończeniu studiów : wybierz wartość z listy rozwijanej4],Zarobki[[#This Row],[Kategoria zarobków]])</f>
        <v>11</v>
      </c>
      <c r="E181">
        <f>COUNTIF(AnalizaCzyste[w 3 lata po ukończeniu studiów : wybierz wartość z listy rozwijanej5],Zarobki[[#This Row],[Kategoria zarobków]])</f>
        <v>20</v>
      </c>
      <c r="H181" s="57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I181" s="57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J181" s="57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K181" s="57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82" spans="2:11" x14ac:dyDescent="0.45">
      <c r="B182" t="s">
        <v>152</v>
      </c>
      <c r="C182">
        <v>500</v>
      </c>
      <c r="D182">
        <f>COUNTIF(AnalizaCzyste[w pierwszym roku po ukończeniu studiów : wybierz wartość z listy rozwijanej4],Zarobki[[#This Row],[Kategoria zarobków]])</f>
        <v>11</v>
      </c>
      <c r="E182">
        <f>COUNTIF(AnalizaCzyste[w 3 lata po ukończeniu studiów : wybierz wartość z listy rozwijanej5],Zarobki[[#This Row],[Kategoria zarobków]])</f>
        <v>5</v>
      </c>
      <c r="F182">
        <f>Zarobki[[#This Row],[Wartość środkowa przedziału]]*Zarobki[[#This Row],[Absolwenci 1 rok]]</f>
        <v>5500</v>
      </c>
      <c r="G182">
        <f>Zarobki[[#This Row],[Wartość środkowa przedziału]]*Zarobki[[#This Row],[Absolwenci 3 lata]]</f>
        <v>2500</v>
      </c>
      <c r="H182" s="57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I182" s="57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J182" s="57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K182" s="57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83" spans="2:11" x14ac:dyDescent="0.45">
      <c r="B183" t="s">
        <v>131</v>
      </c>
      <c r="C183">
        <v>1500</v>
      </c>
      <c r="D183">
        <f>COUNTIF(AnalizaCzyste[w pierwszym roku po ukończeniu studiów : wybierz wartość z listy rozwijanej4],Zarobki[[#This Row],[Kategoria zarobków]])</f>
        <v>43</v>
      </c>
      <c r="E183">
        <f>COUNTIF(AnalizaCzyste[w 3 lata po ukończeniu studiów : wybierz wartość z listy rozwijanej5],Zarobki[[#This Row],[Kategoria zarobków]])</f>
        <v>15</v>
      </c>
      <c r="F183">
        <f>Zarobki[[#This Row],[Wartość środkowa przedziału]]*Zarobki[[#This Row],[Absolwenci 1 rok]]</f>
        <v>64500</v>
      </c>
      <c r="G183">
        <f>Zarobki[[#This Row],[Wartość środkowa przedziału]]*Zarobki[[#This Row],[Absolwenci 3 lata]]</f>
        <v>22500</v>
      </c>
      <c r="H183" s="57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I183" s="57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J183" s="57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K183" s="57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84" spans="2:11" x14ac:dyDescent="0.45">
      <c r="B184" t="s">
        <v>302</v>
      </c>
      <c r="C184">
        <v>2500</v>
      </c>
      <c r="D184">
        <f>COUNTIF(AnalizaCzyste[w pierwszym roku po ukończeniu studiów : wybierz wartość z listy rozwijanej4],Zarobki[[#This Row],[Kategoria zarobków]])</f>
        <v>33</v>
      </c>
      <c r="E184">
        <f>COUNTIF(AnalizaCzyste[w 3 lata po ukończeniu studiów : wybierz wartość z listy rozwijanej5],Zarobki[[#This Row],[Kategoria zarobków]])</f>
        <v>23</v>
      </c>
      <c r="F184">
        <f>Zarobki[[#This Row],[Wartość środkowa przedziału]]*Zarobki[[#This Row],[Absolwenci 1 rok]]</f>
        <v>82500</v>
      </c>
      <c r="G184">
        <f>Zarobki[[#This Row],[Wartość środkowa przedziału]]*Zarobki[[#This Row],[Absolwenci 3 lata]]</f>
        <v>57500</v>
      </c>
      <c r="H184" s="57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I184" s="57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J184" s="57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K184" s="57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85" spans="2:11" x14ac:dyDescent="0.45">
      <c r="B185" t="s">
        <v>153</v>
      </c>
      <c r="C185">
        <v>3500</v>
      </c>
      <c r="D185">
        <f>COUNTIF(AnalizaCzyste[w pierwszym roku po ukończeniu studiów : wybierz wartość z listy rozwijanej4],Zarobki[[#This Row],[Kategoria zarobków]])</f>
        <v>13</v>
      </c>
      <c r="E185">
        <f>COUNTIF(AnalizaCzyste[w 3 lata po ukończeniu studiów : wybierz wartość z listy rozwijanej5],Zarobki[[#This Row],[Kategoria zarobków]])</f>
        <v>28</v>
      </c>
      <c r="F185">
        <f>Zarobki[[#This Row],[Wartość środkowa przedziału]]*Zarobki[[#This Row],[Absolwenci 1 rok]]</f>
        <v>45500</v>
      </c>
      <c r="G185">
        <f>Zarobki[[#This Row],[Wartość środkowa przedziału]]*Zarobki[[#This Row],[Absolwenci 3 lata]]</f>
        <v>98000</v>
      </c>
      <c r="H185" s="57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I185" s="57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J185" s="5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K185" s="57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86" spans="2:11" x14ac:dyDescent="0.45">
      <c r="B186" t="s">
        <v>226</v>
      </c>
      <c r="C186">
        <v>4500</v>
      </c>
      <c r="D186">
        <f>COUNTIF(AnalizaCzyste[w pierwszym roku po ukończeniu studiów : wybierz wartość z listy rozwijanej4],Zarobki[[#This Row],[Kategoria zarobków]])</f>
        <v>5</v>
      </c>
      <c r="E186">
        <f>COUNTIF(AnalizaCzyste[w 3 lata po ukończeniu studiów : wybierz wartość z listy rozwijanej5],Zarobki[[#This Row],[Kategoria zarobków]])</f>
        <v>13</v>
      </c>
      <c r="F186">
        <f>Zarobki[[#This Row],[Wartość środkowa przedziału]]*Zarobki[[#This Row],[Absolwenci 1 rok]]</f>
        <v>22500</v>
      </c>
      <c r="G186">
        <f>Zarobki[[#This Row],[Wartość środkowa przedziału]]*Zarobki[[#This Row],[Absolwenci 3 lata]]</f>
        <v>58500</v>
      </c>
      <c r="H186" s="5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I186" s="5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J186" s="5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K186" s="5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87" spans="2:11" x14ac:dyDescent="0.45">
      <c r="B187" t="s">
        <v>759</v>
      </c>
      <c r="C187">
        <v>5500</v>
      </c>
      <c r="D187">
        <f>COUNTIF(AnalizaCzyste[w pierwszym roku po ukończeniu studiów : wybierz wartość z listy rozwijanej4],Zarobki[[#This Row],[Kategoria zarobków]])</f>
        <v>0</v>
      </c>
      <c r="E187">
        <f>COUNTIF(AnalizaCzyste[w 3 lata po ukończeniu studiów : wybierz wartość z listy rozwijanej5],Zarobki[[#This Row],[Kategoria zarobków]])</f>
        <v>7</v>
      </c>
      <c r="F187">
        <f>Zarobki[[#This Row],[Wartość środkowa przedziału]]*Zarobki[[#This Row],[Absolwenci 1 rok]]</f>
        <v>0</v>
      </c>
      <c r="G187">
        <f>Zarobki[[#This Row],[Wartość środkowa przedziału]]*Zarobki[[#This Row],[Absolwenci 3 lata]]</f>
        <v>38500</v>
      </c>
      <c r="H187" s="57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I187" s="57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J187" s="57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K187" s="57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88" spans="2:11" x14ac:dyDescent="0.45">
      <c r="B188" t="s">
        <v>1428</v>
      </c>
      <c r="C188">
        <v>6500</v>
      </c>
      <c r="D188">
        <f>COUNTIF(AnalizaCzyste[w pierwszym roku po ukończeniu studiów : wybierz wartość z listy rozwijanej4],Zarobki[[#This Row],[Kategoria zarobków]])</f>
        <v>0</v>
      </c>
      <c r="E188">
        <f>COUNTIF(AnalizaCzyste[w 3 lata po ukończeniu studiów : wybierz wartość z listy rozwijanej5],Zarobki[[#This Row],[Kategoria zarobków]])</f>
        <v>2</v>
      </c>
      <c r="F188">
        <f>Zarobki[[#This Row],[Wartość środkowa przedziału]]*Zarobki[[#This Row],[Absolwenci 1 rok]]</f>
        <v>0</v>
      </c>
      <c r="G188">
        <f>Zarobki[[#This Row],[Wartość środkowa przedziału]]*Zarobki[[#This Row],[Absolwenci 3 lata]]</f>
        <v>13000</v>
      </c>
      <c r="H188" s="57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I188" s="57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J188" s="57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K188" s="57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89" spans="2:11" x14ac:dyDescent="0.45">
      <c r="B189" t="s">
        <v>209</v>
      </c>
      <c r="C189">
        <v>7500</v>
      </c>
      <c r="D189">
        <f>COUNTIF(AnalizaCzyste[w pierwszym roku po ukończeniu studiów : wybierz wartość z listy rozwijanej4],Zarobki[[#This Row],[Kategoria zarobków]])</f>
        <v>1</v>
      </c>
      <c r="E189">
        <f>COUNTIF(AnalizaCzyste[w 3 lata po ukończeniu studiów : wybierz wartość z listy rozwijanej5],Zarobki[[#This Row],[Kategoria zarobków]])</f>
        <v>2</v>
      </c>
      <c r="F189">
        <f>Zarobki[[#This Row],[Wartość środkowa przedziału]]*Zarobki[[#This Row],[Absolwenci 1 rok]]</f>
        <v>7500</v>
      </c>
      <c r="G189">
        <f>Zarobki[[#This Row],[Wartość środkowa przedziału]]*Zarobki[[#This Row],[Absolwenci 3 lata]]</f>
        <v>15000</v>
      </c>
      <c r="H189" s="57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I189" s="5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J189" s="57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K189" s="57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90" spans="2:11" x14ac:dyDescent="0.45">
      <c r="B190" t="s">
        <v>943</v>
      </c>
      <c r="C190">
        <v>8500</v>
      </c>
      <c r="D190">
        <f>COUNTIF(AnalizaCzyste[w pierwszym roku po ukończeniu studiów : wybierz wartość z listy rozwijanej4],Zarobki[[#This Row],[Kategoria zarobków]])</f>
        <v>0</v>
      </c>
      <c r="E190">
        <f>COUNTIF(AnalizaCzyste[w 3 lata po ukończeniu studiów : wybierz wartość z listy rozwijanej5],Zarobki[[#This Row],[Kategoria zarobków]])</f>
        <v>2</v>
      </c>
      <c r="F190">
        <f>Zarobki[[#This Row],[Wartość środkowa przedziału]]*Zarobki[[#This Row],[Absolwenci 1 rok]]</f>
        <v>0</v>
      </c>
      <c r="G190">
        <f>Zarobki[[#This Row],[Wartość środkowa przedziału]]*Zarobki[[#This Row],[Absolwenci 3 lata]]</f>
        <v>17000</v>
      </c>
      <c r="H190" s="57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I190" s="57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J190" s="57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K190" s="5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91" spans="2:11" x14ac:dyDescent="0.45">
      <c r="B191" s="20" t="s">
        <v>2455</v>
      </c>
      <c r="C191">
        <v>9500</v>
      </c>
      <c r="D191">
        <f>COUNTIF(AnalizaCzyste[w pierwszym roku po ukończeniu studiów : wybierz wartość z listy rozwijanej4],Zarobki[[#This Row],[Kategoria zarobków]])</f>
        <v>0</v>
      </c>
      <c r="E191">
        <f>COUNTIF(AnalizaCzyste[w 3 lata po ukończeniu studiów : wybierz wartość z listy rozwijanej5],Zarobki[[#This Row],[Kategoria zarobków]])</f>
        <v>0</v>
      </c>
      <c r="F191">
        <f>Zarobki[[#This Row],[Wartość środkowa przedziału]]*Zarobki[[#This Row],[Absolwenci 1 rok]]</f>
        <v>0</v>
      </c>
      <c r="G191">
        <f>Zarobki[[#This Row],[Wartość środkowa przedziału]]*Zarobki[[#This Row],[Absolwenci 3 lata]]</f>
        <v>0</v>
      </c>
      <c r="H191" s="57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I191" s="57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J191" s="57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K191" s="57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92" spans="2:11" x14ac:dyDescent="0.45">
      <c r="B192" t="s">
        <v>194</v>
      </c>
      <c r="C192">
        <v>10500</v>
      </c>
      <c r="D192">
        <f>COUNTIF(AnalizaCzyste[w pierwszym roku po ukończeniu studiów : wybierz wartość z listy rozwijanej4],Zarobki[[#This Row],[Kategoria zarobków]])</f>
        <v>3</v>
      </c>
      <c r="E192">
        <f>COUNTIF(AnalizaCzyste[w 3 lata po ukończeniu studiów : wybierz wartość z listy rozwijanej5],Zarobki[[#This Row],[Kategoria zarobków]])</f>
        <v>3</v>
      </c>
      <c r="F192">
        <f>Zarobki[[#This Row],[Wartość środkowa przedziału]]*Zarobki[[#This Row],[Absolwenci 1 rok]]</f>
        <v>31500</v>
      </c>
      <c r="G192">
        <f>Zarobki[[#This Row],[Wartość środkowa przedziału]]*Zarobki[[#This Row],[Absolwenci 3 lata]]</f>
        <v>31500</v>
      </c>
      <c r="H192" s="57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I192" s="5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J192" s="57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K192" s="57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93" spans="3:11" x14ac:dyDescent="0.45">
      <c r="D193" s="57">
        <f>SUBTOTAL(109,Zarobki[Absolwenci 1 rok])</f>
        <v>120</v>
      </c>
      <c r="E193">
        <f>SUBTOTAL(109,Zarobki[Absolwenci 3 lata])</f>
        <v>120</v>
      </c>
      <c r="F193">
        <f>SUBTOTAL(109,Zarobki[Iloczyny 1 rok])</f>
        <v>259500</v>
      </c>
      <c r="G193">
        <f>SUBTOTAL(109,Zarobki[iloczyny 3 lata])</f>
        <v>354000</v>
      </c>
      <c r="H193">
        <f>SUBTOTAL(109,Zarobki[Abloswenci Techniczna 1 rok])</f>
        <v>52</v>
      </c>
      <c r="I193">
        <f>SUBTOTAL(109,Zarobki[Absolwenci Nietechniczna 1 rok])</f>
        <v>68</v>
      </c>
      <c r="J193">
        <f>SUBTOTAL(109,Zarobki[Absolwenci Techniczna 3 lata])</f>
        <v>52</v>
      </c>
      <c r="K193">
        <f>SUBTOTAL(109,Zarobki[Absolwenci Nietechniczna 3 lata])</f>
        <v>68</v>
      </c>
    </row>
    <row r="194" spans="3:11" x14ac:dyDescent="0.45">
      <c r="C194" s="20" t="s">
        <v>2458</v>
      </c>
      <c r="D194">
        <f>SUM(D182:D192)</f>
        <v>109</v>
      </c>
      <c r="E194">
        <f>SUM(E182:E192)</f>
        <v>100</v>
      </c>
      <c r="F194" s="59">
        <f>Zarobki[[#Totals],[Iloczyny 1 rok]]/D194</f>
        <v>2380.7339449541282</v>
      </c>
      <c r="G194" s="29">
        <f>Zarobki[[#Totals],[iloczyny 3 lata]]/E194</f>
        <v>3540</v>
      </c>
      <c r="H194">
        <f>SUM(H182:H192)</f>
        <v>46</v>
      </c>
      <c r="I194">
        <f>SUM(I182:I192)</f>
        <v>63</v>
      </c>
      <c r="J194">
        <f>SUM(J182:J192)</f>
        <v>45</v>
      </c>
      <c r="K194">
        <f>SUM(K182:K192)</f>
        <v>55</v>
      </c>
    </row>
    <row r="195" spans="3:11" x14ac:dyDescent="0.45">
      <c r="E195" s="20" t="s">
        <v>2461</v>
      </c>
      <c r="F195">
        <f>SUMPRODUCT($C$182:$C$192,D182:D192)/D194</f>
        <v>2380.7339449541282</v>
      </c>
      <c r="G195">
        <f>SUMPRODUCT($C$182:$C$192,E182:E192)/E194</f>
        <v>3540</v>
      </c>
      <c r="H195" s="59">
        <f>SUMPRODUCT($C$182:$C$192,H182:H192)/H194</f>
        <v>2760.8695652173915</v>
      </c>
      <c r="I195" s="59">
        <f t="shared" ref="I195:K195" si="7">SUMPRODUCT($C$182:$C$192,I182:I192)/I194</f>
        <v>2103.1746031746034</v>
      </c>
      <c r="J195" s="59">
        <f t="shared" si="7"/>
        <v>4211.1111111111113</v>
      </c>
      <c r="K195" s="59">
        <f t="shared" si="7"/>
        <v>2990.909090909091</v>
      </c>
    </row>
  </sheetData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2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2023-05-31T21:40:20Z</dcterms:modified>
  <cp:category>wyniki indywidualne</cp:category>
</cp:coreProperties>
</file>