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F3D723CF-7B84-4129-A9DB-2AE8B6DCE452}" xr6:coauthVersionLast="47" xr6:coauthVersionMax="47" xr10:uidLastSave="{00000000-0000-0000-0000-000000000000}"/>
  <bookViews>
    <workbookView xWindow="-2140" yWindow="-21710" windowWidth="37690" windowHeight="21820"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B34" i="5" l="1"/>
  <c r="AM34" i="5"/>
  <c r="HH34" i="5"/>
  <c r="B35" i="5"/>
  <c r="AM35" i="5"/>
  <c r="HH35" i="5"/>
  <c r="U36" i="5"/>
  <c r="V36" i="5"/>
  <c r="W36" i="5"/>
  <c r="X36" i="5"/>
  <c r="Y36" i="5"/>
  <c r="Z36" i="5"/>
  <c r="AA36" i="5"/>
  <c r="AB36" i="5"/>
  <c r="AC36" i="5"/>
  <c r="AD36" i="5"/>
  <c r="AE36" i="5"/>
  <c r="AF36" i="5"/>
  <c r="AG36" i="5"/>
  <c r="AH36" i="5"/>
  <c r="AI36" i="5"/>
  <c r="AJ36" i="5"/>
  <c r="AK36" i="5"/>
  <c r="AL36" i="5"/>
  <c r="AN36" i="5"/>
  <c r="AO36" i="5"/>
  <c r="AP36" i="5"/>
  <c r="AQ36" i="5"/>
  <c r="AR36" i="5"/>
  <c r="AS36" i="5"/>
  <c r="AT36" i="5"/>
  <c r="AU36" i="5"/>
  <c r="AV36" i="5"/>
  <c r="AW36" i="5"/>
  <c r="AX36" i="5"/>
  <c r="AY36" i="5"/>
  <c r="AZ36" i="5"/>
  <c r="BA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DH36" i="5"/>
  <c r="DR36" i="5"/>
  <c r="EU36" i="5"/>
  <c r="FU36" i="5"/>
  <c r="HF36" i="5"/>
  <c r="HG36" i="5"/>
  <c r="HI36" i="5"/>
  <c r="HJ36" i="5"/>
  <c r="HK36" i="5"/>
  <c r="HL36" i="5"/>
  <c r="HM36" i="5"/>
  <c r="B8" i="5"/>
  <c r="AM8" i="5"/>
  <c r="HH8" i="5"/>
  <c r="B11" i="5"/>
  <c r="AM11" i="5"/>
  <c r="HH11" i="5"/>
  <c r="C35" i="5" l="1"/>
  <c r="C34" i="5"/>
  <c r="C8" i="5"/>
  <c r="C11" i="5"/>
  <c r="G37" i="5" l="1"/>
  <c r="B31" i="5"/>
  <c r="G649" i="7"/>
  <c r="G650" i="7"/>
  <c r="G651" i="7"/>
  <c r="G652" i="7"/>
  <c r="G653" i="7"/>
  <c r="G654" i="7"/>
  <c r="G655" i="7"/>
  <c r="G648" i="7"/>
  <c r="F646" i="7"/>
  <c r="F656" i="7"/>
  <c r="F655" i="7"/>
  <c r="F654" i="7"/>
  <c r="F653" i="7"/>
  <c r="F652" i="7"/>
  <c r="F651" i="7"/>
  <c r="F650" i="7"/>
  <c r="F649" i="7"/>
  <c r="F648" i="7"/>
  <c r="F645" i="7"/>
  <c r="F644" i="7"/>
  <c r="F643" i="7"/>
  <c r="F642" i="7"/>
  <c r="F641" i="7"/>
  <c r="F640" i="7"/>
  <c r="F639" i="7"/>
  <c r="F638" i="7"/>
  <c r="ES41" i="5"/>
  <c r="ER41" i="5"/>
  <c r="EQ41" i="5"/>
  <c r="EP41" i="5"/>
  <c r="EO41" i="5"/>
  <c r="EN41" i="5"/>
  <c r="EM41" i="5"/>
  <c r="EK41" i="5"/>
  <c r="EJ41" i="5"/>
  <c r="EI41" i="5"/>
  <c r="EH41" i="5"/>
  <c r="EG41" i="5"/>
  <c r="EF41" i="5"/>
  <c r="EE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F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AM3" i="5"/>
  <c r="AM30" i="5"/>
  <c r="AM24" i="5"/>
  <c r="AM7" i="5"/>
  <c r="AM23" i="5"/>
  <c r="AM13" i="5"/>
  <c r="AM27" i="5"/>
  <c r="AM32" i="5"/>
  <c r="AM5" i="5"/>
  <c r="AM29" i="5"/>
  <c r="AM9" i="5"/>
  <c r="AM15" i="5"/>
  <c r="AM22" i="5"/>
  <c r="AM6" i="5"/>
  <c r="AM18" i="5"/>
  <c r="AM17" i="5"/>
  <c r="AM20" i="5"/>
  <c r="AM19" i="5"/>
  <c r="AM14" i="5"/>
  <c r="AM28" i="5"/>
  <c r="AM16" i="5"/>
  <c r="AM4" i="5"/>
  <c r="AM31" i="5"/>
  <c r="AM33" i="5"/>
  <c r="AM21" i="5"/>
  <c r="AM25" i="5"/>
  <c r="AM26" i="5"/>
  <c r="AM10" i="5"/>
  <c r="AM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H13" i="5"/>
  <c r="HH27" i="5"/>
  <c r="HH16" i="5"/>
  <c r="HH24" i="5"/>
  <c r="HH32" i="5"/>
  <c r="HH7" i="5"/>
  <c r="HH3" i="5"/>
  <c r="HH4" i="5"/>
  <c r="HH30" i="5"/>
  <c r="HH31" i="5"/>
  <c r="HH5" i="5"/>
  <c r="HH29" i="5"/>
  <c r="HH33" i="5"/>
  <c r="HH23" i="5"/>
  <c r="HH21" i="5"/>
  <c r="HH25" i="5"/>
  <c r="HH22" i="5"/>
  <c r="HH26" i="5"/>
  <c r="HH9" i="5"/>
  <c r="HH10" i="5"/>
  <c r="HH15" i="5"/>
  <c r="HH28" i="5"/>
  <c r="HH6" i="5"/>
  <c r="HH14" i="5"/>
  <c r="HH18" i="5"/>
  <c r="HH17" i="5"/>
  <c r="HH20" i="5"/>
  <c r="HH19" i="5"/>
  <c r="HH12" i="5"/>
  <c r="B66" i="7"/>
  <c r="A66" i="7" s="1"/>
  <c r="B65" i="7"/>
  <c r="A65" i="7" s="1"/>
  <c r="B64" i="7"/>
  <c r="A64" i="7" s="1"/>
  <c r="B63" i="7"/>
  <c r="A63" i="7" s="1"/>
  <c r="B62" i="7"/>
  <c r="A62" i="7" s="1"/>
  <c r="B61" i="7"/>
  <c r="A61" i="7" s="1"/>
  <c r="A60" i="7"/>
  <c r="A25" i="7"/>
  <c r="A24" i="7"/>
  <c r="A23" i="7"/>
  <c r="A22" i="7"/>
  <c r="A21" i="7"/>
  <c r="A20" i="7"/>
  <c r="A19" i="7"/>
  <c r="A17" i="7"/>
  <c r="A18" i="7"/>
  <c r="B59" i="7"/>
  <c r="A59" i="7" s="1"/>
  <c r="FT40" i="5"/>
  <c r="FS40" i="5"/>
  <c r="FR40" i="5"/>
  <c r="FQ40" i="5"/>
  <c r="FP40" i="5"/>
  <c r="FO40" i="5"/>
  <c r="FN40" i="5"/>
  <c r="FM40" i="5"/>
  <c r="FL40" i="5"/>
  <c r="FK40" i="5"/>
  <c r="FJ40" i="5"/>
  <c r="FI40" i="5"/>
  <c r="FH40" i="5"/>
  <c r="FG40" i="5"/>
  <c r="FF40" i="5"/>
  <c r="FE40" i="5"/>
  <c r="FD40" i="5"/>
  <c r="FC40" i="5"/>
  <c r="FB40" i="5"/>
  <c r="FA40" i="5"/>
  <c r="EZ40" i="5"/>
  <c r="EY40" i="5"/>
  <c r="EX40" i="5"/>
  <c r="EW40" i="5"/>
  <c r="EV40" i="5"/>
  <c r="ET40" i="5"/>
  <c r="ES40" i="5"/>
  <c r="ER40" i="5"/>
  <c r="EQ40" i="5"/>
  <c r="EP40" i="5"/>
  <c r="EO40" i="5"/>
  <c r="EN40" i="5"/>
  <c r="EM40" i="5"/>
  <c r="EL40" i="5"/>
  <c r="EK40" i="5"/>
  <c r="EJ40" i="5"/>
  <c r="EI40" i="5"/>
  <c r="EH40" i="5"/>
  <c r="EG40" i="5"/>
  <c r="EF40" i="5"/>
  <c r="EE40" i="5"/>
  <c r="ED40" i="5"/>
  <c r="EC40" i="5"/>
  <c r="EB40" i="5"/>
  <c r="EA40" i="5"/>
  <c r="DZ40" i="5"/>
  <c r="DY40" i="5"/>
  <c r="DX40" i="5"/>
  <c r="DW40" i="5"/>
  <c r="DV40" i="5"/>
  <c r="DU40" i="5"/>
  <c r="DT40" i="5"/>
  <c r="DS40" i="5"/>
  <c r="DQ40" i="5"/>
  <c r="DP40" i="5"/>
  <c r="DO40" i="5"/>
  <c r="DN40" i="5"/>
  <c r="DM40" i="5"/>
  <c r="DL40" i="5"/>
  <c r="DK40" i="5"/>
  <c r="DJ40" i="5"/>
  <c r="DI40" i="5"/>
  <c r="DG40" i="5"/>
  <c r="DF40" i="5"/>
  <c r="DE40" i="5"/>
  <c r="DD40" i="5"/>
  <c r="DC40" i="5"/>
  <c r="DB40" i="5"/>
  <c r="DA40" i="5"/>
  <c r="CZ40" i="5"/>
  <c r="CY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E40" i="5"/>
  <c r="BC40" i="5"/>
  <c r="BB40" i="5"/>
  <c r="BA40" i="5"/>
  <c r="AZ40" i="5"/>
  <c r="AY40" i="5"/>
  <c r="AX40" i="5"/>
  <c r="AW40" i="5"/>
  <c r="AV40" i="5"/>
  <c r="AU40" i="5"/>
  <c r="AT40" i="5"/>
  <c r="AS40" i="5"/>
  <c r="AR40" i="5"/>
  <c r="AQ40" i="5"/>
  <c r="AP40" i="5"/>
  <c r="AO40" i="5"/>
  <c r="AN40" i="5"/>
  <c r="AL40" i="5"/>
  <c r="AJ40" i="5"/>
  <c r="AI40" i="5"/>
  <c r="AH40" i="5"/>
  <c r="AG40" i="5"/>
  <c r="AF40" i="5"/>
  <c r="AE40" i="5"/>
  <c r="AD40" i="5"/>
  <c r="AC40" i="5"/>
  <c r="AB40" i="5"/>
  <c r="AA40" i="5"/>
  <c r="Z40" i="5"/>
  <c r="Y40" i="5"/>
  <c r="X40" i="5"/>
  <c r="W40" i="5"/>
  <c r="V40" i="5"/>
  <c r="HI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FX39" i="5"/>
  <c r="FW39" i="5"/>
  <c r="FV39" i="5"/>
  <c r="FU39" i="5"/>
  <c r="EU39" i="5"/>
  <c r="DR39" i="5"/>
  <c r="DH39" i="5"/>
  <c r="CX39" i="5"/>
  <c r="BD39" i="5"/>
  <c r="AK39" i="5"/>
  <c r="U39" i="5"/>
  <c r="HI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FX38" i="5"/>
  <c r="FW38" i="5"/>
  <c r="FV38" i="5"/>
  <c r="FU38" i="5"/>
  <c r="EU38" i="5"/>
  <c r="DR38" i="5"/>
  <c r="DH38" i="5"/>
  <c r="CX38" i="5"/>
  <c r="BD38" i="5"/>
  <c r="AK38" i="5"/>
  <c r="U38" i="5"/>
  <c r="HI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FX37" i="5"/>
  <c r="FW37" i="5"/>
  <c r="FV37" i="5"/>
  <c r="FU37" i="5"/>
  <c r="EU37" i="5"/>
  <c r="DR37" i="5"/>
  <c r="DH37" i="5"/>
  <c r="CX37" i="5"/>
  <c r="BD37" i="5"/>
  <c r="AK37" i="5"/>
  <c r="U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EU40" i="5" l="1"/>
  <c r="GB40" i="5"/>
  <c r="GJ40" i="5"/>
  <c r="GR40" i="5"/>
  <c r="FY40" i="5"/>
  <c r="GG40" i="5"/>
  <c r="GW40" i="5"/>
  <c r="FX40" i="5"/>
  <c r="GN40" i="5"/>
  <c r="GV40" i="5"/>
  <c r="GZ40" i="5"/>
  <c r="DH40" i="5"/>
  <c r="FZ40" i="5"/>
  <c r="GH40" i="5"/>
  <c r="GX40" i="5"/>
  <c r="GI40" i="5"/>
  <c r="GQ40" i="5"/>
  <c r="GY40" i="5"/>
  <c r="FU40" i="5"/>
  <c r="GC40" i="5"/>
  <c r="GK40" i="5"/>
  <c r="GS40" i="5"/>
  <c r="HA40" i="5"/>
  <c r="GT40" i="5"/>
  <c r="FW40" i="5"/>
  <c r="GE40" i="5"/>
  <c r="GM40" i="5"/>
  <c r="GL40" i="5"/>
  <c r="FV40" i="5"/>
  <c r="GD40" i="5"/>
  <c r="A81" i="7"/>
  <c r="BD40" i="5"/>
  <c r="HB40" i="5"/>
  <c r="GO40" i="5"/>
  <c r="CX40" i="5"/>
  <c r="GP40" i="5"/>
  <c r="DR40" i="5"/>
  <c r="EL41" i="5"/>
  <c r="EE42" i="5" s="1"/>
  <c r="ET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F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GU40" i="5"/>
  <c r="C17" i="5"/>
  <c r="A35" i="7"/>
  <c r="A120" i="7"/>
  <c r="A40" i="7"/>
  <c r="GA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D40" i="5"/>
  <c r="HG40" i="5"/>
  <c r="HI40" i="5"/>
  <c r="GF40" i="5"/>
  <c r="C18" i="7"/>
  <c r="U40" i="5"/>
  <c r="C59" i="7"/>
  <c r="C17" i="7"/>
  <c r="C66" i="7"/>
  <c r="C65" i="7"/>
  <c r="C64" i="7"/>
  <c r="C63" i="7"/>
  <c r="C62" i="7"/>
  <c r="C61" i="7"/>
  <c r="C60" i="7"/>
  <c r="C19" i="7"/>
  <c r="C20" i="7"/>
  <c r="C21" i="7"/>
  <c r="C22" i="7"/>
  <c r="C23" i="7"/>
  <c r="C24" i="7"/>
  <c r="A67" i="7"/>
  <c r="HE40" i="5"/>
  <c r="AK40" i="5"/>
  <c r="HC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ES42" i="5" l="1"/>
  <c r="EJ42" i="5"/>
  <c r="EK42" i="5"/>
  <c r="ER42" i="5"/>
  <c r="EI42" i="5"/>
  <c r="EQ42" i="5"/>
  <c r="EH42" i="5"/>
  <c r="EP42" i="5"/>
  <c r="EF42" i="5"/>
  <c r="EL42" i="5" s="1"/>
  <c r="EM42" i="5"/>
  <c r="EO42" i="5"/>
  <c r="EG42" i="5"/>
  <c r="EN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ET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<sst xmlns="http://schemas.openxmlformats.org/spreadsheetml/2006/main" count="23395" uniqueCount="2623">
  <si>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</si>
  <si>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</si>
  <si>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</si>
  <si>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</si>
  <si>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</si>
  <si>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</si>
  <si>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</si>
  <si>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</si>
  <si>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</si>
  <si>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</si>
  <si>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</si>
  <si>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</si>
  <si>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</si>
  <si>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</si>
  <si>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</si>
  <si>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</si>
  <si>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</si>
  <si>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</si>
  <si>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</si>
  <si>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</si>
  <si>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</si>
  <si>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</si>
  <si>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</si>
  <si>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</si>
  <si>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</si>
  <si>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</si>
  <si>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</si>
  <si>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</si>
  <si>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</si>
  <si>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</si>
  <si>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</si>
  <si>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</si>
  <si>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</si>
  <si>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</si>
  <si>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</si>
  <si>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</si>
  <si>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</si>
  <si>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</si>
  <si>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</si>
  <si>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</si>
  <si>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</si>
  <si>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</si>
  <si>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</si>
  <si>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</si>
  <si>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</si>
  <si>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</si>
  <si>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</si>
  <si>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</si>
  <si>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</si>
  <si>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</si>
  <si>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</si>
  <si>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</si>
  <si>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</si>
  <si>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</si>
  <si>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</si>
  <si>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</si>
  <si>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</si>
  <si>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</si>
  <si>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</si>
  <si>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</si>
  <si>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</si>
  <si>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</si>
  <si>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</si>
  <si>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</si>
  <si>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</si>
  <si>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</si>
  <si>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</si>
  <si>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</si>
  <si>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</si>
  <si>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</si>
  <si>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</si>
  <si>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</si>
  <si>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</si>
  <si>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</si>
  <si>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</si>
  <si>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</si>
  <si>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</si>
  <si>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</si>
  <si>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</si>
  <si>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</si>
  <si>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</si>
  <si>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</si>
  <si>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</si>
  <si>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</si>
  <si>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</si>
  <si>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</si>
  <si>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</si>
  <si>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</si>
  <si>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</si>
  <si>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</si>
  <si>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</si>
  <si>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</si>
  <si>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</si>
  <si>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</si>
  <si>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</si>
  <si>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</si>
  <si>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</si>
  <si>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</si>
  <si>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</si>
  <si>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</si>
  <si>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</si>
  <si>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</si>
  <si>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</si>
  <si>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</si>
  <si>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</si>
  <si>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</si>
  <si>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</si>
  <si>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</si>
  <si>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</si>
  <si>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</si>
  <si>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</si>
  <si>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</si>
  <si>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</si>
  <si>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</si>
  <si>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</si>
  <si>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</si>
  <si>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</si>
  <si>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</si>
  <si>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</si>
  <si>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</si>
  <si>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</si>
  <si>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</si>
  <si>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</si>
  <si>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</si>
  <si>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</si>
  <si>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</si>
  <si>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</si>
  <si>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</si>
  <si>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</si>
  <si>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</si>
  <si>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</si>
  <si>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</si>
  <si>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</si>
  <si>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</si>
  <si>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</si>
  <si>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</si>
  <si>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</si>
  <si>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</si>
  <si>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</si>
  <si>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</si>
  <si>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</si>
  <si>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</si>
  <si>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</si>
  <si>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</si>
  <si>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</si>
  <si>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</si>
  <si>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</si>
  <si>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</si>
  <si>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</si>
  <si>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</si>
  <si>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</si>
  <si>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</si>
  <si>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</si>
  <si>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</si>
  <si>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</si>
  <si>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</si>
  <si>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</si>
  <si>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</si>
  <si>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</si>
  <si>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</si>
  <si>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</si>
  <si>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</si>
  <si>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</si>
  <si>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</si>
  <si>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</si>
  <si>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</si>
  <si>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</si>
  <si>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</si>
  <si>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</si>
  <si>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</si>
  <si>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</si>
  <si>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</si>
  <si>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</si>
  <si>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</si>
  <si>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</si>
  <si>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</si>
  <si>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</si>
  <si>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</si>
  <si>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</si>
  <si>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</si>
  <si>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</si>
  <si>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</si>
  <si>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</si>
  <si>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</si>
  <si>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</si>
  <si>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</si>
  <si>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</si>
  <si>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</si>
  <si>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</si>
  <si>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</si>
  <si>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</si>
  <si>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</si>
  <si>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</si>
  <si>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</si>
  <si>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</si>
  <si>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</si>
  <si>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</si>
  <si>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</si>
  <si>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</si>
  <si>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</si>
  <si>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</si>
  <si>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</si>
  <si>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</si>
  <si>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</si>
  <si>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</si>
  <si>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</si>
  <si>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</si>
  <si>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</si>
  <si>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</si>
  <si>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</si>
  <si>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</si>
  <si>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</si>
  <si>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</si>
  <si>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</si>
  <si>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</si>
  <si>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</si>
  <si>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</si>
  <si>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</si>
  <si>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</si>
  <si>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</si>
  <si>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</si>
  <si>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</si>
  <si>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</si>
  <si>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</si>
  <si>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</si>
  <si>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</si>
  <si>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</si>
  <si>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</si>
  <si>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</si>
  <si>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</si>
  <si>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</si>
  <si>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</si>
  <si>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</si>
  <si>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</si>
  <si>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</si>
  <si>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</si>
  <si>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</si>
  <si>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</si>
  <si>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</si>
  <si>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</si>
  <si>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</si>
  <si>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</si>
  <si>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</si>
  <si>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</si>
  <si>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</si>
  <si>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</si>
  <si>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</si>
  <si>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</si>
  <si>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</si>
  <si>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</si>
  <si>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</si>
  <si>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</si>
  <si>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</si>
  <si>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</si>
  <si>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</si>
  <si>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</si>
  <si>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</si>
  <si>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</si>
  <si>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</si>
  <si>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</si>
  <si>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</si>
  <si>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</si>
  <si>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</si>
  <si>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</si>
  <si>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</si>
  <si>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</si>
  <si>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</si>
  <si>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</si>
  <si>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</si>
  <si>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</si>
  <si>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</si>
  <si>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</si>
  <si>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</si>
  <si>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</si>
  <si>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</si>
  <si>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</si>
  <si>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</si>
  <si>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</si>
  <si>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</si>
  <si>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</si>
  <si>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</si>
  <si>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</si>
  <si>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</si>
  <si>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</si>
  <si>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</si>
  <si>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</si>
  <si>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</si>
  <si>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</si>
  <si>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</si>
  <si>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</si>
  <si>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</si>
  <si>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</si>
  <si>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</si>
  <si>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</si>
  <si>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</si>
  <si>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</si>
  <si>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</si>
  <si>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</si>
  <si>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</si>
  <si>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</si>
  <si>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</si>
  <si>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</si>
  <si>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</si>
  <si>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</si>
  <si>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</si>
  <si>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</si>
  <si>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</si>
  <si>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</si>
  <si>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</si>
  <si>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</si>
  <si>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</si>
  <si>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</si>
  <si>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</si>
  <si>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</si>
  <si>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</si>
  <si>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</si>
  <si>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</si>
  <si>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</si>
  <si>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</si>
  <si>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</si>
  <si>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</si>
  <si>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</si>
  <si>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</si>
  <si>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</si>
  <si>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</si>
  <si>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</si>
  <si>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</si>
  <si>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</si>
  <si>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</si>
  <si>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</si>
  <si>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</si>
  <si>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</si>
  <si>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</si>
  <si>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</si>
  <si>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</si>
  <si>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</si>
  <si>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</si>
  <si>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</si>
  <si>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</si>
  <si>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</si>
  <si>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</si>
  <si>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</si>
  <si>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</si>
  <si>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</si>
  <si>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</si>
  <si>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</si>
  <si>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</si>
  <si>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</si>
  <si>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</si>
  <si>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</si>
  <si>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</si>
  <si>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</si>
  <si>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</si>
  <si>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</si>
  <si>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</si>
  <si>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</si>
  <si>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</si>
  <si>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</si>
  <si>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</si>
  <si>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</si>
  <si>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</si>
  <si>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</si>
  <si>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</si>
  <si>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</si>
  <si>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</si>
  <si>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</si>
  <si>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</si>
  <si>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</si>
  <si>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</si>
  <si>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</si>
  <si>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</si>
  <si>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</si>
  <si>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</si>
  <si>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</si>
  <si>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</si>
  <si>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</si>
  <si>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</si>
  <si>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</si>
  <si>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</si>
  <si>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</si>
  <si>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</si>
  <si>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</si>
  <si>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</si>
  <si>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</si>
  <si>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</si>
  <si>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</si>
  <si>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</si>
  <si>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</si>
  <si>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</si>
  <si>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</si>
  <si>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</si>
  <si>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</si>
  <si>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</si>
  <si>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</si>
  <si>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</si>
  <si>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</si>
  <si>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</si>
  <si>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</si>
  <si>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</si>
  <si>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</si>
  <si>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</si>
  <si>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</si>
  <si>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</si>
  <si>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</si>
  <si>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</si>
  <si>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</si>
  <si>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</si>
  <si>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</si>
  <si>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</si>
  <si>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</si>
  <si>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</si>
  <si>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</si>
  <si>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</si>
  <si>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</si>
  <si>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</si>
  <si>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</si>
  <si>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</si>
  <si>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</si>
  <si>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</si>
  <si>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</si>
  <si>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</si>
  <si>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</si>
  <si>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</si>
  <si>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</si>
  <si>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</si>
  <si>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</si>
  <si>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</si>
  <si>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</si>
  <si>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</si>
  <si>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</si>
  <si>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</si>
  <si>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</si>
  <si>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</si>
  <si>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</si>
  <si>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</si>
  <si>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</si>
  <si>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</si>
  <si>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</si>
  <si>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</si>
  <si>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</si>
  <si>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</si>
  <si>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</si>
  <si>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</si>
  <si>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</si>
  <si>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</si>
  <si>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</si>
  <si>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</si>
  <si>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</si>
  <si>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</si>
  <si>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</si>
  <si>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</si>
  <si>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</si>
  <si>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</si>
  <si>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</si>
  <si>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</si>
  <si>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</si>
  <si>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</si>
  <si>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</si>
  <si>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</si>
  <si>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</si>
  <si>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</si>
  <si>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</si>
  <si>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</si>
  <si>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</si>
  <si>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</si>
  <si>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</si>
  <si>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</si>
  <si>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</si>
  <si>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</si>
  <si>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</si>
  <si>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</si>
  <si>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</si>
  <si>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</si>
  <si>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</si>
  <si>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</si>
  <si>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</si>
  <si>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</si>
  <si>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</si>
  <si>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</si>
  <si>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</si>
  <si>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</si>
  <si>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</si>
  <si>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</si>
  <si>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</si>
  <si>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</si>
  <si>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</si>
  <si>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</si>
  <si>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</si>
  <si>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</si>
  <si>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</si>
  <si>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</si>
  <si>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</si>
  <si>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</si>
  <si>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</si>
  <si>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</si>
  <si>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</si>
  <si>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</si>
  <si>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</si>
  <si>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</si>
  <si>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</si>
  <si>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</si>
  <si>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</si>
  <si>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</si>
  <si>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</si>
  <si>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</si>
  <si>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</si>
  <si>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</si>
  <si>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</si>
  <si>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</si>
  <si>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</si>
  <si>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</si>
  <si>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</si>
  <si>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</si>
  <si>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</si>
  <si>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</si>
  <si>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</si>
  <si>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</si>
  <si>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</si>
  <si>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</si>
  <si>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</si>
  <si>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</si>
  <si>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</si>
  <si>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</si>
  <si>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</si>
  <si>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</si>
  <si>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</si>
  <si>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</si>
  <si>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</si>
  <si>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</si>
  <si>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</si>
  <si>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</si>
  <si>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</si>
  <si>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</si>
  <si>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</si>
  <si>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</si>
  <si>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</si>
  <si>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</si>
  <si>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</si>
  <si>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</si>
  <si>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</si>
  <si>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</si>
  <si>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</si>
  <si>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</si>
  <si>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</si>
  <si>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</si>
  <si>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</si>
  <si>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</si>
  <si>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</si>
  <si>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</si>
  <si>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</si>
  <si>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</si>
  <si>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</si>
  <si>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</si>
  <si>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</si>
  <si>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</si>
  <si>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</si>
  <si>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</si>
  <si>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</si>
  <si>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</si>
  <si>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</si>
  <si>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</si>
  <si>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</si>
  <si>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</si>
  <si>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</si>
  <si>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</si>
  <si>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</si>
  <si>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</si>
  <si>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</si>
  <si>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</si>
  <si>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</si>
  <si>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</si>
  <si>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</si>
  <si>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</si>
  <si>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</si>
  <si>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</si>
  <si>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</si>
  <si>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</si>
  <si>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</si>
  <si>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</si>
  <si>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</si>
  <si>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</si>
  <si>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</si>
  <si>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</si>
  <si>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</si>
  <si>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</si>
  <si>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</si>
  <si>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</si>
  <si>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</si>
  <si>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</si>
  <si>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</si>
  <si>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</si>
  <si>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</si>
  <si>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</si>
  <si>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</si>
  <si>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</si>
  <si>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</si>
  <si>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</si>
  <si>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</si>
  <si>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</si>
  <si>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</si>
  <si>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</si>
  <si>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</si>
  <si>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</si>
  <si>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</si>
  <si>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</si>
  <si>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</si>
  <si>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</si>
  <si>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</si>
  <si>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</si>
  <si>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</si>
  <si>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</si>
  <si>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</si>
  <si>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</si>
  <si>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</si>
  <si>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</si>
  <si>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</si>
  <si>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</si>
  <si>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</si>
  <si>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</si>
  <si>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</si>
  <si>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</si>
  <si>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</si>
  <si>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</si>
  <si>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</si>
  <si>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</si>
  <si>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</si>
  <si>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</si>
  <si>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</si>
  <si>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</si>
  <si>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</si>
  <si>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</si>
  <si>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</si>
  <si>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</si>
  <si>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</si>
  <si>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</si>
  <si>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</si>
  <si>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</si>
  <si>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</si>
  <si>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</si>
  <si>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</si>
  <si>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</si>
  <si>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</si>
  <si>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</si>
  <si>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</si>
  <si>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</si>
  <si>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</si>
  <si>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</si>
  <si>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</si>
  <si>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</si>
  <si>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</si>
  <si>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</si>
  <si>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</si>
  <si>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</si>
  <si>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</si>
  <si>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</si>
  <si>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</si>
  <si>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</si>
  <si>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</si>
  <si>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</si>
  <si>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</si>
  <si>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</si>
  <si>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</si>
  <si>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</si>
  <si>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</si>
  <si>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</si>
  <si>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</si>
  <si>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</si>
  <si>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</si>
  <si>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</si>
  <si>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</si>
  <si>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</si>
  <si>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</si>
  <si>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</si>
  <si>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</si>
  <si>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</si>
  <si>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</si>
  <si>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</si>
  <si>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</si>
  <si>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</si>
  <si>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</si>
  <si>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</si>
  <si>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</si>
  <si>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</si>
  <si>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</si>
  <si>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</si>
  <si>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</si>
  <si>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</si>
  <si>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</si>
  <si>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</si>
  <si>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</si>
  <si>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</si>
  <si>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</si>
  <si>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</si>
  <si>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</si>
  <si>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</si>
  <si>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</si>
  <si>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</si>
  <si>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</si>
  <si>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</si>
  <si>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</si>
  <si>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</si>
  <si>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</si>
  <si>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</si>
  <si>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</si>
  <si>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</si>
  <si>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</si>
  <si>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</si>
  <si>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</si>
  <si>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</si>
  <si>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</si>
  <si>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</si>
  <si>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</si>
  <si>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</si>
  <si>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</si>
  <si>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</si>
  <si>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</si>
  <si>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</si>
  <si>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</si>
  <si>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</si>
  <si>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</si>
  <si>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</si>
  <si>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</si>
  <si>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</si>
  <si>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</si>
  <si>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</si>
  <si>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</si>
  <si>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</si>
  <si>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</si>
  <si>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</si>
  <si>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</si>
  <si>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</si>
  <si>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</si>
  <si>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</si>
  <si>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</si>
  <si>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</si>
  <si>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</si>
  <si>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</si>
  <si>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</si>
  <si>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</si>
  <si>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</si>
  <si>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</si>
  <si>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</si>
  <si>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</si>
  <si>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</si>
  <si>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</si>
  <si>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</si>
  <si>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</si>
  <si>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</si>
  <si>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</si>
  <si>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</si>
  <si>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</si>
  <si>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</si>
  <si>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</si>
  <si>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</si>
  <si>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</si>
  <si>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</si>
  <si>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</si>
  <si>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</si>
  <si>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</si>
  <si>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</si>
  <si>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</si>
  <si>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</si>
  <si>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</si>
  <si>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</si>
  <si>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</si>
  <si>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</si>
  <si>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</si>
  <si>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</si>
  <si>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</si>
  <si>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</si>
  <si>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</si>
  <si>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</si>
  <si>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</si>
  <si>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</si>
  <si>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</si>
  <si>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</si>
  <si>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</si>
  <si>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</si>
  <si>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</si>
  <si>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</si>
  <si>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</si>
  <si>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</si>
  <si>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</si>
  <si>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</si>
  <si>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</si>
  <si>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</si>
  <si>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</si>
  <si>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</si>
  <si>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</si>
  <si>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</si>
  <si>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</si>
  <si>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</si>
  <si>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</si>
  <si>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</si>
  <si>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</si>
  <si>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</si>
  <si>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</si>
  <si>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</si>
  <si>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</si>
  <si>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</si>
  <si>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</si>
  <si>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</si>
  <si>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</si>
  <si>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</si>
  <si>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</si>
  <si>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</si>
  <si>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</si>
  <si>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</si>
  <si>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</si>
  <si>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</si>
  <si>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</si>
  <si>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</si>
  <si>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</si>
  <si>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</si>
  <si>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</si>
  <si>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</si>
  <si>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</si>
  <si>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</si>
  <si>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</si>
  <si>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</si>
  <si>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</si>
  <si>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</si>
  <si>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</si>
  <si>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</si>
  <si>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</si>
  <si>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</si>
  <si>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</si>
  <si>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</si>
  <si>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</si>
  <si>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</si>
  <si>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</si>
  <si>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</si>
  <si>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</si>
  <si>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</si>
  <si>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</si>
  <si>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</si>
  <si>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</si>
  <si>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</si>
  <si>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</si>
  <si>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</si>
  <si>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</si>
  <si>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</si>
  <si>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</si>
  <si>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</si>
  <si>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</si>
  <si>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</si>
  <si>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</si>
  <si>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</si>
  <si>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</si>
  <si>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</si>
  <si>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</si>
  <si>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</si>
  <si>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</si>
  <si>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</si>
  <si>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</si>
  <si>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</si>
  <si>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</si>
  <si>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</si>
  <si>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</si>
  <si>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</si>
  <si>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</si>
  <si>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</si>
  <si>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</si>
  <si>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</si>
  <si>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</si>
  <si>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</si>
  <si>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</si>
  <si>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</si>
  <si>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</si>
  <si>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</si>
  <si>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</si>
  <si>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</si>
  <si>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</si>
  <si>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</si>
  <si>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</si>
  <si>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</si>
  <si>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</si>
  <si>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</si>
  <si>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</si>
  <si>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</si>
  <si>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</si>
  <si>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</si>
  <si>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</si>
  <si>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</si>
  <si>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</si>
  <si>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</si>
  <si>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</si>
  <si>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</si>
  <si>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</si>
  <si>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</si>
  <si>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</si>
  <si>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</si>
  <si>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</si>
  <si>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</si>
  <si>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</si>
  <si>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</si>
  <si>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</si>
  <si>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</si>
  <si>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</si>
  <si>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</si>
  <si>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</si>
  <si>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</si>
  <si>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</si>
  <si>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</si>
  <si>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</si>
  <si>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</si>
  <si>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</si>
  <si>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</si>
  <si>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</si>
  <si>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</si>
  <si>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</si>
  <si>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</si>
  <si>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</si>
  <si>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</si>
  <si>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</si>
  <si>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</si>
  <si>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</si>
  <si>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</si>
  <si>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</si>
  <si>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</si>
  <si>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</si>
  <si>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</si>
  <si>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</si>
  <si>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</si>
  <si>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</si>
  <si>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</si>
  <si>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</si>
  <si>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</si>
  <si>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</si>
  <si>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</si>
  <si>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</si>
  <si>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</si>
  <si>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</si>
  <si>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</si>
  <si>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</si>
  <si>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</si>
  <si>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</si>
  <si>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</si>
  <si>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</si>
  <si>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</si>
  <si>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</si>
  <si>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</si>
  <si>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</si>
  <si>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</si>
  <si>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</si>
  <si>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</si>
  <si>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</si>
  <si>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</si>
  <si>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</si>
  <si>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</si>
  <si>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</si>
  <si>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</si>
  <si>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</si>
  <si>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</si>
  <si>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</si>
  <si>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</si>
  <si>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</si>
  <si>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</si>
  <si>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</si>
  <si>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</si>
  <si>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</si>
  <si>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</si>
  <si>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</si>
  <si>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</si>
  <si>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</si>
  <si>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</si>
  <si>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</si>
  <si>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</si>
  <si>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</si>
  <si>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</si>
  <si>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</si>
  <si>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</si>
  <si>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</si>
  <si>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</si>
  <si>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</si>
  <si>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</si>
  <si>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</si>
  <si>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</si>
  <si>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</si>
  <si>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</si>
  <si>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</si>
  <si>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</si>
  <si>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</si>
  <si>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</si>
  <si>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</si>
  <si>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</si>
  <si>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</si>
  <si>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</si>
  <si>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</si>
  <si>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</si>
  <si>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</si>
  <si>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</si>
  <si>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</si>
  <si>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</si>
  <si>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</si>
  <si>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</si>
  <si>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</si>
  <si>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</si>
  <si>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</si>
  <si>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</si>
  <si>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</si>
  <si>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</si>
  <si>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</si>
  <si>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</si>
  <si>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</si>
  <si>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</si>
  <si>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</si>
  <si>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</si>
  <si>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</si>
  <si>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</si>
  <si>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</si>
  <si>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</si>
  <si>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</si>
  <si>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</si>
  <si>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</si>
  <si>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</si>
  <si>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</si>
  <si>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</si>
  <si>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</si>
  <si>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</si>
  <si>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</si>
  <si>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</si>
  <si>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</si>
  <si>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</si>
  <si>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</si>
  <si>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</si>
  <si>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</si>
  <si>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</si>
  <si>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</si>
  <si>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</si>
  <si>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</si>
  <si>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</si>
  <si>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</si>
  <si>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</si>
  <si>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</si>
  <si>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</si>
  <si>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</si>
  <si>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</si>
  <si>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</si>
  <si>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</si>
  <si>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</si>
  <si>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</si>
  <si>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</si>
  <si>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</si>
  <si>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</si>
  <si>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</si>
  <si>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</si>
  <si>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</si>
  <si>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</si>
  <si>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</si>
  <si>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</si>
  <si>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</si>
  <si>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</si>
  <si>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</si>
  <si>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</si>
  <si>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</si>
  <si>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</si>
  <si>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</si>
  <si>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</si>
  <si>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</si>
  <si>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</si>
  <si>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</si>
  <si>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</si>
  <si>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</si>
  <si>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</si>
  <si>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</si>
  <si>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</si>
  <si>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</si>
  <si>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</si>
  <si>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</si>
  <si>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</si>
  <si>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</si>
  <si>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</si>
  <si>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</si>
  <si>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</si>
  <si>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</si>
  <si>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</si>
  <si>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</si>
  <si>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</si>
  <si>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</si>
  <si>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</si>
  <si>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</si>
  <si>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</si>
  <si>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</si>
  <si>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</si>
  <si>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</si>
  <si>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</si>
  <si>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</si>
  <si>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</si>
  <si>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</si>
  <si>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</si>
  <si>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</si>
  <si>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</si>
  <si>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</si>
  <si>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</si>
  <si>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</si>
  <si>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</si>
  <si>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</si>
  <si>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</si>
  <si>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</si>
  <si>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</si>
  <si>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</si>
  <si>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</si>
  <si>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</si>
  <si>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</si>
  <si>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</si>
  <si>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</si>
  <si>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</si>
  <si>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</si>
  <si>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</si>
  <si>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</si>
  <si>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</si>
  <si>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</si>
  <si>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</si>
  <si>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</si>
  <si>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</si>
  <si>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</si>
  <si>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</si>
  <si>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</si>
  <si>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</si>
  <si>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</si>
  <si>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</si>
  <si>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</si>
  <si>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</si>
  <si>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</si>
  <si>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</si>
  <si>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</si>
  <si>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</si>
  <si>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</si>
  <si>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</si>
  <si>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</si>
  <si>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</si>
  <si>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</si>
  <si>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</si>
  <si>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</si>
  <si>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</si>
  <si>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</si>
  <si>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</si>
  <si>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</si>
  <si>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</si>
  <si>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</si>
  <si>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</si>
  <si>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</si>
  <si>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</si>
  <si>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</si>
  <si>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</si>
  <si>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</si>
  <si>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</si>
  <si>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</si>
  <si>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</si>
  <si>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</si>
  <si>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</si>
  <si>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</si>
  <si>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</si>
  <si>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</si>
  <si>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</si>
  <si>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</si>
  <si>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</si>
  <si>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</si>
  <si>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</si>
  <si>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</si>
  <si>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</si>
  <si>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</si>
  <si>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</si>
  <si>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</si>
  <si>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</si>
  <si>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</si>
  <si>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</si>
  <si>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</si>
  <si>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</si>
  <si>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</si>
  <si>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</si>
  <si>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</si>
  <si>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</si>
  <si>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</si>
  <si>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</si>
  <si>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</si>
  <si>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</si>
  <si>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</si>
  <si>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</si>
  <si>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</si>
  <si>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</si>
  <si>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</si>
  <si>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</si>
  <si>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</si>
  <si>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</si>
  <si>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</si>
  <si>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</si>
  <si>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</si>
  <si>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</si>
  <si>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</si>
  <si>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</si>
  <si>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</si>
  <si>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</si>
  <si>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</si>
  <si>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</si>
  <si>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</si>
  <si>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</si>
  <si>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</si>
  <si>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</si>
  <si>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</si>
  <si>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</si>
  <si>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</si>
  <si>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</si>
  <si>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</si>
  <si>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</si>
  <si>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</si>
  <si>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</si>
  <si>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</si>
  <si>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</si>
  <si>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</si>
  <si>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</si>
  <si>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</si>
  <si>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</si>
  <si>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</si>
  <si>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</si>
  <si>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</si>
  <si>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</si>
  <si>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</si>
  <si>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</si>
  <si>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</si>
  <si>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</si>
  <si>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</si>
  <si>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</si>
  <si>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</si>
  <si>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</si>
  <si>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</si>
  <si>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</si>
  <si>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</si>
  <si>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</si>
  <si>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</si>
  <si>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</si>
  <si>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</si>
  <si>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</si>
  <si>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</si>
  <si>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</si>
  <si>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</si>
  <si>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</si>
  <si>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</si>
  <si>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</si>
  <si>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</si>
  <si>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</si>
  <si>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</si>
  <si>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</si>
  <si>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</si>
  <si>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</si>
  <si>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</si>
  <si>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</si>
  <si>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</si>
  <si>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</si>
  <si>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</si>
  <si>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</si>
  <si>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</si>
  <si>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</si>
  <si>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</si>
  <si>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</si>
  <si>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</si>
  <si>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</si>
  <si>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</si>
  <si>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</si>
  <si>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</si>
  <si>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</si>
  <si>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</si>
  <si>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</si>
  <si>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</si>
  <si>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</si>
  <si>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</si>
  <si>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</si>
  <si>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</si>
  <si>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</si>
  <si>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</si>
  <si>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</si>
  <si>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</si>
  <si>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</si>
  <si>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</si>
  <si>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</si>
  <si>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</si>
  <si>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</si>
  <si>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</si>
  <si>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</si>
  <si>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</si>
  <si>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</si>
  <si>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</si>
  <si>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</si>
  <si>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</si>
  <si>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</si>
  <si>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</si>
  <si>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</si>
  <si>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</si>
  <si>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</si>
  <si>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</si>
  <si>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</si>
  <si>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</si>
  <si>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</si>
  <si>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</si>
  <si>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</si>
  <si>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</si>
  <si>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</si>
  <si>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</si>
  <si>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</si>
  <si>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</si>
  <si>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</si>
  <si>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</si>
  <si>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</si>
  <si>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</si>
  <si>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</si>
  <si>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</si>
  <si>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</si>
  <si>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</si>
  <si>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</si>
  <si>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</si>
  <si>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</si>
  <si>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</si>
  <si>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</si>
  <si>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</si>
  <si>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</si>
  <si>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</si>
  <si>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</si>
  <si>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</si>
  <si>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</si>
  <si>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</si>
  <si>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</si>
  <si>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</si>
  <si>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</si>
  <si>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</si>
  <si>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</si>
  <si>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</si>
  <si>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</si>
  <si>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</si>
  <si>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</si>
  <si>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</si>
  <si>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</si>
  <si>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</si>
  <si>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</si>
  <si>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</si>
  <si>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</si>
  <si>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</si>
  <si>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</si>
  <si>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</si>
  <si>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</si>
  <si>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</si>
  <si>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</si>
  <si>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</si>
  <si>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</si>
  <si>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</si>
  <si>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</si>
  <si>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</si>
  <si>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</si>
  <si>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</si>
  <si>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</si>
  <si>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</si>
  <si>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</si>
  <si>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</si>
  <si>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</si>
  <si>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</si>
  <si>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</si>
  <si>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</si>
  <si>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</si>
  <si>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</si>
  <si>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</si>
  <si>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</si>
  <si>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</si>
  <si>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</si>
  <si>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</si>
  <si>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</si>
  <si>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</si>
  <si>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</si>
  <si>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</si>
  <si>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</si>
  <si>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</si>
  <si>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</si>
  <si>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</si>
  <si>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</si>
  <si>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</si>
  <si>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</si>
  <si>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</si>
  <si>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</si>
  <si>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</si>
  <si>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</si>
  <si>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</si>
  <si>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</si>
  <si>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</si>
  <si>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</si>
  <si>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</si>
  <si>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</si>
  <si>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</si>
  <si>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</si>
  <si>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</si>
  <si>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</si>
  <si>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</si>
  <si>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</si>
  <si>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</si>
  <si>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</si>
  <si>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</si>
  <si>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</si>
  <si>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</si>
  <si>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</si>
  <si>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</si>
  <si>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</si>
  <si>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</si>
  <si>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</si>
  <si>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</si>
  <si>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</si>
  <si>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</si>
  <si>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</si>
  <si>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</si>
  <si>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</si>
  <si>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</si>
  <si>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</si>
  <si>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</si>
  <si>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</si>
  <si>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</si>
  <si>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</si>
  <si>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</si>
  <si>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</si>
  <si>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</si>
  <si>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</si>
  <si>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</si>
  <si>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</si>
  <si>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</si>
  <si>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</si>
  <si>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</si>
  <si>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</si>
  <si>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</si>
  <si>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</si>
  <si>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</si>
  <si>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</si>
  <si>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</si>
  <si>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</si>
  <si>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</si>
  <si>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</si>
  <si>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</si>
  <si>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</si>
  <si>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</si>
  <si>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</si>
  <si>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</si>
  <si>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</si>
  <si>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</si>
  <si>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</si>
  <si>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</si>
  <si>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</si>
  <si>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</si>
  <si>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</si>
  <si>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</si>
  <si>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</si>
  <si>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</si>
  <si>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</si>
  <si>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</si>
  <si>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</si>
  <si>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</si>
  <si>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</si>
  <si>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</si>
  <si>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</si>
  <si>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</si>
  <si>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</si>
  <si>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</si>
  <si>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</si>
  <si>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</si>
  <si>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</si>
  <si>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</si>
  <si>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</si>
  <si>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</si>
  <si>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</si>
  <si>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</si>
  <si>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</si>
  <si>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</si>
  <si>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</si>
  <si>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</si>
  <si>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</si>
  <si>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</si>
  <si>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</si>
  <si>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</si>
  <si>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</si>
  <si>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</si>
  <si>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</si>
  <si>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</si>
  <si>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</si>
  <si>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</si>
  <si>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</si>
  <si>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</si>
  <si>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</si>
  <si>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</si>
  <si>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</si>
  <si>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</si>
  <si>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</si>
  <si>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</si>
  <si>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</si>
  <si>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</si>
  <si>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</si>
  <si>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</si>
  <si>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</si>
  <si>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</si>
  <si>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</si>
  <si>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</si>
  <si>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</si>
  <si>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</si>
  <si>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</si>
  <si>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</si>
  <si>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</si>
  <si>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</si>
  <si>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</si>
  <si>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</si>
  <si>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</si>
  <si>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</si>
  <si>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</si>
  <si>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</si>
  <si>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</si>
  <si>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</si>
  <si>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</si>
  <si>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</si>
  <si>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</si>
  <si>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</si>
  <si>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</si>
  <si>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</si>
  <si>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</si>
  <si>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</si>
  <si>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</si>
  <si>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</si>
  <si>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</si>
  <si>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</si>
  <si>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</si>
  <si>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</si>
  <si>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</si>
  <si>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</si>
  <si>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</si>
  <si>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</si>
  <si>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</si>
  <si>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</si>
  <si>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</si>
  <si>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</si>
  <si>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</si>
  <si>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</si>
  <si>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</si>
  <si>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</si>
  <si>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</si>
  <si>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</si>
  <si>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</si>
  <si>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</si>
  <si>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</si>
  <si>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</si>
  <si>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</si>
  <si>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</si>
  <si>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</si>
  <si>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</si>
  <si>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</si>
  <si>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</si>
  <si>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</si>
  <si>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</si>
  <si>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</si>
  <si>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</si>
  <si>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</si>
  <si>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</si>
  <si>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</si>
  <si>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</si>
  <si>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</si>
  <si>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</si>
  <si>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</si>
  <si>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</si>
  <si>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</si>
  <si>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</si>
  <si>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</si>
  <si>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</si>
  <si>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</si>
  <si>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</si>
  <si>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</si>
  <si>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</si>
  <si>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</si>
  <si>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</si>
  <si>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</si>
  <si>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</si>
  <si>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</si>
  <si>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</si>
  <si>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</si>
  <si>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</si>
  <si>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</si>
  <si>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</si>
  <si>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</si>
  <si>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</si>
  <si>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</si>
  <si>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</si>
  <si>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</si>
  <si>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</si>
  <si>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</si>
  <si>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</si>
  <si>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</si>
  <si>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</si>
  <si>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</si>
  <si>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</si>
  <si>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</si>
  <si>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</si>
  <si>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</si>
  <si>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</si>
  <si>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</si>
  <si>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</si>
  <si>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</si>
  <si>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</si>
  <si>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</si>
  <si>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</si>
  <si>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</si>
  <si>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</si>
  <si>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</si>
  <si>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</si>
  <si>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</si>
  <si>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</si>
  <si>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</si>
  <si>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</si>
  <si>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</si>
  <si>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</si>
  <si>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</si>
  <si>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</si>
  <si>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</si>
  <si>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</si>
  <si>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</si>
  <si>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</si>
  <si>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</si>
  <si>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</si>
  <si>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</si>
  <si>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</si>
  <si>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</si>
  <si>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</si>
  <si>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</si>
  <si>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</si>
  <si>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</si>
  <si>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</si>
  <si>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</si>
  <si>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</si>
  <si>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</si>
  <si>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</si>
  <si>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</si>
  <si>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</si>
  <si>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</si>
  <si>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</si>
  <si>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</si>
  <si>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</si>
  <si>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</si>
  <si>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</si>
  <si>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</si>
  <si>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</si>
  <si>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</si>
  <si>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</si>
  <si>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</si>
  <si>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</si>
  <si>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</si>
  <si>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</si>
  <si>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</si>
  <si>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</si>
  <si>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</si>
  <si>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</si>
  <si>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</si>
  <si>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</si>
  <si>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</si>
  <si>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</si>
  <si>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</si>
  <si>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</si>
  <si>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</si>
  <si>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</si>
  <si>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</si>
  <si>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</si>
  <si>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</si>
  <si>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</si>
  <si>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</si>
  <si>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</si>
  <si>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</si>
  <si>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</si>
  <si>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</si>
  <si>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</si>
  <si>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</si>
  <si>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</si>
  <si>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</si>
  <si>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</si>
  <si>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</si>
  <si>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</si>
  <si>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</si>
  <si>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</si>
  <si>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</si>
  <si>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</si>
  <si>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</si>
  <si>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</si>
  <si>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</si>
  <si>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</si>
  <si>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</si>
  <si>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</si>
  <si>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</si>
  <si>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</si>
  <si>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</si>
  <si>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</si>
  <si>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</si>
  <si>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</si>
  <si>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</si>
  <si>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</si>
  <si>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</si>
  <si>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</si>
  <si>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</si>
  <si>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</si>
  <si>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</si>
  <si>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</si>
  <si>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</si>
  <si>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</si>
  <si>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</si>
  <si>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</si>
  <si>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</si>
  <si>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</si>
  <si>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</si>
  <si>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</si>
  <si>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</si>
  <si>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</si>
  <si>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</si>
  <si>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</si>
  <si>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</si>
  <si>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</si>
  <si>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</si>
  <si>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</si>
  <si>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</si>
  <si>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</si>
  <si>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</si>
  <si>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</si>
  <si>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</si>
  <si>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</si>
  <si>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</si>
  <si>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</si>
  <si>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</si>
  <si>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</si>
  <si>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</si>
  <si>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</si>
  <si>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</si>
  <si>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</si>
  <si>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</si>
  <si>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</si>
  <si>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</si>
  <si>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</si>
  <si>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</si>
  <si>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</si>
  <si>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</si>
  <si>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</si>
  <si>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</si>
  <si>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</si>
  <si>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</si>
  <si>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</si>
  <si>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</si>
  <si>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</si>
  <si>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</si>
  <si>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</si>
  <si>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</si>
  <si>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</si>
  <si>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</si>
  <si>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</si>
  <si>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</si>
  <si>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</si>
  <si>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</si>
  <si>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</si>
  <si>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</si>
  <si>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</si>
  <si>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</si>
  <si>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</si>
  <si>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</si>
  <si>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</si>
  <si>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</si>
  <si>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</si>
  <si>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</si>
  <si>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</si>
  <si>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</si>
  <si>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</si>
  <si>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</si>
  <si>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</si>
  <si>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</si>
  <si>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</si>
  <si>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</si>
  <si>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</si>
  <si>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</si>
  <si>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</si>
  <si>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</si>
  <si>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</si>
  <si>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</si>
  <si>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</si>
  <si>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</si>
  <si>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</si>
  <si>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</si>
  <si>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</si>
  <si>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</si>
  <si>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</si>
  <si>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</si>
  <si>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</si>
  <si>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</si>
  <si>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</si>
  <si>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</si>
  <si>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</si>
  <si>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</si>
  <si>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</si>
  <si>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</si>
  <si>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</si>
  <si>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</si>
  <si>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</si>
  <si>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</si>
  <si>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</si>
  <si>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</si>
  <si>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</si>
  <si>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</si>
  <si>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</si>
  <si>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</si>
  <si>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</si>
  <si>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</si>
  <si>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</si>
  <si>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</si>
  <si>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</si>
  <si>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</si>
  <si>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</si>
  <si>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</si>
  <si>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</si>
  <si>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</si>
  <si>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</si>
  <si>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</si>
  <si>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</si>
  <si>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</si>
  <si>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</si>
  <si>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</si>
  <si>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</si>
  <si>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</si>
  <si>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</si>
  <si>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</si>
  <si>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</si>
  <si>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</si>
  <si>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</si>
  <si>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</si>
  <si>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</si>
  <si>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</si>
  <si>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</si>
  <si>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</si>
  <si>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</si>
  <si>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</si>
  <si>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</si>
  <si>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</si>
  <si>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</si>
  <si>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</si>
  <si>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</si>
  <si>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</si>
  <si>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</si>
  <si>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</si>
  <si>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</si>
  <si>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</si>
  <si>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</si>
  <si>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</si>
  <si>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</si>
  <si>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</si>
  <si>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</si>
  <si>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</si>
  <si>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</si>
  <si>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</si>
  <si>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</si>
  <si>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</si>
  <si>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</si>
  <si>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</si>
  <si>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</si>
  <si>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</si>
  <si>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</si>
  <si>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</si>
  <si>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</si>
  <si>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</si>
  <si>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</si>
  <si>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</si>
  <si>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</si>
  <si>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</si>
  <si>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</si>
  <si>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</si>
  <si>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</si>
  <si>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</si>
  <si>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</si>
  <si>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</si>
  <si>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</si>
  <si>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</si>
  <si>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</si>
  <si>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</si>
  <si>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</si>
  <si>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</si>
  <si>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</si>
  <si>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</si>
  <si>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</si>
  <si>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</si>
  <si>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</si>
  <si>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</si>
  <si>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</si>
  <si>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</si>
  <si>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</si>
  <si>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</si>
  <si>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</si>
  <si>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</si>
  <si>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</si>
  <si>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</si>
  <si>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</si>
  <si>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</si>
  <si>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</si>
  <si>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</si>
  <si>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</si>
  <si>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</si>
  <si>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</si>
  <si>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</si>
  <si>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</si>
  <si>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</si>
  <si>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</si>
  <si>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</si>
  <si>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</si>
  <si>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</si>
  <si>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</si>
  <si>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</si>
  <si>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</si>
  <si>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</si>
  <si>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</si>
  <si>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</si>
  <si>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</si>
  <si>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</si>
  <si>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</si>
  <si>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</si>
  <si>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</si>
  <si>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</si>
  <si>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</si>
  <si>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</si>
  <si>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</si>
  <si>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</si>
  <si>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</si>
  <si>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</si>
  <si>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</si>
  <si>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</si>
  <si>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</si>
  <si>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</si>
  <si>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</si>
  <si>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</si>
  <si>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</si>
  <si>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</si>
  <si>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</si>
  <si>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</si>
  <si>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</si>
  <si>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</si>
  <si>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</si>
  <si>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</si>
  <si>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</si>
  <si>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</si>
  <si>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</si>
  <si>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</si>
  <si>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</si>
  <si>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</si>
  <si>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</si>
  <si>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</si>
  <si>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</si>
  <si>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</si>
  <si>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</si>
  <si>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</si>
  <si>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</si>
  <si>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</si>
  <si>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</si>
  <si>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</si>
  <si>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</si>
  <si>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</si>
  <si>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</si>
  <si>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</si>
  <si>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</si>
  <si>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</si>
  <si>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</si>
  <si>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</si>
  <si>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</si>
  <si>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</si>
  <si>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</si>
  <si>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</si>
  <si>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</si>
  <si>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</si>
  <si>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</si>
  <si>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</si>
  <si>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</si>
  <si>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</si>
  <si>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</si>
  <si>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</si>
  <si>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</si>
  <si>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</si>
  <si>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</si>
  <si>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</si>
  <si>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</si>
  <si>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</si>
  <si>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</si>
  <si>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</si>
  <si>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</si>
  <si>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</si>
  <si>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</si>
  <si>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</si>
  <si>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</si>
  <si>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</si>
  <si>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</si>
  <si>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</si>
  <si>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</si>
  <si>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</si>
  <si>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</si>
  <si>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</si>
  <si>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</si>
  <si>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</si>
  <si>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</si>
  <si>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</si>
  <si>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</si>
  <si>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</si>
  <si>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</si>
  <si>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</si>
  <si>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</si>
  <si>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</si>
  <si>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</si>
  <si>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</si>
  <si>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</si>
  <si>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</si>
  <si>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</si>
  <si>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</si>
  <si>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</si>
  <si>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</si>
  <si>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</si>
  <si>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</si>
  <si>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</si>
  <si>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</si>
  <si>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</si>
  <si>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</si>
  <si>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</si>
  <si>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</si>
  <si>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</si>
  <si>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</si>
  <si>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</si>
  <si>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</si>
  <si>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</si>
  <si>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</si>
  <si>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</si>
  <si>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</si>
  <si>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</si>
  <si>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</si>
  <si>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</si>
  <si>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</si>
  <si>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</si>
  <si>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</si>
  <si>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</si>
  <si>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</si>
  <si>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</si>
  <si>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</si>
  <si>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</si>
  <si>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</si>
  <si>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</si>
  <si>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</si>
  <si>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</si>
  <si>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</si>
  <si>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</si>
  <si>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</si>
  <si>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</si>
  <si>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</si>
  <si>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</si>
  <si>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</si>
  <si>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</si>
  <si>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</si>
  <si>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</si>
  <si>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</si>
  <si>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</si>
  <si>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</si>
  <si>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</si>
  <si>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</si>
  <si>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</si>
  <si>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</si>
  <si>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</si>
  <si>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</si>
  <si>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</si>
  <si>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</si>
  <si>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</si>
  <si>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</si>
  <si>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</si>
  <si>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</si>
  <si>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</si>
  <si>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</si>
  <si>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</si>
  <si>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</si>
  <si>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</si>
  <si>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</si>
  <si>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</si>
  <si>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</si>
  <si>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</si>
  <si>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</si>
  <si>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</si>
  <si>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</si>
  <si>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</si>
  <si>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</si>
  <si>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</si>
  <si>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</si>
  <si>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</si>
  <si>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</si>
  <si>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</si>
  <si>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</si>
  <si>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</si>
  <si>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</si>
  <si>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</si>
  <si>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</si>
  <si>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</si>
  <si>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</si>
  <si>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</si>
  <si>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</si>
  <si>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</si>
  <si>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</si>
  <si>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</si>
  <si>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</si>
  <si>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</si>
  <si>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</si>
  <si>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</si>
  <si>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</si>
  <si>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</si>
  <si>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</si>
  <si>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</si>
  <si>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</si>
  <si>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</si>
  <si>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</si>
  <si>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</si>
  <si>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</si>
  <si>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</si>
  <si>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</si>
  <si>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</si>
  <si>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</si>
  <si>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</si>
  <si>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</si>
  <si>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</si>
  <si>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</si>
  <si>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</si>
  <si>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</si>
  <si>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</si>
  <si>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</si>
  <si>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</si>
  <si>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</si>
  <si>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</si>
  <si>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</si>
  <si>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</si>
  <si>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</si>
  <si>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</si>
  <si>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</si>
  <si>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</si>
  <si>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</si>
  <si>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</si>
  <si>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</si>
  <si>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</si>
  <si>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</si>
  <si>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</si>
  <si>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</si>
  <si>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</si>
  <si>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</si>
  <si>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</si>
  <si>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</si>
  <si>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</si>
  <si>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</si>
  <si>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</si>
  <si>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</si>
  <si>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</si>
  <si>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</si>
  <si>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</si>
  <si>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</si>
  <si>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</si>
  <si>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</si>
  <si>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</si>
  <si>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</si>
  <si>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</si>
  <si>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</si>
  <si>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</si>
  <si>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</si>
  <si>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</si>
  <si>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</si>
  <si>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</si>
  <si>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</si>
  <si>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</si>
  <si>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</si>
  <si>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</si>
  <si>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</si>
  <si>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</si>
  <si>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</si>
  <si>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</si>
  <si>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</si>
  <si>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</si>
  <si>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</si>
  <si>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</si>
  <si>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</si>
  <si>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</si>
  <si>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</si>
  <si>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</si>
  <si>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</si>
  <si>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</si>
  <si>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</si>
  <si>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</si>
  <si>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</si>
  <si>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</si>
  <si>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</si>
  <si>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</si>
  <si>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</si>
  <si>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</si>
  <si>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</si>
  <si>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</si>
  <si>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</si>
  <si>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</si>
  <si>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</si>
  <si>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</si>
  <si>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</si>
  <si>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</si>
  <si>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</si>
  <si>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</si>
  <si>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</si>
  <si>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</si>
  <si>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</si>
  <si>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</si>
  <si>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</si>
  <si>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</si>
  <si>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</si>
  <si>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</si>
  <si>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</si>
  <si>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</si>
  <si>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</si>
  <si>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</si>
  <si>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</si>
  <si>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</si>
  <si>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</si>
  <si>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</si>
  <si>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</si>
  <si>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</si>
  <si>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</si>
  <si>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</si>
  <si>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</si>
  <si>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</si>
  <si>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</si>
  <si>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</si>
  <si>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</si>
  <si>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</si>
  <si>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</si>
  <si>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</si>
  <si>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</si>
  <si>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</si>
  <si>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</si>
  <si>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</si>
  <si>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</si>
  <si>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</si>
  <si>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</si>
  <si>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</si>
  <si>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</si>
  <si>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</si>
  <si>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</si>
  <si>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</si>
  <si>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</si>
  <si>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</si>
  <si>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</si>
  <si>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</si>
  <si>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</si>
  <si>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</si>
  <si>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</si>
  <si>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</si>
  <si>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</si>
  <si>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</si>
  <si>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</si>
  <si>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</si>
  <si>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</si>
  <si>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</si>
  <si>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</si>
  <si>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</si>
  <si>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</si>
  <si>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</si>
  <si>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</si>
  <si>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</si>
  <si>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</si>
  <si>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</si>
  <si>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</si>
  <si>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</si>
  <si>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</si>
  <si>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</si>
  <si>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</si>
  <si>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</si>
  <si>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</si>
  <si>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</si>
  <si>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</si>
  <si>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</si>
  <si>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</si>
  <si>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</si>
  <si>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</si>
  <si>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</si>
  <si>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</si>
  <si>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</si>
  <si>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</si>
  <si>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</si>
  <si>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</si>
  <si>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</si>
  <si>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</si>
  <si>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</si>
  <si>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</si>
  <si>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</si>
  <si>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</si>
  <si>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</si>
  <si>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</si>
  <si>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</si>
  <si>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</si>
  <si>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</si>
  <si>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</si>
  <si>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</si>
  <si>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</si>
  <si>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</si>
  <si>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</si>
  <si>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</si>
  <si>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</si>
  <si>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</si>
  <si>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</si>
  <si>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</si>
  <si>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</si>
  <si>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</si>
  <si>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</si>
  <si>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</si>
  <si>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</si>
  <si>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</si>
  <si>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</si>
  <si>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</si>
  <si>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</si>
  <si>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</si>
  <si>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</si>
  <si>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</si>
  <si>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</si>
  <si>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</si>
  <si>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</si>
  <si>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</si>
  <si>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</si>
  <si>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</si>
  <si>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</si>
  <si>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</si>
  <si>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</si>
  <si>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</si>
  <si>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</si>
  <si>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</si>
  <si>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</si>
  <si>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</si>
  <si>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</si>
  <si>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</si>
  <si>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</si>
  <si>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</si>
  <si>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</si>
  <si>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</si>
  <si>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</si>
  <si>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</si>
  <si>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</si>
  <si>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</si>
  <si>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</si>
  <si>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</si>
  <si>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</si>
  <si>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</si>
  <si>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</si>
  <si>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</si>
  <si>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</si>
  <si>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</si>
  <si>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</si>
  <si>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</si>
  <si>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</si>
  <si>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</si>
  <si>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</si>
  <si>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</si>
  <si>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</si>
  <si>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</si>
  <si>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</si>
  <si>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</si>
  <si>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</si>
  <si>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</si>
  <si>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</si>
  <si>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</si>
  <si>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</si>
  <si>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</si>
  <si>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</si>
  <si>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</si>
  <si>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</si>
  <si>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</si>
  <si>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</si>
  <si>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</si>
  <si>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</si>
  <si>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</si>
  <si>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</si>
  <si>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</si>
  <si>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</si>
  <si>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</si>
  <si>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</si>
  <si>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</si>
  <si>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</si>
  <si>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</si>
  <si>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</si>
  <si>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</si>
  <si>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</si>
  <si>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</si>
  <si>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</si>
  <si>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</si>
  <si>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</si>
  <si>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</si>
  <si>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</si>
  <si>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</si>
  <si>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</si>
  <si>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</si>
  <si>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</si>
  <si>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</si>
  <si>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</si>
  <si>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</si>
  <si>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</si>
  <si>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</si>
  <si>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</si>
  <si>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</si>
  <si>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</si>
  <si>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</si>
  <si>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</si>
  <si>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</si>
  <si>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</si>
  <si>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</si>
  <si>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</si>
  <si>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</si>
  <si>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</si>
  <si>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</si>
  <si>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</si>
  <si>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</si>
  <si>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</si>
  <si>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</si>
  <si>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</si>
  <si>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</si>
  <si>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</si>
  <si>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</si>
  <si>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</si>
  <si>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</si>
  <si>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</si>
  <si>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</si>
  <si>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</si>
  <si>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</si>
  <si>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</si>
  <si>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</si>
  <si>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</si>
  <si>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</si>
  <si>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</si>
  <si>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</si>
  <si>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</si>
  <si>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</si>
  <si>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</si>
  <si>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</si>
  <si>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</si>
  <si>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</si>
  <si>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</si>
  <si>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</si>
  <si>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</si>
  <si>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</si>
  <si>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</si>
  <si>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</si>
  <si>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</si>
  <si>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</si>
  <si>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</si>
  <si>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</si>
  <si>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</si>
  <si>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</si>
  <si>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</si>
  <si>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</si>
  <si>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</si>
  <si>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</si>
  <si>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</si>
  <si>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</si>
  <si>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</si>
  <si>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</si>
  <si>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</si>
  <si>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</si>
  <si>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</si>
  <si>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</si>
  <si>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</si>
  <si>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</si>
  <si>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</si>
  <si>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</si>
  <si>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</si>
  <si>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</si>
  <si>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</si>
  <si>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</si>
  <si>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</si>
  <si>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</si>
  <si>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Zygmunt Żumda-Trzebiatowski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</si>
  <si>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</si>
  <si>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</si>
  <si>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</si>
  <si>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</si>
  <si>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</si>
  <si>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</si>
  <si>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</si>
  <si>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</si>
  <si>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</si>
  <si>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</si>
  <si>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</si>
  <si>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</si>
  <si>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</si>
  <si>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</si>
  <si>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</si>
  <si>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</si>
  <si>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</si>
  <si>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</si>
  <si>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</si>
  <si>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</si>
  <si>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</si>
  <si>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</si>
  <si>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</si>
  <si>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</si>
  <si>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</si>
  <si>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</si>
  <si>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</si>
  <si>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</si>
  <si>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</si>
  <si>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</si>
  <si>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</si>
  <si>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</si>
  <si>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</si>
  <si>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</si>
  <si>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</si>
  <si>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</si>
  <si>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</si>
  <si>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</si>
  <si>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(A_R_W_P; t; 5; m; E; t/t)</t>
  </si>
  <si>
    <t>Misja – wspieranie rozwoju gospodarki; kompetencje + (…?)</t>
  </si>
  <si>
    <t>Spojrzenie całościowe – współpraca; przemysł zgłasza problemy, uczelnia szkoli ludzi do rozwiązania; 
punkty za publikacje?; 
„doktorat musi być wdrożony”</t>
  </si>
  <si>
    <t>PG? WAT?</t>
  </si>
  <si>
    <t>„Absolwenci słabszych uczelni nie są gorsi od tych z lepszych (pracowitość, walka, chęć rozwoju)”</t>
  </si>
  <si>
    <t>„Kluczowe są efekty dla gospodarki”</t>
  </si>
  <si>
    <t>„Chyba jeszcze nie, może na zachodzie…?”</t>
  </si>
  <si>
    <t>ankieta</t>
  </si>
  <si>
    <t>„warto pytać, sprawdzać”</t>
  </si>
  <si>
    <t>Gospodarka jest ważna -&gt; jako myśl przewodnia na wykładach, kwestia „klimatu” na uczelni</t>
  </si>
  <si>
    <t>(A; nt; 4; m; F; n/n)</t>
  </si>
  <si>
    <t>Możliwość rozwoju, Kontakty</t>
  </si>
  <si>
    <t>(potrzeba patrona - mistrza)</t>
  </si>
  <si>
    <t>Studenci (presja na ponadczasową wartość nauki); absolwenci
Po równo słuchać studentów (sposób przekazywania wiedzy) i absolwentów (merytoryka) np. asystentów/wykładowców</t>
  </si>
  <si>
    <t>statystycznie</t>
  </si>
  <si>
    <t>Zjazdy naukowe, zjazdy studentów i młodych lekarzy z konkursami dla wyróżniających się</t>
  </si>
  <si>
    <t>Raczej nie, bo występują bardzo duże rozbieżności w zarobkach, a różnice regionalne są bardzo istotne</t>
  </si>
  <si>
    <t>Wątpliwe</t>
  </si>
  <si>
    <t>Porównywalność dzięki centralnemu egzaminowi -&gt; nie ma dużych różnic choć pewne są
Ściąganie dobrej kadry dydaktycznej
Różnice w wyposażeniu -&gt; sprzęt jest istotny, ale nie najważniejszy</t>
  </si>
  <si>
    <t>(A, R, Wł UP; nt; 5; m; F; t/n)</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</si>
  <si>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</si>
  <si>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</si>
  <si>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</si>
  <si>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</si>
  <si>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</si>
  <si>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</si>
  <si>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</si>
  <si>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</si>
  <si>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</si>
  <si>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(A,R,U,P; nt; 5; m; F; t/n)</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</si>
  <si>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</si>
  <si>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</si>
  <si>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</si>
  <si>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</si>
  <si>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</si>
  <si>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</si>
  <si>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</si>
  <si>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</si>
  <si>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(A,R,U; t;5 ; m; F; t/t)</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</si>
  <si>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</si>
  <si>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</si>
  <si>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</si>
  <si>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</si>
  <si>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</si>
  <si>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</si>
  <si>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(A, t; 3; m; D; t/t)</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</si>
  <si>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</si>
  <si>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</si>
  <si>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</si>
  <si>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</si>
  <si>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</si>
  <si>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</si>
  <si>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</si>
  <si>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</si>
  <si>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(A, pU, Wu, pA; ntASP; 5; m; E; n/n)</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</si>
  <si>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</si>
  <si>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</si>
  <si>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</si>
  <si>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</si>
  <si>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</si>
  <si>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</si>
  <si>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</si>
  <si>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(A, nt; 2; k; F; t/n)</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</si>
  <si>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</si>
  <si>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</si>
  <si>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</si>
  <si>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</si>
  <si>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</si>
  <si>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</si>
  <si>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</si>
  <si>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 xml:space="preserve">(A; t; 3; m; E; n/n) </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</si>
  <si>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</si>
  <si>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</si>
  <si>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</si>
  <si>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</si>
  <si>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</si>
  <si>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</si>
  <si>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</si>
  <si>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(A,W,P,; t; 3; m; F; t/n)</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</si>
  <si>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</si>
  <si>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</si>
  <si>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</si>
  <si>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</si>
  <si>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</si>
  <si>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</si>
  <si>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</si>
  <si>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</si>
  <si>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</si>
  <si>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</si>
  <si>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</si>
  <si>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</si>
  <si>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</si>
  <si>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</si>
  <si>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</si>
  <si>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</si>
  <si>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</si>
  <si>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 ?; 3; k; E; t/n)</t>
  </si>
  <si>
    <t>(A,pA; nt; 3; m; E; t/n)</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</si>
  <si>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</si>
  <si>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</si>
  <si>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</si>
  <si>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</si>
  <si>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</si>
  <si>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</si>
  <si>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</si>
  <si>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(A,R,W; t; 6; m; F; n/n)</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</si>
  <si>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</si>
  <si>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</si>
  <si>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</si>
  <si>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</si>
  <si>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</si>
  <si>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</si>
  <si>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</si>
  <si>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</si>
  <si>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(S, A; nt; 2; m;C; t/n)</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</si>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</sst>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6">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s>
  <cellStyleXfs count="3">
    <xf numFmtId="0" fontId="0" fillId="0" borderId="0"/>
    <xf numFmtId="0" fontId="2" fillId="0" borderId="0"/>
    <xf numFmtId="9" fontId="6" fillId="0" borderId="0" applyFont="0" applyFill="0" applyBorder="0" applyAlignment="0" applyProtection="0"/>
  </cellStyleXfs>
  <cellXfs count="63">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xf numFmtId="0" fontId="2" fillId="0" borderId="0" xfId="0" applyFont="1" applyAlignment="1">
      <alignment vertical="top" wrapText="1"/>
    </xf>
    <xf numFmtId="0" fontId="7" fillId="0" borderId="0" xfId="0" applyFont="1" applyAlignment="1">
      <alignment vertical="top"/>
    </xf>
    <xf numFmtId="0" fontId="0" fillId="0" borderId="0" xfId="0" applyAlignment="1"/>
  </cellXfs>
  <cellStyles count="3">
    <cellStyle name="Normalny" xfId="0" builtinId="0"/>
    <cellStyle name="Normalny 2" xfId="1" xr:uid="{B583D91A-72FD-4F8D-9274-2D4BD9705AA5}"/>
    <cellStyle name="Procentowy" xfId="2" builtinId="5"/>
  </cellStyles>
  <dxfs count="534">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numFmt numFmtId="0" formatCode="General"/>
    </dxf>
    <dxf>
      <numFmt numFmtId="0" formatCode="Genera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9</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28</c:v>
                  </c:pt>
                  <c:pt idx="1">
                    <c:v>1</c:v>
                  </c:pt>
                  <c:pt idx="2">
                    <c:v>0</c:v>
                  </c:pt>
                </c:lvl>
              </c:multiLvlStrCache>
            </c:multiLvlStrRef>
          </c:cat>
          <c:val>
            <c:numRef>
              <c:f>Zestawienia_ilościowe!$C$120:$C$122</c:f>
              <c:numCache>
                <c:formatCode>0.00%</c:formatCode>
                <c:ptCount val="3"/>
                <c:pt idx="0">
                  <c:v>0.96551724137931039</c:v>
                </c:pt>
                <c:pt idx="1">
                  <c:v>3.4482758620689655E-2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7.4999999999999997E-2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12</c:v>
                </c:pt>
                <c:pt idx="10">
                  <c:v>0</c:v>
                </c:pt>
                <c:pt idx="11">
                  <c:v>0</c:v>
                </c:pt>
                <c:pt idx="12">
                  <c:v>0</c:v>
                </c:pt>
                <c:pt idx="13">
                  <c:v>1</c:v>
                </c:pt>
                <c:pt idx="14">
                  <c:v>1</c:v>
                </c:pt>
                <c:pt idx="15">
                  <c:v>0</c:v>
                </c:pt>
                <c:pt idx="16">
                  <c:v>0</c:v>
                </c:pt>
                <c:pt idx="17">
                  <c:v>0</c:v>
                </c:pt>
                <c:pt idx="18">
                  <c:v>0</c:v>
                </c:pt>
                <c:pt idx="19">
                  <c:v>9</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74">
      <pivotArea type="all" dataOnly="0" outline="0" fieldPosition="0"/>
    </format>
    <format dxfId="473">
      <pivotArea outline="0" collapsedLevelsAreSubtotals="1" fieldPosition="0"/>
    </format>
    <format dxfId="472">
      <pivotArea field="95" type="button" dataOnly="0" labelOnly="1" outline="0" axis="axisRow" fieldPosition="0"/>
    </format>
    <format dxfId="471">
      <pivotArea dataOnly="0" labelOnly="1" fieldPosition="0">
        <references count="1">
          <reference field="95" count="0"/>
        </references>
      </pivotArea>
    </format>
    <format dxfId="470">
      <pivotArea dataOnly="0" labelOnly="1" grandRow="1" outline="0" fieldPosition="0"/>
    </format>
    <format dxfId="46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80">
      <pivotArea type="all" dataOnly="0" outline="0" fieldPosition="0"/>
    </format>
    <format dxfId="479">
      <pivotArea outline="0" collapsedLevelsAreSubtotals="1" fieldPosition="0"/>
    </format>
    <format dxfId="478">
      <pivotArea field="49" type="button" dataOnly="0" labelOnly="1" outline="0" axis="axisRow" fieldPosition="0"/>
    </format>
    <format dxfId="477">
      <pivotArea dataOnly="0" labelOnly="1" fieldPosition="0">
        <references count="1">
          <reference field="49" count="0"/>
        </references>
      </pivotArea>
    </format>
    <format dxfId="476">
      <pivotArea dataOnly="0" labelOnly="1" grandRow="1" outline="0" fieldPosition="0"/>
    </format>
    <format dxfId="47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86">
      <pivotArea type="all" dataOnly="0" outline="0" fieldPosition="0"/>
    </format>
    <format dxfId="485">
      <pivotArea outline="0" collapsedLevelsAreSubtotals="1" fieldPosition="0"/>
    </format>
    <format dxfId="484">
      <pivotArea field="144" type="button" dataOnly="0" labelOnly="1" outline="0" axis="axisRow" fieldPosition="0"/>
    </format>
    <format dxfId="483">
      <pivotArea dataOnly="0" labelOnly="1" fieldPosition="0">
        <references count="1">
          <reference field="144" count="0"/>
        </references>
      </pivotArea>
    </format>
    <format dxfId="482">
      <pivotArea dataOnly="0" labelOnly="1" grandRow="1" outline="0" fieldPosition="0"/>
    </format>
    <format dxfId="48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492">
      <pivotArea type="all" dataOnly="0" outline="0" fieldPosition="0"/>
    </format>
    <format dxfId="491">
      <pivotArea outline="0" collapsedLevelsAreSubtotals="1" fieldPosition="0"/>
    </format>
    <format dxfId="490">
      <pivotArea field="105" type="button" dataOnly="0" labelOnly="1" outline="0" axis="axisRow" fieldPosition="0"/>
    </format>
    <format dxfId="489">
      <pivotArea dataOnly="0" labelOnly="1" fieldPosition="0">
        <references count="1">
          <reference field="105" count="0"/>
        </references>
      </pivotArea>
    </format>
    <format dxfId="488">
      <pivotArea dataOnly="0" labelOnly="1" grandRow="1" outline="0" fieldPosition="0"/>
    </format>
    <format dxfId="48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498">
      <pivotArea type="all" dataOnly="0" outline="0" fieldPosition="0"/>
    </format>
    <format dxfId="497">
      <pivotArea outline="0" collapsedLevelsAreSubtotals="1" fieldPosition="0"/>
    </format>
    <format dxfId="496">
      <pivotArea field="170" type="button" dataOnly="0" labelOnly="1" outline="0" axis="axisRow" fieldPosition="0"/>
    </format>
    <format dxfId="495">
      <pivotArea dataOnly="0" labelOnly="1" fieldPosition="0">
        <references count="1">
          <reference field="170" count="0"/>
        </references>
      </pivotArea>
    </format>
    <format dxfId="494">
      <pivotArea dataOnly="0" labelOnly="1" grandRow="1" outline="0" fieldPosition="0"/>
    </format>
    <format dxfId="49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503">
      <pivotArea type="all" dataOnly="0" outline="0" fieldPosition="0"/>
    </format>
    <format dxfId="502">
      <pivotArea outline="0" collapsedLevelsAreSubtotals="1" fieldPosition="0"/>
    </format>
    <format dxfId="501">
      <pivotArea field="49" type="button" dataOnly="0" labelOnly="1" outline="0" axis="axisRow" fieldPosition="0"/>
    </format>
    <format dxfId="500">
      <pivotArea dataOnly="0" labelOnly="1" grandRow="1" outline="0" fieldPosition="0"/>
    </format>
    <format dxfId="49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509">
      <pivotArea type="all" dataOnly="0" outline="0" fieldPosition="0"/>
    </format>
    <format dxfId="508">
      <pivotArea outline="0" collapsedLevelsAreSubtotals="1" fieldPosition="0"/>
    </format>
    <format dxfId="507">
      <pivotArea field="115" type="button" dataOnly="0" labelOnly="1" outline="0" axis="axisRow" fieldPosition="0"/>
    </format>
    <format dxfId="506">
      <pivotArea dataOnly="0" labelOnly="1" fieldPosition="0">
        <references count="1">
          <reference field="115" count="0"/>
        </references>
      </pivotArea>
    </format>
    <format dxfId="505">
      <pivotArea dataOnly="0" labelOnly="1" grandRow="1" outline="0" fieldPosition="0"/>
    </format>
    <format dxfId="50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515">
      <pivotArea type="all" dataOnly="0" outline="0" fieldPosition="0"/>
    </format>
    <format dxfId="514">
      <pivotArea outline="0" collapsedLevelsAreSubtotals="1" fieldPosition="0"/>
    </format>
    <format dxfId="513">
      <pivotArea field="31" type="button" dataOnly="0" labelOnly="1" outline="0" axis="axisRow" fieldPosition="0"/>
    </format>
    <format dxfId="512">
      <pivotArea dataOnly="0" labelOnly="1" fieldPosition="0">
        <references count="1">
          <reference field="31" count="0"/>
        </references>
      </pivotArea>
    </format>
    <format dxfId="511">
      <pivotArea dataOnly="0" labelOnly="1" grandRow="1" outline="0" fieldPosition="0"/>
    </format>
    <format dxfId="51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521">
      <pivotArea type="all" dataOnly="0" outline="0" fieldPosition="0"/>
    </format>
    <format dxfId="520">
      <pivotArea outline="0" collapsedLevelsAreSubtotals="1" fieldPosition="0"/>
    </format>
    <format dxfId="519">
      <pivotArea field="15" type="button" dataOnly="0" labelOnly="1" outline="0" axis="axisRow" fieldPosition="0"/>
    </format>
    <format dxfId="518">
      <pivotArea dataOnly="0" labelOnly="1" fieldPosition="0">
        <references count="1">
          <reference field="15" count="0"/>
        </references>
      </pivotArea>
    </format>
    <format dxfId="517">
      <pivotArea dataOnly="0" labelOnly="1" grandRow="1" outline="0" fieldPosition="0"/>
    </format>
    <format dxfId="51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HM36" totalsRowCount="1">
  <autoFilter ref="A2:HM35" xr:uid="{BC01C17C-E729-4430-9A94-BDF77386BAED}"/>
  <sortState xmlns:xlrd2="http://schemas.microsoft.com/office/spreadsheetml/2017/richdata2" ref="A3:HM33">
    <sortCondition ref="G2:G33"/>
  </sortState>
  <tableColumns count="221">
    <tableColumn id="1" xr3:uid="{37199E79-F22A-49C0-B1C3-8001D68B6905}" name="Lp."/>
    <tableColumn id="214" xr3:uid="{15F16F1A-B79B-4E98-AC9F-5DC850A3D9F6}" name="ID_zakończone" dataDxfId="125">
      <calculatedColumnFormula>_xlfn.IFNA(VLOOKUP(AnalizaCzyste[[#This Row],[Zakończono wypełnianie]],Zakończone[],2,0),"BRAK")</calculatedColumnFormula>
    </tableColumn>
    <tableColumn id="213" xr3:uid="{D0D33D71-A9E4-4CAC-BFB1-A490F680AF4A}" name="ILE niepustych" dataDxfId="124">
      <calculatedColumnFormula>COUNTA(U3:HM3)</calculatedColumnFormula>
    </tableColumn>
    <tableColumn id="9" xr3:uid="{B8DCE562-4599-46A0-98D0-29A2F2B1980B}" name="Rozpoczęto wypełnianie"/>
    <tableColumn id="10" xr3:uid="{E2617982-2AA5-46BF-BF8D-CCC1DC921D1A}" name="Zakończono wypełnianie"/>
    <tableColumn id="11" xr3:uid="{5C243F5F-5B7A-4FD5-94E5-052DFE39FA5B}" name="Czas trwania (s)"/>
    <tableColumn id="218" xr3:uid="{AA8B8567-C52B-4727-A725-D1B2249E52E9}" name="Wywiad (tak)"/>
    <tableColumn id="219" xr3:uid="{F8693F28-3C62-40E9-9FD6-468716B62CBC}" name="Osoba"/>
    <tableColumn id="232" xr3:uid="{B7E402BE-354E-4309-95B7-523788D81571}" name="11. Kategorie jakości (wymienić w odniesieniu do uczelni)" dataDxfId="123"/>
    <tableColumn id="231" xr3:uid="{D67E567F-38E0-4A74-BCAD-EFDB07D402F4}" name="10. SSI dla doskonalenia SZJ?" dataDxfId="122"/>
    <tableColumn id="224" xr3:uid="{54237CB1-FE91-4A4B-A669-52F09EE4BAD9}" name="9. SSI do podnoszenia jakości?" dataDxfId="121"/>
    <tableColumn id="229" xr3:uid="{1BDEECD3-C999-44DF-B7DB-8EBA6D79D65D}" name="8. Czy pomiar satysfakcji interesariuszy może dawać istotne informacje do podnoszenia jakości?" dataDxfId="120"/>
    <tableColumn id="228" xr3:uid="{D81785BC-7280-4F7D-9034-A822247B4942}" name="7. Ocena uczelni (ankieta)" dataDxfId="119"/>
    <tableColumn id="227" xr3:uid="{643812DD-97E7-4A22-A24D-FF3EF5E4512D}" name="6. Czy pomiar zarobków absolwentów może być dobrą miarą jakości usług uczelni?" dataDxfId="118"/>
    <tableColumn id="226" xr3:uid="{D3FC4C00-7A93-4CA5-9BAB-71690EA4EA98}" name="5. Czy pomiar sukcesów absolwentów może być dobrą miarą jakości usług uczelni?" dataDxfId="117"/>
    <tableColumn id="225" xr3:uid="{91DADDE1-4B39-4C79-A4DE-035F52998A87}" name="4. Absolwenci, których uczelni są najwyżej cenieni?" dataDxfId="116"/>
    <tableColumn id="223" xr3:uid="{8ADB0362-752B-41BA-87DB-E7681855BC21}" name="3. Jak oceniasz różne uczelnie (najlepsze)" dataDxfId="115"/>
    <tableColumn id="222" xr3:uid="{38B78989-9A45-4CC8-B889-04B16E250054}" name="2. Jacy interesariusze są najistotniejsi dla uczelni?" dataDxfId="114"/>
    <tableColumn id="221" xr3:uid="{092826CC-1CEB-40AF-8074-DB3C0404BBAA}" name="1. Co dla Ciebie jest najważniejszą wartością usług oferowanych przez uczelnie" dataDxfId="113"/>
    <tableColumn id="220" xr3:uid="{B4538D8A-99EF-4DEE-84DF-B77D242243C2}" name="Info metryczkowe" dataDxfId="112"/>
    <tableColumn id="14" xr3:uid="{A75D7BB0-BDD4-4F9E-BFE1-A35FFDAA2A35}" name="Czy jesteś studentem uczelni wyższej?" totalsRowFunction="custom" dataDxfId="111" totalsRowDxfId="93">
      <totalsRowFormula>COUNTA((U3:U35))</totalsRowFormula>
    </tableColumn>
    <tableColumn id="15" xr3:uid="{59EBE606-808E-4993-BA84-2428F0FB2A27}" name="Jak się nazywa uczelnia, na której studiujesz? (proszę o wybranie jednej uczelni podlegającej ocenie)" totalsRowFunction="custom" totalsRowDxfId="92">
      <totalsRowFormula>COUNTA((V3:V35))</totalsRowFormula>
    </tableColumn>
    <tableColumn id="16" xr3:uid="{B883EC52-B4D3-434E-8AFF-6334D1B8C483}" name="Czy studiujesz na kierunku technicznym, tzn. takim, po którym uzyskasz tytuł inżyniera?" totalsRowFunction="custom" totalsRowDxfId="91">
      <totalsRowFormula>COUNTA((W3:W35))</totalsRowFormula>
    </tableColumn>
    <tableColumn id="17" xr3:uid="{C6F68B54-181D-4E6B-90DE-3758AC28643F}" name="Jak się nazywa kierunek, na którym studiujesz?" totalsRowFunction="custom" totalsRowDxfId="90">
      <totalsRowFormula>COUNTA((X3:X35))</totalsRowFormula>
    </tableColumn>
    <tableColumn id="18" xr3:uid="{4009F8D5-0845-4794-BD7B-DEDD90E1035F}" name="Moja satysfakcja z usług edukacyjnych ocenianej uczelni jest wysoka." totalsRowFunction="custom" totalsRowDxfId="89">
      <totalsRowFormula>COUNTA((Y3:Y35))</totalsRowFormula>
    </tableColumn>
    <tableColumn id="19" xr3:uid="{9C33E588-FD6F-4756-A796-19608D8E5787}" name="Usługi edukacyjne ocenianej uczelni mają wysoką wartość (okazja / szansa rozwoju własnego lub kariery)." totalsRowFunction="custom" totalsRowDxfId="88">
      <totalsRowFormula>COUNTA((Z3:Z35))</totalsRowFormula>
    </tableColumn>
    <tableColumn id="20" xr3:uid="{AD29E10C-3B61-4AC3-9DB6-E5592E85F54D}" name="Kształcenie na ocenianej uczelni ma/będzie miało pozytywny wpływ na zwiększenie moich zarobków." totalsRowFunction="custom" totalsRowDxfId="87">
      <totalsRowFormula>COUNTA((AA3:AA35))</totalsRowFormula>
    </tableColumn>
    <tableColumn id="21" xr3:uid="{29A03634-DD01-47E7-9082-570B2CBA75AC}" name="Kolumna1" totalsRowFunction="custom" totalsRowDxfId="86">
      <totalsRowFormula>COUNTA((AB3:AB35))</totalsRowFormula>
    </tableColumn>
    <tableColumn id="22" xr3:uid="{E3063293-8C09-4AD3-970A-FC723899E602}" name="w pierwszym roku po ukończeniu studiów : wybierz wartość z listy rozwijanej" totalsRowFunction="custom" totalsRowDxfId="85">
      <totalsRowFormula>COUNTA((AC3:AC35))</totalsRowFormula>
    </tableColumn>
    <tableColumn id="23" xr3:uid="{62967F23-9856-4DFD-AADC-42AC36B2CDB1}" name="w 3 lata po ukończeniu studiów : wybierz wartość z listy rozwijanej" totalsRowFunction="custom" totalsRowDxfId="84">
      <totalsRowFormula>COUNTA((AD3:AD35))</totalsRowFormula>
    </tableColumn>
    <tableColumn id="24" xr3:uid="{574DBE71-FF3A-4DA1-A563-EECF8E03B030}" name="Jakich innych (poza zarobkami) efektów kształcenia na ocenianej uczelni się spodziewasz?" totalsRowFunction="custom" totalsRowDxfId="83">
      <totalsRowFormula>COUNTA((AE3:AE35))</totalsRowFormula>
    </tableColumn>
    <tableColumn id="25" xr3:uid="{70C7E301-ECA2-4DF8-B78C-6550E2B616A1}" name="Jakie elementy lub cechy sprawiały, że Tobie studiowało się dobrze?" totalsRowFunction="custom" totalsRowDxfId="82">
      <totalsRowFormula>COUNTA((AF3:AF35))</totalsRowFormula>
    </tableColumn>
    <tableColumn id="26" xr3:uid="{86CB3A73-27F1-4FCF-B9E3-8D590DC2DB33}" name="Jakie elementy lub cechy sprawiały, że Tobie studiowało się źle?" totalsRowFunction="custom" totalsRowDxfId="81">
      <totalsRowFormula>COUNTA((AG3:AG35))</totalsRowFormula>
    </tableColumn>
    <tableColumn id="27" xr3:uid="{8DCB6BDF-C860-4D73-8953-D14EF0C8F0AA}" name="Jakiego rodzaju są Twoje studia?" totalsRowFunction="custom" totalsRowDxfId="80">
      <totalsRowFormula>COUNTA((AH3:AH35))</totalsRowFormula>
    </tableColumn>
    <tableColumn id="28" xr3:uid="{F292FE47-988D-4A95-932D-2E3B34B7BF0B}" name="Pole dodatkowe" totalsRowFunction="custom" totalsRowDxfId="79">
      <totalsRowFormula>COUNTA((AI3:AI35))</totalsRowFormula>
    </tableColumn>
    <tableColumn id="29" xr3:uid="{4225184D-873A-4CF3-B8D1-575C3D6A2435}" name="Na którym semestrze studiujesz obecnie?" totalsRowFunction="custom" totalsRowDxfId="78">
      <totalsRowFormula>COUNTA((AJ3:AJ35))</totalsRowFormula>
    </tableColumn>
    <tableColumn id="30" xr3:uid="{41979390-06F4-463C-ADB5-F98E8C311CBA}" name="Czy jesteś absolwentem uczelni wyższej?" totalsRowFunction="custom" dataDxfId="110" totalsRowDxfId="77">
      <totalsRowFormula>COUNTA((AK3:AK35))</totalsRowFormula>
    </tableColumn>
    <tableColumn id="31" xr3:uid="{BBF7434D-D66B-496B-B17B-27248613CC58}" name="Jak się nazywa uczelnia którą ukończyłeś? (proszę o wybranie jednej uczelni podlegającej ocenie)" totalsRowFunction="custom" totalsRowDxfId="76">
      <totalsRowFormula>COUNTA((AL3:AL35))</totalsRowFormula>
    </tableColumn>
    <tableColumn id="216" xr3:uid="{72DEEBC7-088A-46A4-9999-AE96ED74030A}" name="KategoriaUczelni" dataDxfId="109"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COUNTA((AN3:AN35))</totalsRowFormula>
    </tableColumn>
    <tableColumn id="33" xr3:uid="{AE05B081-E180-4E09-9192-4F27CE79F7EB}" name="Czy ukończony kierunek był kierunkiem technicznym, tzn. takim, po którym uzyskałaś/eś tytuł inżyniera?" totalsRowFunction="custom" totalsRowDxfId="73">
      <totalsRowFormula>COUNTA((AO3:AO35))</totalsRowFormula>
    </tableColumn>
    <tableColumn id="34" xr3:uid="{B85DD2EE-D5F2-46D3-9E33-DA992576E185}" name="Jak się nazywa kierunek, który ukończyłaś/eś?" totalsRowFunction="custom" totalsRowDxfId="72">
      <totalsRowFormula>COUNTA((AP3:AP35))</totalsRowFormula>
    </tableColumn>
    <tableColumn id="35" xr3:uid="{4CC44F8F-616F-4095-99F6-60AF14EEC568}" name="Moja satysfakcja z (efektów) usług edukacyjnych ocenianej uczelni jest wysoka." totalsRowFunction="custom" totalsRowDxfId="71">
      <totalsRowFormula>COUNTA((AQ3:AQ35))</totalsRowFormula>
    </tableColumn>
    <tableColumn id="36" xr3:uid="{1C6D88CF-332B-4752-A729-93BFDD454B5A}" name="Usługi edukacyjne ocenianej uczelni mają wysoką wartość (okazja / szansa rozwoju własnego lub kariery).3" totalsRowFunction="custom" totalsRowDxfId="70">
      <totalsRowFormula>COUNTA((AR3:AR35))</totalsRowFormula>
    </tableColumn>
    <tableColumn id="37" xr3:uid="{44EB38FB-B9C9-46B4-B0FB-9985D53C385D}" name="Kształcenie na ocenianej uczelni ma/miało pozytywny wpływ na zwiększenie moich zarobków." totalsRowFunction="custom" totalsRowDxfId="69">
      <totalsRowFormula>COUNTA((AS3:AS35))</totalsRowFormula>
    </tableColumn>
    <tableColumn id="38" xr3:uid="{34BE9A51-E55F-4AE8-87A0-FBEC63D51E8F}" name="Moje zarobki w pierwszym roku po ukończeniu studiów były satysfakcjonujące." totalsRowFunction="custom" totalsRowDxfId="68">
      <totalsRowFormula>COUNTA((AT3:AT35))</totalsRowFormula>
    </tableColumn>
    <tableColumn id="39" xr3:uid="{4033761C-CB95-4451-B0C4-2ABCB2769F7E}" name="Moje zarobki po 3. latach po ukończeniu studiów były satysfakcjonujące." totalsRowFunction="custom" totalsRowDxfId="67">
      <totalsRowFormula>COUNTA((AU3:AU35))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COUNTA((AV3:AV35))</totalsRowFormula>
    </tableColumn>
    <tableColumn id="41" xr3:uid="{25DB6FAA-8A3B-408B-9262-5EDE22E06BA2}" name="w pierwszym roku po ukończeniu studiów : wybierz wartość z listy rozwijanej4" totalsRowFunction="custom" totalsRowDxfId="65">
      <totalsRowFormula>COUNTA((AW3:AW35))</totalsRowFormula>
    </tableColumn>
    <tableColumn id="42" xr3:uid="{2B38DFDD-3D06-4B52-B1DB-7F8144FEDBDB}" name="w 3 lata po ukończeniu studiów : wybierz wartość z listy rozwijanej5" totalsRowFunction="custom" totalsRowDxfId="64">
      <totalsRowFormula>COUNTA((AX3:AX35))</totalsRowFormula>
    </tableColumn>
    <tableColumn id="43" xr3:uid="{FBBBF8D2-7A99-41FF-B15C-4A2191C9D8D9}" name="Jakie inne (poza zarobkami) efekty kształcenia na ocenianej uczelni dostrzegasz obecnie?" totalsRowFunction="custom" totalsRowDxfId="63">
      <totalsRowFormula>COUNTA((AY3:AY35))</totalsRowFormula>
    </tableColumn>
    <tableColumn id="44" xr3:uid="{6B48263B-8F26-4FBA-9F9A-424993C5E3ED}" name="Co wpływało na twoją satysfakcję ze studiowania?_x000a_" totalsRowFunction="custom" totalsRowDxfId="62">
      <totalsRowFormula>COUNTA((AZ3:AZ35))</totalsRowFormula>
    </tableColumn>
    <tableColumn id="45" xr3:uid="{52ED1FC9-CD2D-42A5-B204-567F0483F099}" name="Kolumna6" totalsRowFunction="custom" totalsRowDxfId="61">
      <totalsRowFormula>COUNTA((BA3:BA35))</totalsRowFormula>
    </tableColumn>
    <tableColumn id="46" xr3:uid="{3D74590B-7E93-443E-BE1C-FD99ECE16017}" name="Jakiego rodzaju były Twoje studia?" totalsRowFunction="custom" totalsRowDxfId="60">
      <totalsRowFormula>COUNTA((BB3:BB35))</totalsRowFormula>
    </tableColumn>
    <tableColumn id="47" xr3:uid="{E8CA34F5-D9E4-418D-8BF9-050444C4061E}" name="Pole dodatkowe7" totalsRowFunction="custom" totalsRowDxfId="59">
      <totalsRowFormula>COUNTA((BC3:BC35))</totalsRowFormula>
    </tableColumn>
    <tableColumn id="48" xr3:uid="{A48EA897-6002-486C-94A2-3071DE7EB5AD}" name="Czy jesteś rodzicem / opiekunem absolwenta uczelni wyższej?" totalsRowFunction="custom" dataDxfId="108" totalsRowDxfId="58">
      <totalsRowFormula>COUNTA((BD3:BD35))</totalsRowFormula>
    </tableColumn>
    <tableColumn id="49" xr3:uid="{FEE5A281-6D4B-4D31-93CD-509A968E7773}" name="Uczelnie ilu podopiecznych będziesz oceniać?" totalsRowFunction="custom" totalsRowDxfId="57">
      <totalsRowFormula>COUNTA((BE3:BE35))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COUNTA((BF3:BF35))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COUNTA((BG3:BG35))</totalsRowFormula>
    </tableColumn>
    <tableColumn id="52" xr3:uid="{2D5E47C8-051A-480B-B96D-83E7709F1700}" name="Czy ukończony kierunek był kierunkiem technicznym, tzn. takim, po którym uzyskano tytuł inżyniera?" totalsRowFunction="custom" totalsRowDxfId="54">
      <totalsRowFormula>COUNTA((BH3:BH35))</totalsRowFormula>
    </tableColumn>
    <tableColumn id="53" xr3:uid="{D51D9DD7-878A-415B-B2F8-02F53EBFA22A}" name="Jak się nazywa kierunek, który ukończył/a Twoja/Twój podopieczna/podopieczny?" totalsRowFunction="custom" totalsRowDxfId="53">
      <totalsRowFormula>COUNTA((BI3:BI35))</totalsRowFormula>
    </tableColumn>
    <tableColumn id="54" xr3:uid="{D3DB1C46-F931-4289-86D2-779EC4340002}" name="Moja satysfakcja z (efektów) usług edukacyjnych ocenianej uczelni jest wysoka.8" totalsRowFunction="custom" totalsRowDxfId="52">
      <totalsRowFormula>COUNTA((BJ3:BJ35))</totalsRowFormula>
    </tableColumn>
    <tableColumn id="55" xr3:uid="{FC532F03-86AD-4521-9C9D-42FA860A53FB}" name="Usługi edukacyjne ocenianej uczelni mają wysoką wartość (okazja / szansa rozwoju własnego lub kariery).9" totalsRowFunction="custom" totalsRowDxfId="51">
      <totalsRowFormula>COUNTA((BK3:BK35))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COUNTA((BL3:BL35))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COUNTA((BM3:BM35))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COUNTA((BN3:BN35))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COUNTA((BO3:BO35))</totalsRowFormula>
    </tableColumn>
    <tableColumn id="60" xr3:uid="{847514F8-F661-4B2D-88BE-10ABFD806894}" name="Jakie inne (poza zarobkami) efekty kształcenia na ocenianej uczelni się dostrzegasz obecnie?" totalsRowFunction="custom" totalsRowDxfId="46">
      <totalsRowFormula>COUNTA((BP3:BP35))</totalsRowFormula>
    </tableColumn>
    <tableColumn id="61" xr3:uid="{8B4485AE-C106-41C7-89AC-D28DBDA4C166}" name="Jakiego rodzaju były studia, które ukończył/a Twoja/Twój podopieczna/podopieczny?" totalsRowFunction="custom" totalsRowDxfId="45">
      <totalsRowFormula>COUNTA((BQ3:BQ35))</totalsRowFormula>
    </tableColumn>
    <tableColumn id="62" xr3:uid="{F0DE0B1C-928B-4581-8D63-11188CD95233}" name="Pole dodatkowe10" totalsRowFunction="custom" totalsRowDxfId="44">
      <totalsRowFormula>COUNTA((BR3:BR35))</totalsRowFormula>
    </tableColumn>
    <tableColumn id="63" xr3:uid="{8E46F3BC-7F63-49DA-A043-B5C618E92A15}" name="Jeśli Twoja/Twój podopieczna/podopieczny ukończył/a również inne szkoły / kierunki studiów to proszę wpisz je tutaj." totalsRowFunction="custom" totalsRowDxfId="43">
      <totalsRowFormula>COUNTA((BS3:BS35))</totalsRowFormula>
    </tableColumn>
    <tableColumn id="64" xr3:uid="{08619068-F1EA-4298-AAE7-77A34A620074}" name="Czy będziesz oceniał uczelnię ukończoną przez drugiego podopiecznego?" totalsRowFunction="custom" totalsRowDxfId="42">
      <totalsRowFormula>COUNTA((BT3:BT35))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COUNTA((BU3:BU35))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COUNTA((BV3:BV35))</totalsRowFormula>
    </tableColumn>
    <tableColumn id="67" xr3:uid="{1C6ADC27-9F30-4227-81CE-3C15A0D6C10C}" name="Czy ukończony kierunek był kierunkiem technicznym, tzn. takim, po którym uzyskano tytuł inżyniera?13" totalsRowFunction="custom" totalsRowDxfId="39">
      <totalsRowFormula>COUNTA((BW3:BW35))</totalsRowFormula>
    </tableColumn>
    <tableColumn id="68" xr3:uid="{94C8B518-4547-40DD-AC32-B5C834F0511E}" name="Jak się nazywa kierunek, który ukończył/a Twoja/Twój podopieczna/podopieczny?14" totalsRowFunction="custom" totalsRowDxfId="38">
      <totalsRowFormula>COUNTA((BX3:BX35))</totalsRowFormula>
    </tableColumn>
    <tableColumn id="69" xr3:uid="{00BE12AC-CBE0-47D5-8BEF-A62C47DFED23}" name="Moja satysfakcja z (efektów) usług edukacyjnych ocenianej uczelni jest wysoka.15" totalsRowFunction="custom" totalsRowDxfId="37">
      <totalsRowFormula>COUNTA((BY3:BY35))</totalsRowFormula>
    </tableColumn>
    <tableColumn id="70" xr3:uid="{D1A7746F-F4B7-4351-BB70-448903B08063}" name="Usługi edukacyjne ocenianej uczelni mają wysoką wartość (okazja / szansa rozwoju własnego lub kariery).16" totalsRowFunction="custom" totalsRowDxfId="36">
      <totalsRowFormula>COUNTA((BZ3:BZ35))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COUNTA((CA3:CA35))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COUNTA((CB3:CB35))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COUNTA((CC3:CC35))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COUNTA((CD3:CD35))</totalsRowFormula>
    </tableColumn>
    <tableColumn id="75" xr3:uid="{54EF7743-0CB2-446D-9665-46C77C464F05}" name="Jakie inne (poza zarobkami) efekty kształcenia na ocenianej uczelni się dostrzegasz obecnie?21" totalsRowFunction="custom" totalsRowDxfId="31">
      <totalsRowFormula>COUNTA((CE3:CE35))</totalsRowFormula>
    </tableColumn>
    <tableColumn id="76" xr3:uid="{BE93B27C-1906-4695-BEC1-231FA6883C68}" name="Jakiego rodzaju były studia, które ukończył/a Twoja/Twój podopieczna/podopieczny?22" totalsRowFunction="custom" totalsRowDxfId="30">
      <totalsRowFormula>COUNTA((CF3:CF35))</totalsRowFormula>
    </tableColumn>
    <tableColumn id="77" xr3:uid="{C2670D09-B14E-48CE-8D3B-FD4F08474C2E}" name="Pole dodatkowe23" totalsRowFunction="custom" totalsRowDxfId="29">
      <totalsRowFormula>COUNTA((CG3:CG35))</totalsRowFormula>
    </tableColumn>
    <tableColumn id="78" xr3:uid="{52CA9D8D-0AC4-426B-BA8B-D9983F77052C}" name="Jeśli Twoja/Twój podopieczna/podopieczny ukończył/a również inne szkoły / kierunki studiów to proszę wpisz je tutaj.24" totalsRowFunction="custom" totalsRowDxfId="28">
      <totalsRowFormula>COUNTA((CH3:CH35))</totalsRowFormula>
    </tableColumn>
    <tableColumn id="79" xr3:uid="{E97ECC9E-9FF4-4C29-9ADE-07B0EFB1798E}" name="Czy będziesz oceniał uczelnię ukończoną przez trzeciego podopiecznego?" totalsRowFunction="custom" totalsRowDxfId="27">
      <totalsRowFormula>COUNTA((CI3:CI35))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COUNTA((CJ3:CJ35))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COUNTA((CK3:CK35))</totalsRowFormula>
    </tableColumn>
    <tableColumn id="82" xr3:uid="{E402E02B-32F9-4918-AC52-1E2746EFF732}" name="Czy ukończony kierunek był kierunkiem technicznym, tzn. takim, po którym uzyskano tytuł inżyniera?27" totalsRowFunction="custom" totalsRowDxfId="24">
      <totalsRowFormula>COUNTA((CL3:CL35))</totalsRowFormula>
    </tableColumn>
    <tableColumn id="83" xr3:uid="{366FF8BB-67D0-4A1D-9E42-1C25C26E69CE}" name="Jak się nazywa kierunek, który ukończył/a Twoja/Twój podopieczna/podopieczny?28" totalsRowFunction="custom" totalsRowDxfId="23">
      <totalsRowFormula>COUNTA((CM3:CM35))</totalsRowFormula>
    </tableColumn>
    <tableColumn id="84" xr3:uid="{32321BD9-57CD-47D0-BD7D-B2AFCC1C3078}" name="Moja satysfakcja z (efektów) usług edukacyjnych ocenianej uczelni jest wysoka.29" totalsRowFunction="custom" totalsRowDxfId="22">
      <totalsRowFormula>COUNTA((CN3:CN35))</totalsRowFormula>
    </tableColumn>
    <tableColumn id="85" xr3:uid="{27DF5669-9BEE-4320-9001-51E16696F4B3}" name="Usługi edukacyjne ocenianej uczelni mają wysoką wartość (okazja / szansa rozwoju własnego lub kariery).30" totalsRowFunction="custom" totalsRowDxfId="21">
      <totalsRowFormula>COUNTA((CO3:CO35))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COUNTA((CP3:CP35))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COUNTA((CQ3:CQ35))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COUNTA((CR3:CR35))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COUNTA((CS3:CS35))</totalsRowFormula>
    </tableColumn>
    <tableColumn id="90" xr3:uid="{5F53B8F1-FD09-4B74-AA23-7EDED9615A73}" name="Jakie inne (poza zarobkami) efekty kształcenia na ocenianej uczelni się dostrzegasz obecnie?35" totalsRowFunction="custom" totalsRowDxfId="16">
      <totalsRowFormula>COUNTA((CT3:CT35))</totalsRowFormula>
    </tableColumn>
    <tableColumn id="91" xr3:uid="{0049B607-BD4D-49EA-B5EE-E8E785ACDC34}" name="Jakiego rodzaju były studia, które ukończył/a Twoja/Twój podopieczna/podopieczny?36" totalsRowFunction="custom" totalsRowDxfId="15">
      <totalsRowFormula>COUNTA((CU3:CU35))</totalsRowFormula>
    </tableColumn>
    <tableColumn id="92" xr3:uid="{86B9680A-4D70-4DFA-8189-827F813E4B73}" name="Pole dodatkowe37" totalsRowFunction="custom" totalsRowDxfId="14">
      <totalsRowFormula>COUNTA((CV3:CV35))</totalsRowFormula>
    </tableColumn>
    <tableColumn id="93" xr3:uid="{7B56F444-36AC-424E-9E2D-FDA11AEA9557}" name="Jeśli Twoja/Twój podopieczna/podopieczny ukończył/a również inne szkoły / kierunki studiów to proszę wpisz je tutaj.38" totalsRowFunction="custom" totalsRowDxfId="13">
      <totalsRowFormula>COUNTA((CW3:CW35))</totalsRowFormula>
    </tableColumn>
    <tableColumn id="94" xr3:uid="{BA461F2C-93E1-4AB3-B06B-BCD05B9B9AA2}" name="Czy jesteś aktualnie pracownikiem administracyjnym uczelni wyższej?" totalsRowFunction="custom" dataDxfId="107" totalsRowDxfId="12">
      <totalsRowFormula>COUNTA((CX3:CX35))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106" totalsRowDxfId="11">
      <totalsRowFormula>COUNTA((DH3:DH35))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105" totalsRowDxfId="10">
      <totalsRowFormula>COUNTA((DR3:DR35))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104" totalsRowDxfId="9">
      <totalsRowFormula>COUNTA((EU3:EU35))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103" totalsRowDxfId="8">
      <totalsRowFormula>COUNTA((FU3:FU35))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COUNTA((HF3:HF35))</totalsRowFormula>
    </tableColumn>
    <tableColumn id="207" xr3:uid="{2B31368C-8BB4-45F5-A368-4A4E1AFFFE2E}" name="Rok urodzenia" totalsRowFunction="custom" totalsRowDxfId="6">
      <totalsRowFormula>COUNTA((HG3:HG35))</totalsRowFormula>
    </tableColumn>
    <tableColumn id="215" xr3:uid="{0DA27BC3-BCA7-4CF6-A54C-77E28EA17827}" name="GrupaWiekowa" dataDxfId="102"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COUNTA((HI3:HI35))</totalsRowFormula>
    </tableColumn>
    <tableColumn id="209" xr3:uid="{40C0F4A2-88CA-4804-AB61-0C883C5C9CF7}" name="Pole dodatkowe52" totalsRowFunction="custom" totalsRowDxfId="3">
      <totalsRowFormula>COUNTA((HJ3:HJ35))</totalsRowFormula>
    </tableColumn>
    <tableColumn id="210" xr3:uid="{B1D5E2A4-3FA4-4D1D-ACA2-E506E6C3632D}" name="Jakie inne wykształcenie poza tym uwzględnionym w niniejszej ankiecie posiadasz? (ukończone szkoły/studia)" totalsRowFunction="custom" totalsRowDxfId="2">
      <totalsRowFormula>COUNTA((HK3:HK35))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COUNTA((HL3:HL35))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COUNTA((HM3:HM35))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33">
  <autoFilter ref="B2:C8" xr:uid="{E63B5C4A-F9C7-4F57-A625-32E993ED50EE}"/>
  <tableColumns count="2">
    <tableColumn id="1" xr3:uid="{82964CF4-6EC9-45E3-BCAE-782CAA430102}" name="Wiek"/>
    <tableColumn id="2" xr3:uid="{A8B6ABC8-837D-42C0-B03A-97D5E2F5B5B7}" name="Kategorie wiekowe" dataDxfId="53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C41" totalsRowShown="0" headerRowDxfId="531">
  <autoFilter ref="B11:C41" xr:uid="{153EF96D-20D3-4BD5-AB25-706F6B338490}"/>
  <tableColumns count="2">
    <tableColumn id="1" xr3:uid="{F3934641-58AD-451D-A35B-5D57D7E0E414}" name="Nazwa uczelni" dataDxfId="530"/>
    <tableColumn id="2" xr3:uid="{011F8DAE-7C60-444B-B4A2-78D05A325532}" name="Kategoria uczelni" dataDxfId="52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28">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27">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26">
  <autoFilter ref="C56:J176" xr:uid="{5D26DE38-F7A2-4F97-87CE-56F2D813A5B5}"/>
  <tableColumns count="8">
    <tableColumn id="1" xr3:uid="{87EDC6F7-8950-491A-8CAF-CF6610BCA33B}" name="Poziom istotności / _x000a_stopnie swobody" dataDxfId="525"/>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24">
  <autoFilter ref="F44:G51" xr:uid="{0B0D128A-46C3-497C-A070-B19EDC90314A}"/>
  <tableColumns count="2">
    <tableColumn id="1" xr3:uid="{85BFDFE9-FEF0-48BD-8D34-235474A93582}" name="Wartość graniczna" dataDxfId="523"/>
    <tableColumn id="2" xr3:uid="{1807328A-696A-4241-94CB-E1EC739F6F81}" name="Interpretacja średniej" dataDxfId="52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68" totalsRowDxfId="467">
      <calculatedColumnFormula>_xlfn.IFNA(VLOOKUP(Analiza[[#This Row],[Zakończono wypełnianie]],Zakończone[],2,0),"BRAK")</calculatedColumnFormula>
    </tableColumn>
    <tableColumn id="213" xr3:uid="{21FBA976-232F-49E9-82A1-034812744A11}" name="ILE niepustych" dataDxfId="466" totalsRowDxfId="465">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64">
      <totalsRowFormula>COUNTA((O3:O159))</totalsRowFormula>
    </tableColumn>
    <tableColumn id="14" xr3:uid="{0BD7A98F-1F10-4FB8-B054-37BDD3B56396}" name="Czy jesteś studentem uczelni wyższej?" totalsRowFunction="custom" dataDxfId="463" totalsRowDxfId="462">
      <totalsRowFormula>COUNTA((P3:P159))</totalsRowFormula>
    </tableColumn>
    <tableColumn id="15" xr3:uid="{AB168C36-23BC-41CF-A8B7-C7F5F26BC59A}" name="Jak się nazywa uczelnia, na której studiujesz? (proszę o wybranie jednej uczelni podlegającej ocenie)" totalsRowFunction="custom" totalsRowDxfId="461">
      <totalsRowFormula>COUNTA((Q3:Q159))</totalsRowFormula>
    </tableColumn>
    <tableColumn id="16" xr3:uid="{854C4B62-EAE8-405A-96CD-32148FB75ABD}" name="Czy studiujesz na kierunku technicznym, tzn. takim, po którym uzyskasz tytuł inżyniera?" totalsRowFunction="custom" totalsRowDxfId="460">
      <totalsRowFormula>COUNTA((R3:R159))</totalsRowFormula>
    </tableColumn>
    <tableColumn id="17" xr3:uid="{24BCBB34-34C1-4984-962F-C53466F3EF8F}" name="Jak się nazywa kierunek, na którym studiujesz?" totalsRowFunction="custom" totalsRowDxfId="459">
      <totalsRowFormula>COUNTA((S3:S159))</totalsRowFormula>
    </tableColumn>
    <tableColumn id="18" xr3:uid="{9ADB9BCC-C1C9-4FDD-A2DF-FCC26DBEB749}" name="Moja satysfakcja z usług edukacyjnych ocenianej uczelni jest wysoka." totalsRowFunction="custom" totalsRowDxfId="458">
      <totalsRowFormula>COUNTA((T3:T159))</totalsRowFormula>
    </tableColumn>
    <tableColumn id="19" xr3:uid="{0765E0D2-1173-4D2D-98A3-B8C9EC813AB6}" name="Usługi edukacyjne ocenianej uczelni mają wysoką wartość (okazja / szansa rozwoju własnego lub kariery)." totalsRowFunction="custom" totalsRowDxfId="457">
      <totalsRowFormula>COUNTA((U3:U159))</totalsRowFormula>
    </tableColumn>
    <tableColumn id="20" xr3:uid="{B8B6DDB9-7682-4144-AB5B-DA2CE47AD589}" name="Kształcenie na ocenianej uczelni ma/będzie miało pozytywny wpływ na zwiększenie moich zarobków." totalsRowFunction="custom" totalsRowDxfId="456">
      <totalsRowFormula>COUNTA((V3:V159))</totalsRowFormula>
    </tableColumn>
    <tableColumn id="21" xr3:uid="{EAC188BA-5A2E-4D44-97B7-481328766AE0}" name="Kolumna1" totalsRowFunction="custom" totalsRowDxfId="455">
      <totalsRowFormula>COUNTA((W3:W159))</totalsRowFormula>
    </tableColumn>
    <tableColumn id="22" xr3:uid="{45CEF26A-2A20-4110-957F-4A81415F208F}" name="w pierwszym roku po ukończeniu studiów : wybierz wartość z listy rozwijanej" totalsRowFunction="custom" totalsRowDxfId="454">
      <totalsRowFormula>COUNTA((X3:X159))</totalsRowFormula>
    </tableColumn>
    <tableColumn id="23" xr3:uid="{36E47482-B5FD-4E87-827E-0139C02CF35C}" name="w 3 lata po ukończeniu studiów : wybierz wartość z listy rozwijanej" totalsRowFunction="custom" totalsRowDxfId="453">
      <totalsRowFormula>COUNTA((Y3:Y159))</totalsRowFormula>
    </tableColumn>
    <tableColumn id="24" xr3:uid="{8655FEEC-F7C8-48BC-B109-9244A7AB6BAC}" name="Jakich innych (poza zarobkami) efektów kształcenia na ocenianej uczelni się spodziewasz?" totalsRowFunction="custom" totalsRowDxfId="452">
      <totalsRowFormula>COUNTA((Z3:Z159))</totalsRowFormula>
    </tableColumn>
    <tableColumn id="25" xr3:uid="{D91B74B4-E8B9-401D-A7E4-820C4DF791D4}" name="Jakie elementy lub cechy sprawiały, że Tobie studiowało się dobrze?" totalsRowFunction="custom" totalsRowDxfId="451">
      <totalsRowFormula>COUNTA((AA3:AA159))</totalsRowFormula>
    </tableColumn>
    <tableColumn id="26" xr3:uid="{1E74CD43-D0E9-47B9-8442-05054D3E31F6}" name="Jakie elementy lub cechy sprawiały, że Tobie studiowało się źle?" totalsRowFunction="custom" totalsRowDxfId="450">
      <totalsRowFormula>COUNTA((AB3:AB159))</totalsRowFormula>
    </tableColumn>
    <tableColumn id="27" xr3:uid="{D0177BE1-4E02-4595-8669-95C494930B5B}" name="Jakiego rodzaju są Twoje studia?" totalsRowFunction="custom" totalsRowDxfId="449">
      <totalsRowFormula>COUNTA((AC3:AC159))</totalsRowFormula>
    </tableColumn>
    <tableColumn id="28" xr3:uid="{3597DDE1-E56A-406C-8EDD-22E18D515174}" name="Pole dodatkowe" totalsRowFunction="custom" totalsRowDxfId="448">
      <totalsRowFormula>COUNTA((AD3:AD159))</totalsRowFormula>
    </tableColumn>
    <tableColumn id="29" xr3:uid="{66ED4699-908F-4DD2-BD11-F0A6AA4499D4}" name="Na którym semestrze studiujesz obecnie?" totalsRowFunction="custom" totalsRowDxfId="447">
      <totalsRowFormula>COUNTA((AE3:AE159))</totalsRowFormula>
    </tableColumn>
    <tableColumn id="30" xr3:uid="{665AE932-5635-468D-B539-28624FF56492}" name="Czy jesteś absolwentem uczelni wyższej?" totalsRowFunction="custom" dataDxfId="446" totalsRowDxfId="445">
      <totalsRowFormula>COUNTA((AF3:AF159))</totalsRowFormula>
    </tableColumn>
    <tableColumn id="31" xr3:uid="{6D42BC0A-E5D6-447B-8744-250407520358}" name="Jak się nazywa uczelnia którą ukończyłeś? (proszę o wybranie jednej uczelni podlegającej ocenie)" totalsRowFunction="custom" totalsRowDxfId="444">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43">
      <totalsRowFormula>COUNTA((AH3:AH159))</totalsRowFormula>
    </tableColumn>
    <tableColumn id="33" xr3:uid="{FA60BF2C-8D84-4777-836B-1FF0604F1C9C}" name="Czy ukończony kierunek był kierunkiem technicznym, tzn. takim, po którym uzyskałaś/eś tytuł inżyniera?" totalsRowFunction="custom" totalsRowDxfId="442">
      <totalsRowFormula>COUNTA((AI3:AI159))</totalsRowFormula>
    </tableColumn>
    <tableColumn id="34" xr3:uid="{ADAE23AC-8F73-4453-AC5D-FE2116FA8AF9}" name="Jak się nazywa kierunek, który ukończyłaś/eś?" totalsRowFunction="custom" totalsRowDxfId="441">
      <totalsRowFormula>COUNTA((AJ3:AJ159))</totalsRowFormula>
    </tableColumn>
    <tableColumn id="35" xr3:uid="{428C07E3-7968-48E6-A4DA-496F1181FEB2}" name="Moja satysfakcja z (efektów) usług edukacyjnych ocenianej uczelni jest wysoka." totalsRowFunction="custom" totalsRowDxfId="440">
      <totalsRowFormula>COUNTA((AK3:AK159))</totalsRowFormula>
    </tableColumn>
    <tableColumn id="36" xr3:uid="{7E3FB4AF-502F-4F5F-80C8-50BD2F50FD94}" name="Usługi edukacyjne ocenianej uczelni mają wysoką wartość (okazja / szansa rozwoju własnego lub kariery).3" totalsRowFunction="custom" totalsRowDxfId="439">
      <totalsRowFormula>COUNTA((AL3:AL159))</totalsRowFormula>
    </tableColumn>
    <tableColumn id="37" xr3:uid="{13B29A8A-9864-47D3-8D85-03ADE3F9CFBD}" name="Kształcenie na ocenianej uczelni ma/miało pozytywny wpływ na zwiększenie moich zarobków." totalsRowFunction="custom" totalsRowDxfId="438">
      <totalsRowFormula>COUNTA((AM3:AM159))</totalsRowFormula>
    </tableColumn>
    <tableColumn id="38" xr3:uid="{9D91EBF3-6BD2-4E2B-A118-A8EA8C2FF810}" name="Moje zarobki w pierwszym roku po ukończeniu studiów były satysfakcjonujące." totalsRowFunction="custom" totalsRowDxfId="437">
      <totalsRowFormula>COUNTA((AN3:AN159))</totalsRowFormula>
    </tableColumn>
    <tableColumn id="39" xr3:uid="{4C05D2D8-542C-4CD2-B02B-74A6107B9906}" name="Moje zarobki po 3. latach po ukończeniu studiów były satysfakcjonujące." totalsRowFunction="custom" totalsRowDxfId="436">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35">
      <totalsRowFormula>COUNTA((AP3:AP159))</totalsRowFormula>
    </tableColumn>
    <tableColumn id="41" xr3:uid="{17F2CC62-23FF-4121-AD9B-57CD659BC75D}" name="w pierwszym roku po ukończeniu studiów : wybierz wartość z listy rozwijanej4" totalsRowFunction="custom" totalsRowDxfId="434">
      <totalsRowFormula>COUNTA((AQ3:AQ159))</totalsRowFormula>
    </tableColumn>
    <tableColumn id="42" xr3:uid="{4CAB053F-2163-4455-9A70-0A489C75ED6D}" name="w 3 lata po ukończeniu studiów : wybierz wartość z listy rozwijanej5" totalsRowFunction="custom" totalsRowDxfId="433">
      <totalsRowFormula>COUNTA((AR3:AR159))</totalsRowFormula>
    </tableColumn>
    <tableColumn id="43" xr3:uid="{ED349003-2383-4091-A70C-5B26539031D1}" name="Jakie inne (poza zarobkami) efekty kształcenia na ocenianej uczelni dostrzegasz obecnie?" totalsRowFunction="custom" totalsRowDxfId="432">
      <totalsRowFormula>COUNTA((AS3:AS159))</totalsRowFormula>
    </tableColumn>
    <tableColumn id="44" xr3:uid="{C9AA4BEA-8991-4F56-A7E1-DA0762C2B486}" name="Co wpływało na twoją satysfakcję ze studiowania?_x000a_" totalsRowFunction="custom" totalsRowDxfId="431">
      <totalsRowFormula>COUNTA((AT3:AT159))</totalsRowFormula>
    </tableColumn>
    <tableColumn id="45" xr3:uid="{00A5350A-103D-4E86-99F7-01E1F081E96E}" name="Kolumna6" totalsRowFunction="custom" totalsRowDxfId="430">
      <totalsRowFormula>COUNTA((AU3:AU159))</totalsRowFormula>
    </tableColumn>
    <tableColumn id="46" xr3:uid="{AB30AA0A-ADAF-4A76-852B-9C6171DBA36D}" name="Jakiego rodzaju były Twoje studia?" totalsRowFunction="custom" totalsRowDxfId="429">
      <totalsRowFormula>COUNTA((AV3:AV159))</totalsRowFormula>
    </tableColumn>
    <tableColumn id="47" xr3:uid="{156EF4B8-4A3F-4406-9CDE-324D32F939BA}" name="Pole dodatkowe7" totalsRowFunction="custom" totalsRowDxfId="428">
      <totalsRowFormula>COUNTA((AW3:AW159))</totalsRowFormula>
    </tableColumn>
    <tableColumn id="48" xr3:uid="{085D3107-411D-41F8-A270-88DCB1EAF46B}" name="Czy jesteś rodzicem / opiekunem absolwenta uczelni wyższej?" totalsRowFunction="custom" dataDxfId="427" totalsRowDxfId="426">
      <totalsRowFormula>COUNTA((AX3:AX159))</totalsRowFormula>
    </tableColumn>
    <tableColumn id="49" xr3:uid="{373F08C1-1889-416C-AADD-9D721E98EE00}" name="Uczelnie ilu podopiecznych będziesz oceniać?" totalsRowFunction="custom" totalsRowDxfId="425">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24">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23">
      <totalsRowFormula>COUNTA((BA3:BA159))</totalsRowFormula>
    </tableColumn>
    <tableColumn id="52" xr3:uid="{46B60108-007B-4727-8517-B149C9074216}" name="Czy ukończony kierunek był kierunkiem technicznym, tzn. takim, po którym uzyskano tytuł inżyniera?" totalsRowFunction="custom" totalsRowDxfId="422">
      <totalsRowFormula>COUNTA((BB3:BB159))</totalsRowFormula>
    </tableColumn>
    <tableColumn id="53" xr3:uid="{60C869D2-DBCF-44AD-B67A-F6E4F68A66EA}" name="Jak się nazywa kierunek, który ukończył/a Twoja/Twój podopieczna/podopieczny?" totalsRowFunction="custom" totalsRowDxfId="421">
      <totalsRowFormula>COUNTA((BC3:BC159))</totalsRowFormula>
    </tableColumn>
    <tableColumn id="54" xr3:uid="{A3CBF3B3-DD1B-4022-88CB-1555D7F4F8C5}" name="Moja satysfakcja z (efektów) usług edukacyjnych ocenianej uczelni jest wysoka.8" totalsRowFunction="custom" totalsRowDxfId="420">
      <totalsRowFormula>COUNTA((BD3:BD159))</totalsRowFormula>
    </tableColumn>
    <tableColumn id="55" xr3:uid="{D34023F4-654B-483D-BB5D-A538A9480931}" name="Usługi edukacyjne ocenianej uczelni mają wysoką wartość (okazja / szansa rozwoju własnego lub kariery).9" totalsRowFunction="custom" totalsRowDxfId="419">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18">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17">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16">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15">
      <totalsRowFormula>COUNTA((BI3:BI159))</totalsRowFormula>
    </tableColumn>
    <tableColumn id="60" xr3:uid="{EF473340-3BCA-4590-B1D3-586452233B88}" name="Jakie inne (poza zarobkami) efekty kształcenia na ocenianej uczelni się dostrzegasz obecnie?" totalsRowFunction="custom" totalsRowDxfId="414">
      <totalsRowFormula>COUNTA((BJ3:BJ159))</totalsRowFormula>
    </tableColumn>
    <tableColumn id="61" xr3:uid="{F5907E33-A84C-4D35-815F-7AB4B7FD4A9A}" name="Jakiego rodzaju były studia, które ukończył/a Twoja/Twój podopieczna/podopieczny?" totalsRowFunction="custom" totalsRowDxfId="413">
      <totalsRowFormula>COUNTA((BK3:BK159))</totalsRowFormula>
    </tableColumn>
    <tableColumn id="62" xr3:uid="{D7A10314-D8C8-4D47-9939-D597680A8D89}" name="Pole dodatkowe10" totalsRowFunction="custom" totalsRowDxfId="412">
      <totalsRowFormula>COUNTA((BL3:BL159))</totalsRowFormula>
    </tableColumn>
    <tableColumn id="63" xr3:uid="{165E7C41-F825-40A7-BA29-7D65FA1622DD}" name="Jeśli Twoja/Twój podopieczna/podopieczny ukończył/a również inne szkoły / kierunki studiów to proszę wpisz je tutaj." totalsRowFunction="custom" totalsRowDxfId="411">
      <totalsRowFormula>COUNTA((BM3:BM159))</totalsRowFormula>
    </tableColumn>
    <tableColumn id="64" xr3:uid="{F460018C-F65A-4EBC-A1B3-720CD09E2F51}" name="Czy będziesz oceniał uczelnię ukończoną przez drugiego podopiecznego?" totalsRowFunction="custom" totalsRowDxfId="410">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409">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408">
      <totalsRowFormula>COUNTA((BP3:BP159))</totalsRowFormula>
    </tableColumn>
    <tableColumn id="67" xr3:uid="{3D25B926-3D3A-4554-8D21-C8CEA4B700DB}" name="Czy ukończony kierunek był kierunkiem technicznym, tzn. takim, po którym uzyskano tytuł inżyniera?13" totalsRowFunction="custom" totalsRowDxfId="407">
      <totalsRowFormula>COUNTA((BQ3:BQ159))</totalsRowFormula>
    </tableColumn>
    <tableColumn id="68" xr3:uid="{82D0E1F6-AAC9-483E-86A4-72BFF90C14E1}" name="Jak się nazywa kierunek, który ukończył/a Twoja/Twój podopieczna/podopieczny?14" totalsRowFunction="custom" totalsRowDxfId="406">
      <totalsRowFormula>COUNTA((BR3:BR159))</totalsRowFormula>
    </tableColumn>
    <tableColumn id="69" xr3:uid="{66B3F5D6-8119-4B13-944B-F7FA87F55668}" name="Moja satysfakcja z (efektów) usług edukacyjnych ocenianej uczelni jest wysoka.15" totalsRowFunction="custom" totalsRowDxfId="405">
      <totalsRowFormula>COUNTA((BS3:BS159))</totalsRowFormula>
    </tableColumn>
    <tableColumn id="70" xr3:uid="{CBFEDB9C-E8C2-4738-B7E9-8CA5AFA2B25A}" name="Usługi edukacyjne ocenianej uczelni mają wysoką wartość (okazja / szansa rozwoju własnego lub kariery).16" totalsRowFunction="custom" totalsRowDxfId="404">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403">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402">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401">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400">
      <totalsRowFormula>COUNTA((BX3:BX159))</totalsRowFormula>
    </tableColumn>
    <tableColumn id="75" xr3:uid="{D391B630-A02F-4FC9-A4FF-6812943B9BB8}" name="Jakie inne (poza zarobkami) efekty kształcenia na ocenianej uczelni się dostrzegasz obecnie?21" totalsRowFunction="custom" totalsRowDxfId="399">
      <totalsRowFormula>COUNTA((BY3:BY159))</totalsRowFormula>
    </tableColumn>
    <tableColumn id="76" xr3:uid="{10689BE6-B95B-4AE5-83F1-55BDA0BA3CDC}" name="Jakiego rodzaju były studia, które ukończył/a Twoja/Twój podopieczna/podopieczny?22" totalsRowFunction="custom" totalsRowDxfId="398">
      <totalsRowFormula>COUNTA((BZ3:BZ159))</totalsRowFormula>
    </tableColumn>
    <tableColumn id="77" xr3:uid="{6FCF6001-0320-49B2-98E4-DBE8BE04E809}" name="Pole dodatkowe23" totalsRowFunction="custom" totalsRowDxfId="397">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396">
      <totalsRowFormula>COUNTA((CB3:CB159))</totalsRowFormula>
    </tableColumn>
    <tableColumn id="79" xr3:uid="{1A403871-DFFF-4390-AEEF-95D5C0FD9400}" name="Czy będziesz oceniał uczelnię ukończoną przez trzeciego podopiecznego?" totalsRowFunction="custom" totalsRowDxfId="395">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94">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93">
      <totalsRowFormula>COUNTA((CE3:CE159))</totalsRowFormula>
    </tableColumn>
    <tableColumn id="82" xr3:uid="{EFEA0D59-60B6-44B3-85E7-69B8079A2E71}" name="Czy ukończony kierunek był kierunkiem technicznym, tzn. takim, po którym uzyskano tytuł inżyniera?27" totalsRowFunction="custom" totalsRowDxfId="392">
      <totalsRowFormula>COUNTA((CF3:CF159))</totalsRowFormula>
    </tableColumn>
    <tableColumn id="83" xr3:uid="{A9E82F19-DDC8-4060-ABD0-5E045F5308D6}" name="Jak się nazywa kierunek, który ukończył/a Twoja/Twój podopieczna/podopieczny?28" totalsRowFunction="custom" totalsRowDxfId="391">
      <totalsRowFormula>COUNTA((CG3:CG159))</totalsRowFormula>
    </tableColumn>
    <tableColumn id="84" xr3:uid="{15E6D0BD-B208-4418-84AB-12BCB30ABA39}" name="Moja satysfakcja z (efektów) usług edukacyjnych ocenianej uczelni jest wysoka.29" totalsRowFunction="custom" totalsRowDxfId="390">
      <totalsRowFormula>COUNTA((CH3:CH159))</totalsRowFormula>
    </tableColumn>
    <tableColumn id="85" xr3:uid="{E59F07E5-5F50-49F9-8B40-4A530F682447}" name="Usługi edukacyjne ocenianej uczelni mają wysoką wartość (okazja / szansa rozwoju własnego lub kariery).30" totalsRowFunction="custom" totalsRowDxfId="389">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88">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87">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86">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85">
      <totalsRowFormula>COUNTA((CM3:CM159))</totalsRowFormula>
    </tableColumn>
    <tableColumn id="90" xr3:uid="{0FA72066-CF3D-49BE-AC2D-FA05BABB3516}" name="Jakie inne (poza zarobkami) efekty kształcenia na ocenianej uczelni się dostrzegasz obecnie?35" totalsRowFunction="custom" totalsRowDxfId="384">
      <totalsRowFormula>COUNTA((CN3:CN159))</totalsRowFormula>
    </tableColumn>
    <tableColumn id="91" xr3:uid="{91E77103-7890-4078-B592-ECCB3080C6BE}" name="Jakiego rodzaju były studia, które ukończył/a Twoja/Twój podopieczna/podopieczny?36" totalsRowFunction="custom" totalsRowDxfId="383">
      <totalsRowFormula>COUNTA((CO3:CO159))</totalsRowFormula>
    </tableColumn>
    <tableColumn id="92" xr3:uid="{D87D6F17-9A18-4BD2-82A2-E153AE86B37C}" name="Pole dodatkowe37" totalsRowFunction="custom" totalsRowDxfId="382">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81">
      <totalsRowFormula>COUNTA((CQ3:CQ159))</totalsRowFormula>
    </tableColumn>
    <tableColumn id="94" xr3:uid="{E7DDA408-1945-4BDE-9B5A-12AAC3E05194}" name="Czy jesteś aktualnie pracownikiem administracyjnym uczelni wyższej?" totalsRowFunction="custom" dataDxfId="380" totalsRowDxfId="379">
      <totalsRowFormula>COUNTA((CR3:CR159))</totalsRowFormula>
    </tableColumn>
    <tableColumn id="95" xr3:uid="{8FA6CEDE-89F7-4035-B48A-EC70337C4D7E}" name="Jak się nazywa uczelnia, na której pracujesz? (proszę o wybranie jednej uczelni podlegającej ocenie)" totalsRowDxfId="378"/>
    <tableColumn id="96" xr3:uid="{F959B9F3-C53C-4C63-A092-AF4A70D45B06}" name="Na jakim wydziale pracujesz?" totalsRowDxfId="377"/>
    <tableColumn id="97" xr3:uid="{19273B31-1872-4994-B739-304F1E7FBD34}" name="Moja satysfakcja z pracy na ocenianej uczelni jest wysoka." totalsRowDxfId="376"/>
    <tableColumn id="98" xr3:uid="{EE7C1371-E788-4978-B01E-B5870F3E97D1}" name="Atmosfera w zespole współpracowników jest dobra." totalsRowDxfId="375"/>
    <tableColumn id="99" xr3:uid="{04B25BDB-5FFA-42B5-AEBA-FC863BEDBC77}" name="Moje zarobki są satysfakcjonujące." totalsRowDxfId="374"/>
    <tableColumn id="100" xr3:uid="{DAD2DC5B-8DF9-49D3-A852-672969268131}" name="Praca na ocenianej uczelni daje mi duże szanse rozwoju." totalsRowDxfId="373"/>
    <tableColumn id="101" xr3:uid="{27C35901-3DF8-4B77-BEB2-58D43C8B6871}" name="Wartość wykształcenia zdobywanego przez studentów ocenianej uczelni jest wysoka." totalsRowDxfId="372"/>
    <tableColumn id="102" xr3:uid="{4669105C-8E5E-4FD6-97C5-3F5E1BE9CAE4}" name="Zdobyte na ocenianej uczelni wykształcenie ma pozytywny wpływ na zwiększenie zarobków absolwentów." totalsRowDxfId="371"/>
    <tableColumn id="103" xr3:uid="{C2B9909A-91DF-4FB2-B673-AACC920851EA}" name="Jakie inne (poza zarobkami) efekty kształcenia na ocenianej uczelni się dostrzegasz obecnie?39" totalsRowDxfId="370"/>
    <tableColumn id="104" xr3:uid="{1F0E0013-CC4E-4656-BDA5-9028148E569A}" name="Czy jesteś aktualnie pracownikiem naukowym lub dydaktycznym uczelni wyższej?" totalsRowFunction="custom" dataDxfId="369" totalsRowDxfId="368">
      <totalsRowFormula>COUNTA((DB3:DB159))</totalsRowFormula>
    </tableColumn>
    <tableColumn id="105" xr3:uid="{78C36DCE-4E4A-4DAD-AF37-31D23561DE9B}" name="Jak się nazywa uczelnia, na której pracujesz? (proszę o wybranie jednej uczelni podlegającej ocenie)40" totalsRowDxfId="367"/>
    <tableColumn id="106" xr3:uid="{FAD00E10-66DF-401D-8721-330410755C4C}" name="Na jakim wydziale pracujesz?41" totalsRowDxfId="366"/>
    <tableColumn id="107" xr3:uid="{3ED79AD9-3A2A-4796-A7F7-27B53055A7C5}" name="Moja satysfakcja z pracy na ocenianej uczelni jest wysoka.42" totalsRowDxfId="365"/>
    <tableColumn id="108" xr3:uid="{88F3FD29-277A-4D3B-9F35-812F832A00F4}" name="Atmosfera w zespole współpracowników jest dobra.43" totalsRowDxfId="364"/>
    <tableColumn id="109" xr3:uid="{DC511D2A-6FF2-4B52-B52A-324E6688C5E0}" name="Moje zarobki są satysfakcjonujące.44" totalsRowDxfId="363"/>
    <tableColumn id="110" xr3:uid="{3C031862-BB50-46FB-A01C-928A7B955B19}" name="Praca na ocenianej uczelni daje mi duże szanse rozwoju.45" totalsRowDxfId="362"/>
    <tableColumn id="111" xr3:uid="{26178753-38CF-4749-A317-A1E5F425DF12}" name="Wartość wykształcenia zdobywanego przez studentów ocenianej uczelni jest wysoka.46" totalsRowDxfId="361"/>
    <tableColumn id="112" xr3:uid="{889B113B-59F9-4196-9536-C41274799622}" name="Zdobyte na ocenianej uczelni wykształcenie ma pozytywny wpływ na zwiększenie zarobków absolwentów.47" totalsRowDxfId="360"/>
    <tableColumn id="113" xr3:uid="{018446A9-87AE-432A-96CE-C29A37692C27}" name="Jakie inne (poza zarobkami) efekty kształcenia na ocenianej uczelni dostrzegasz obecnie?48" totalsRowDxfId="359"/>
    <tableColumn id="114" xr3:uid="{D11A2879-2C85-42C1-9C08-4BA4A9592DB0}" name="Czy jesteś przedstawicielem władz uczelni z grupy rektorów, prorektorów, dziekanów, prodziekanów, członków senatu lub członków rady uczelni?" totalsRowFunction="custom" dataDxfId="358" totalsRowDxfId="357">
      <totalsRowFormula>COUNTA((DL3:DL159))</totalsRowFormula>
    </tableColumn>
    <tableColumn id="115" xr3:uid="{758B3CD0-0C56-4596-8D61-D90700A05DA1}" name="Proszę podać pełnioną funkcję" totalsRowDxfId="356"/>
    <tableColumn id="116" xr3:uid="{E904AED4-A38D-42EF-9D38-709BB163A619}" name="Kolumna3" totalsRowDxfId="355"/>
    <tableColumn id="117" xr3:uid="{AF0D4680-ECCA-4738-825E-AB146FC0FF8F}" name="Kolumna4" totalsRowDxfId="354"/>
    <tableColumn id="118" xr3:uid="{65A15536-DE99-4D16-A20B-206F127C5BFB}" name="Kolumna5" totalsRowDxfId="353"/>
    <tableColumn id="119" xr3:uid="{E05782FB-7FE9-42ED-94C4-B7F653167A0F}" name="Jak się nazywa uczelnia którą będziesz oceniać (jako przedstawiciel jej władz)?" totalsRowDxfId="352"/>
    <tableColumn id="120" xr3:uid="{1B7FA187-1663-4FBF-A3C5-EA8D6A053A25}" name="Efekty działań ocenianej uczelni na rzesz jakości edukacji są dobre" totalsRowDxfId="351"/>
    <tableColumn id="121" xr3:uid="{8A6C2138-0511-4784-9BCB-D7F056FD5756}" name="Wartość wykształcenia zdobywanego przez studentów na ocenianej uczelni jest wysoka." totalsRowDxfId="350"/>
    <tableColumn id="122" xr3:uid="{33664698-CEF8-4115-B63B-828882A6D501}" name="Zdobyte przez studentów ocenianej uczelni wykształcenie miało/ma pozytywny wpływ na ich zarobki." totalsRowDxfId="349"/>
    <tableColumn id="123" xr3:uid="{6548C317-5775-47D8-8BB5-03CE96ABFB2C}" name="Efekty działań ocenianej uczelni na rzecz jakości edukacji mają dobry wpływ na rozwój regionu." totalsRowDxfId="348"/>
    <tableColumn id="124" xr3:uid="{04271A5C-5560-4CF8-90D9-89BA9B015FBC}" name="Efekty działań ocenianej uczelni na rzecz jakości edukacji mają dobry wpływ na rozwój Polski." totalsRowDxfId="347"/>
    <tableColumn id="125" xr3:uid="{123DE0DC-02B2-4F9B-BEEB-704DB06821EE}" name="Współpraca ocenianej uczelni z biznesem ma pozytywne efekty dla rozwoju regionu / kraju." totalsRowDxfId="346"/>
    <tableColumn id="126" xr3:uid="{A0DF07F0-161A-4193-A1E6-2065A1C8B63E}" name="Ogólny poziom mojej satysfakcji z jakości usług edukacyjnych ocenianej uczelni jest wysoki." totalsRowDxfId="345"/>
    <tableColumn id="127" xr3:uid="{78D52D23-A055-4089-AEA3-0D0030CEAC4A}" name="Studenci : wybierz wartość z listy rozwijanej" totalsRowDxfId="344"/>
    <tableColumn id="128" xr3:uid="{3C88D815-7B36-4940-B457-1D4916A18A9A}" name="Absolwenci : wybierz wartość z listy rozwijanej" totalsRowDxfId="343"/>
    <tableColumn id="129" xr3:uid="{B7AADA93-8D0B-47F3-BCD2-912D3D3EFF96}" name="Rodzice absolwentów : wybierz wartość z listy rozwijanej" totalsRowDxfId="342"/>
    <tableColumn id="130" xr3:uid="{2419B54D-E941-464A-ABB8-3A728F2F5596}" name="Pracownicy administracyjni : wybierz wartość z listy rozwijanej" totalsRowDxfId="341"/>
    <tableColumn id="131" xr3:uid="{BAB27B7B-2698-4085-8E82-FA14AF164B29}" name="Pracownicy naukowi i dydaktyczni : wybierz wartość z listy rozwijanej" totalsRowDxfId="340"/>
    <tableColumn id="132" xr3:uid="{6A6F970F-B3EB-4E50-9DE6-C8C4C7CAA18A}" name="Pracodawcy : wybierz wartość z listy rozwijanej" totalsRowDxfId="339"/>
    <tableColumn id="133" xr3:uid="{09A6A719-E450-4AC4-8182-90B1F383E84C}" name="Władze samorządowe i centralne : wybierz wartość z listy rozwijanej" totalsRowDxfId="338"/>
    <tableColumn id="134" xr3:uid="{2E207BF2-E2F1-4F2B-9DAE-D3B78D867559}" name="Pole dodatkowe4" totalsRowDxfId="337"/>
    <tableColumn id="135" xr3:uid="{EEB77D73-5571-4E17-8266-02BB1710B8F0}" name="Studenci : wybierz wartość z listy rozwijanej5" totalsRowDxfId="336"/>
    <tableColumn id="136" xr3:uid="{81EA592A-292B-42BA-AA88-85A430ABBA5B}" name="Absolwenci : wybierz wartość z listy rozwijanej6" totalsRowDxfId="335"/>
    <tableColumn id="137" xr3:uid="{AC693E91-1370-42E2-8C6B-A2DEAEDAD6D8}" name="Rodzice absolwentów : wybierz wartość z listy rozwijanej7" totalsRowDxfId="334"/>
    <tableColumn id="138" xr3:uid="{C972A3A6-50AF-4CF0-9221-51F3F1B825B5}" name="Pracownicy administracyjni : wybierz wartość z listy rozwijanej8" totalsRowDxfId="333"/>
    <tableColumn id="139" xr3:uid="{8A17F47D-C5DA-4436-9144-E5A1DC2CE401}" name="Pracownicy naukowi i dydaktyczni : wybierz wartość z listy rozwijanej9" totalsRowDxfId="332"/>
    <tableColumn id="140" xr3:uid="{9C9F0784-2723-4BBD-AE36-08FD5221319D}" name="Pracodawcy : wybierz wartość z listy rozwijanej10" totalsRowDxfId="331"/>
    <tableColumn id="141" xr3:uid="{AAE33EE1-D3BE-432C-9A2D-5D55BE9F26EC}" name="Władze samorządowe i centralne : wybierz wartość z listy rozwijanej11" totalsRowDxfId="330"/>
    <tableColumn id="142" xr3:uid="{C7BCF657-B75F-43D7-A19C-E0A38F71C79A}" name="Pole dodatkowe12" totalsRowDxfId="329"/>
    <tableColumn id="143" xr3:uid="{027BA0BD-D7CE-4B61-BD34-CD9336762A59}" name="Czy jesteś przedstawicielem firmy, w której są zatrudniani absolwenci uczelni wyższych (tytuł licencjata, magistra lub wyższy)?" totalsRowFunction="custom" dataDxfId="328" totalsRowDxfId="327">
      <totalsRowFormula>COUNTA((EO3:EO159))</totalsRowFormula>
    </tableColumn>
    <tableColumn id="144" xr3:uid="{AE677D83-CB9E-4B5E-B46A-E76A87DC758B}" name="Czy w Twojej firmie są zatrudnieni absolwenci uczelni technicznych (posiadają tytuł inżyniera)?" totalsRowDxfId="326"/>
    <tableColumn id="145" xr3:uid="{A9C11981-CE44-482B-9485-624EB4CFA91B}" name="Ile uczelni będziesz oceniać?" totalsRowDxfId="325"/>
    <tableColumn id="146" xr3:uid="{822F037D-C81E-4AA1-A477-75B7599C4C4E}" name="Jak się nazywa uczelnia, którą ocenisz? " totalsRowDxfId="324"/>
    <tableColumn id="147" xr3:uid="{B879E027-4001-4F17-98A9-1FF6DD06C0F9}" name="Moja satysfakcja z (efektów) usług edukacyjnych na ocenianej uczelni jest wysoka." totalsRowDxfId="323"/>
    <tableColumn id="148" xr3:uid="{887E2640-884A-454A-B596-856E217BE2DD}" name="Kompetencje absolwentów ocenianej uczelni są wysokie." totalsRowDxfId="322"/>
    <tableColumn id="149" xr3:uid="{478F5E65-AE32-4F52-99FA-3830D9323C3C}" name="Zarobki absolwentów ocenianej uczelni zatrudnionych w mojej firmie są wyższe od zarobków absolwentów innych polskich uczelni." totalsRowDxfId="321"/>
    <tableColumn id="150" xr3:uid="{E5D4AD52-FA66-4019-983E-25DC2AF5A5A8}" name="Czy w Twojej firmie są zatrudniani absolwenci uczelni w pierwszym roku po ukończeniu studiów (do 12 miesięcy od uzyskania dyplomu)?" totalsRowDxfId="320"/>
    <tableColumn id="151" xr3:uid="{FDC480C9-E39B-4D41-9995-A191329D3555}" name="Jakie kompetencje absolwentów ocenianej uczelni są w Twojej firmie najwyżej wyceniane?" totalsRowDxfId="319"/>
    <tableColumn id="152" xr3:uid="{558E6650-0292-450C-9D81-46BC7B7FA1C9}" name="Jakiego rodzaju prace wykonują absolwenci ocenianej uczelni w Twojej firmie?" totalsRowDxfId="318"/>
    <tableColumn id="153" xr3:uid="{9E8CE1F9-05B3-4737-AC9A-FAE812FD292C}" name="Czy będziesz oceniał drugą uczelnię?" totalsRowDxfId="317"/>
    <tableColumn id="154" xr3:uid="{CEB66B10-0E60-4952-A1B0-1E5C8784E791}" name="Jak się nazywa uczelnia, którą ocenisz? 13" totalsRowDxfId="316"/>
    <tableColumn id="155" xr3:uid="{2864E703-440A-477E-8352-68DEA39F85CD}" name="Moja satysfakcja z (efektów) usług edukacyjnych na ocenianej uczelni jest wysoka.14" totalsRowDxfId="315"/>
    <tableColumn id="156" xr3:uid="{B38513D8-CC85-41E0-85A1-82AC6807323C}" name="Kompetencje absolwentów ocenianej uczelni są wysokie.15" totalsRowDxfId="314"/>
    <tableColumn id="157" xr3:uid="{204ADF47-FBCC-47A6-95D9-5D3E03854768}" name="Zarobki absolwentów ocenianej uczelni zatrudnionych w mojej firmie są wyższe od zarobków absolwentów innych polskich uczelni.16" totalsRowDxfId="313"/>
    <tableColumn id="158" xr3:uid="{7E6A13F3-C53A-4FC9-B3AE-9EA25D9CBCE6}" name="Czy w Twojej firmie są zatrudniani absolwenci uczelni w pierwszym roku po ukończeniu studiów (do 12 miesięcy od uzyskania dyplomu)?17" totalsRowDxfId="312"/>
    <tableColumn id="159" xr3:uid="{83E7A1CC-295A-477E-8CD0-1E43143ACFF6}" name="Jakie kompetencje absolwentów ocenianej uczelni są w Twojej firmie najwyżej wyceniane?18" totalsRowDxfId="311"/>
    <tableColumn id="160" xr3:uid="{C3F49389-F342-4110-8A16-536B6EC87EC2}" name="Jakiego rodzaju prace wykonują absolwenci ocenianej uczelni w Twojej firmie?19" totalsRowDxfId="310"/>
    <tableColumn id="161" xr3:uid="{2BBFB49D-5EDF-4AC5-9179-70BCC6FA0B96}" name="Czy będziesz oceniał trzecią uczelnię techniczną?" totalsRowDxfId="309"/>
    <tableColumn id="162" xr3:uid="{829F7D1E-D133-43C4-A756-6D0B7542D44F}" name="Jak się nazywa uczelnia, którą ocenisz? 20" totalsRowDxfId="308"/>
    <tableColumn id="163" xr3:uid="{8758E395-9800-4CA8-BF43-3BFBF9507549}" name="Moja satysfakcja z (efektów) usług edukacyjnych na ocenianej uczelni jest wysoka.21" totalsRowDxfId="307"/>
    <tableColumn id="164" xr3:uid="{14ABF48C-A9EC-4153-B011-421959501B3A}" name="Kompetencje absolwentów ocenianej uczelni są wysokie.22" totalsRowDxfId="306"/>
    <tableColumn id="165" xr3:uid="{E8A014C5-F146-4C5D-B50B-6E968A7F8B46}" name="Zarobki absolwentów ocenianej uczelni zatrudnionych w mojej firmie są wyższe od zarobków absolwentów innych polskich uczelni.23" totalsRowDxfId="305"/>
    <tableColumn id="166" xr3:uid="{1FF6D355-AF16-4EB9-8805-4741E5F2867E}" name="Czy w Twojej firmie są zatrudniani absolwenci uczelni w pierwszym roku po ukończeniu studiów (do 12 miesięcy od uzyskania dyplomu)?24" totalsRowDxfId="304"/>
    <tableColumn id="167" xr3:uid="{71809E9D-42EC-47FD-9E58-0596DB8FD07D}" name="Jakie kompetencje absolwentów ocenianej uczelni są w Twojej firmie najwyżej wyceniane?25" totalsRowDxfId="303"/>
    <tableColumn id="168" xr3:uid="{6CA2A8B4-3095-459E-BDF0-43522EA7E403}" name="Jakiego rodzaju prace wykonują absolwenci ocenianej uczelni są w Twojej firmie?" totalsRowDxfId="302"/>
    <tableColumn id="169" xr3:uid="{6AEC3D33-E058-4E5E-AEC6-C091FCB970C9}" name="Czy jesteś przedstawicielem władz samorządowych lub centralnych Rzeczypospolitej Polskiej?" totalsRowFunction="custom" dataDxfId="301" totalsRowDxfId="300">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299">
      <totalsRowFormula>COUNTA((GZ3:GZ159))</totalsRowFormula>
    </tableColumn>
    <tableColumn id="207" xr3:uid="{17374C0D-5C50-4F2D-9998-48F1A5105C49}" name="Rok urodzenia" totalsRowFunction="custom" totalsRowDxfId="298">
      <totalsRowFormula>COUNTA((HA3:HA159))</totalsRowFormula>
    </tableColumn>
    <tableColumn id="208" xr3:uid="{1645D477-C887-454C-9538-48CC0158FF63}" name="Z jakiej wielkości miejscowości pochodzisz? (dotyczy miejscowości, w której się wychowałaś/eś" totalsRowFunction="custom" totalsRowDxfId="297">
      <totalsRowFormula>COUNTA((HB3:HB159))</totalsRowFormula>
    </tableColumn>
    <tableColumn id="209" xr3:uid="{12CD2E72-E534-4809-A75E-AF29F5F5F088}" name="Pole dodatkowe52" totalsRowFunction="custom" totalsRowDxfId="296">
      <totalsRowFormula>COUNTA((HC3:HC159))</totalsRowFormula>
    </tableColumn>
    <tableColumn id="210" xr3:uid="{A7F9896F-910A-4A55-B990-91B148C747C5}" name="Jakie inne wykształcenie poza tym uwzględnionym w niniejszej ankiecie posiadasz? (ukończone szkoły/studia)" totalsRowFunction="custom" totalsRowDxfId="295">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94">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93">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92" totalsRowDxfId="291">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90">
      <totalsRowFormula>COUNTIF(Wszystkie[Czy jesteś osobą pełnoletnią?],"*")</totalsRowFormula>
    </tableColumn>
    <tableColumn id="14" xr3:uid="{E3D767D6-BD41-4141-B5C4-1F9D8EF2956E}" name="Czy jesteś studentem uczelni wyższej?" totalsRowFunction="custom" dataDxfId="289" totalsRowDxfId="288">
      <totalsRowFormula>COUNTIF(Wszystkie[Czy jesteś studentem uczelni wyższej?],"*")</totalsRowFormula>
    </tableColumn>
    <tableColumn id="15" xr3:uid="{976C1CBA-1FD7-4C75-8BED-1BFE923879A1}" name="Jak się nazywa uczelnia, na której studiujesz? (proszę o wybranie jednej uczelni podlegającej ocenie)" totalsRowDxfId="287"/>
    <tableColumn id="16" xr3:uid="{AA3DBEFA-9D73-475E-A9A5-2D42522C9072}" name="Czy studiujesz na kierunku technicznym, tzn. takim, po którym uzyskasz tytuł inżyniera?" totalsRowDxfId="286"/>
    <tableColumn id="17" xr3:uid="{8AAAEBAF-D354-47D3-8A57-BF9F06131A1E}" name="Jak się nazywa kierunek, na którym studiujesz?" totalsRowDxfId="285"/>
    <tableColumn id="18" xr3:uid="{CD9C7D41-ABD7-4C41-89ED-89A659BAC655}" name="Moja satysfakcja z usług edukacyjnych ocenianej uczelni jest wysoka." totalsRowDxfId="284"/>
    <tableColumn id="19" xr3:uid="{31FED63E-2530-44F3-A0E2-6B96989E02A8}" name="Usługi edukacyjne ocenianej uczelni mają wysoką wartość (okazja / szansa rozwoju własnego lub kariery)." totalsRowDxfId="283"/>
    <tableColumn id="20" xr3:uid="{378DDC9B-58A3-4DE4-A300-A19FD721A037}" name="Kształcenie na ocenianej uczelni ma/będzie miało pozytywny wpływ na zwiększenie moich zarobków." totalsRowDxfId="282"/>
    <tableColumn id="21" xr3:uid="{C6A24480-7451-49D9-8645-BC69D7F99331}" name="Kolumna1" totalsRowDxfId="281"/>
    <tableColumn id="22" xr3:uid="{D80E567D-CCDD-4B11-B18B-072D893C7687}" name="w pierwszym roku po ukończeniu studiów : wybierz wartość z listy rozwijanej" totalsRowDxfId="280"/>
    <tableColumn id="23" xr3:uid="{CF51D676-6C20-46B0-A565-D78CD8D4C947}" name="w 3 lata po ukończeniu studiów : wybierz wartość z listy rozwijanej" totalsRowDxfId="279"/>
    <tableColumn id="24" xr3:uid="{0F1B2099-4D7F-463D-AC59-617503BC5E14}" name="Jakich innych (poza zarobkami) efektów kształcenia na ocenianej uczelni się spodziewasz?" totalsRowDxfId="278"/>
    <tableColumn id="25" xr3:uid="{35D57207-52B7-455E-A9ED-A6AD95338EC7}" name="Co wpływa na Twoją satysfakcję ze studiowania?" totalsRowDxfId="277"/>
    <tableColumn id="26" xr3:uid="{CAD83457-32FA-404F-A708-C1B3C759AC6E}" name="Kolumna2" totalsRowDxfId="276"/>
    <tableColumn id="27" xr3:uid="{ADC35906-6D65-48D1-81AC-C4B4957B05D5}" name="Jakiego rodzaju są Twoje studia?" totalsRowDxfId="275"/>
    <tableColumn id="28" xr3:uid="{E068B642-DF74-4CAA-A88E-B517DC5FC386}" name="Pole dodatkowe" totalsRowDxfId="274"/>
    <tableColumn id="29" xr3:uid="{38F90488-07A7-4B7C-882D-784B03584081}" name="Na którym semestrze studiujesz obecnie?" totalsRowDxfId="273"/>
    <tableColumn id="30" xr3:uid="{5A578F2D-0AA4-4797-8F97-B23C8F9552C7}" name="Czy jesteś absolwentem uczelni wyższej?" totalsRowFunction="custom" dataDxfId="272" totalsRowDxfId="271">
      <totalsRowFormula>COUNTIF(Wszystkie[Czy jesteś absolwentem uczelni wyższej?],"*")</totalsRowFormula>
    </tableColumn>
    <tableColumn id="31" xr3:uid="{D2B6D93F-7BC9-4B45-93AA-4FD89F63764D}" name="Jak się nazywa uczelnia którą ukończyłeś? (proszę o wybranie jednej uczelni podlegającej ocenie)" totalsRowDxfId="270"/>
    <tableColumn id="32" xr3:uid="{E591DDF7-3A8B-45B3-9972-7C4BB854C0A9}" name="W którym roku ukończyłaś/eś studia (rok w którym uzyskano dyplom ukończenia studiów drugiego stopnia, albo pierwszego stopnia, jeśli nie uzyskano dyplomu 2. stopnia)?" totalsRowDxfId="269"/>
    <tableColumn id="33" xr3:uid="{B826B930-988D-4AF8-9D52-5EF6AF6A7F20}" name="Czy ukończony kierunek był kierunkiem technicznym, tzn. takim, po którym uzyskałaś/eś tytuł inżyniera?" totalsRowDxfId="268"/>
    <tableColumn id="34" xr3:uid="{0507FF43-58D2-4683-81A2-9CE2C2FA5844}" name="Jak się nazywa kierunek, który ukończyłaś/eś?" totalsRowDxfId="267"/>
    <tableColumn id="35" xr3:uid="{AC65CB7E-A5EF-4C79-B96D-EA85400721B9}" name="Moja satysfakcja z (efektów) usług edukacyjnych ocenianej uczelni jest wysoka." totalsRowDxfId="266"/>
    <tableColumn id="36" xr3:uid="{36BB94DA-A6A2-46AA-A0C4-3AAE4ADCC084}" name="Usługi edukacyjne ocenianej uczelni mają wysoką wartość (okazja / szansa rozwoju własnego lub kariery).3" totalsRowDxfId="265"/>
    <tableColumn id="37" xr3:uid="{46DF242C-10FA-47FE-BC6B-045B295812CA}" name="Kształcenie na ocenianej uczelni ma/miało pozytywny wpływ na zwiększenie moich zarobków." totalsRowDxfId="264"/>
    <tableColumn id="38" xr3:uid="{22DB960F-1A91-4EB9-90EA-0C8BB104EBCF}" name="Moje zarobki w pierwszym roku po ukończeniu studiów były satysfakcjonujące." totalsRowDxfId="263"/>
    <tableColumn id="39" xr3:uid="{1AC1C2EA-FD9C-42F6-8732-E88F90068CC4}" name="Moje zarobki po 3. latach po ukończeniu studiów były satysfakcjonujące." totalsRowDxfId="262"/>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61"/>
    <tableColumn id="41" xr3:uid="{53D325CD-E5E6-4C9E-81B0-775315EF4E8E}" name="w pierwszym roku po ukończeniu studiów : wybierz wartość z listy rozwijanej4" totalsRowDxfId="260"/>
    <tableColumn id="42" xr3:uid="{A6B799C8-D5F2-4C68-B71E-F83C3A6075B7}" name="w 3 lata po ukończeniu studiów : wybierz wartość z listy rozwijanej5" totalsRowDxfId="259"/>
    <tableColumn id="43" xr3:uid="{BC589F24-9BD1-4C2F-9397-D51311E5EC39}" name="Jakie inne (poza zarobkami) efekty kształcenia na ocenianej uczelni dostrzegasz obecnie?" totalsRowDxfId="258"/>
    <tableColumn id="44" xr3:uid="{A11C2A67-EC51-4621-92CF-198235F6DDC5}" name="Co wpływało na twoją satysfakcję ze studiowania?_x000a_" totalsRowDxfId="257"/>
    <tableColumn id="45" xr3:uid="{D388932F-1A0A-4689-AB91-4A4F282D3CA9}" name="Kolumna6" totalsRowDxfId="256"/>
    <tableColumn id="46" xr3:uid="{F488CAF2-B800-439E-8332-DDBED1146AB6}" name="Jakiego rodzaju były Twoje studia?" totalsRowDxfId="255"/>
    <tableColumn id="47" xr3:uid="{00FDD7E1-EBD3-4653-98C4-D74FA980AF99}" name="Pole dodatkowe7" totalsRowDxfId="254"/>
    <tableColumn id="48" xr3:uid="{E33AE7B1-7892-48E4-9DBC-AE5EF9034B4E}" name="Czy jesteś rodzicem / opiekunem absolwenta uczelni wyższej?" totalsRowFunction="custom" dataDxfId="253" totalsRowDxfId="252">
      <totalsRowFormula>COUNTIF(Wszystkie[Czy jesteś rodzicem / opiekunem absolwenta uczelni wyższej?],"*")</totalsRowFormula>
    </tableColumn>
    <tableColumn id="49" xr3:uid="{4088849A-C602-4818-8ECC-DDB0335A5DDB}" name="Uczelnie ilu podopiecznych będziesz oceniać?" totalsRowDxfId="251"/>
    <tableColumn id="50" xr3:uid="{6BB0F22F-B640-446D-B936-91DFADFA81F1}" name="Jak się nazywa uczelnia, którą ukończył/a Twoja/Twój podopieczna/podopieczny? (proszę o wybranie jednej uczelni podlegającej ocenie)" totalsRowDxfId="250"/>
    <tableColumn id="51" xr3:uid="{760CF124-AB02-4DF1-9CE7-66B4800AC399}" name="W którym roku Twoja/Twój podopieczna/y ukończył/a studia (rok w którym uzyskano dyplom ukończenia studiów drugiego stopnia, albo pierwszego stopnia, jeśli nie uzyskano dyplomu 2. stopnia)?" totalsRowDxfId="249"/>
    <tableColumn id="52" xr3:uid="{26244E73-3F31-4ED7-99CC-718C75773980}" name="Czy ukończony kierunek był kierunkiem technicznym, tzn. takim, po którym uzyskano tytuł inżyniera?" totalsRowDxfId="248"/>
    <tableColumn id="53" xr3:uid="{F00033CF-BE1C-4649-B99E-A3FC496AF05C}" name="Jak się nazywa kierunek, który ukończył/a Twoja/Twój podopieczna/podopieczny?" totalsRowDxfId="247"/>
    <tableColumn id="54" xr3:uid="{8AE8E0B0-E59A-4253-8E89-6503DDEE44E9}" name="Moja satysfakcja z (efektów) usług edukacyjnych ocenianej uczelni jest wysoka.8" totalsRowDxfId="246"/>
    <tableColumn id="55" xr3:uid="{D72C8628-4CEE-4A6D-BD58-0114E59C605E}" name="Usługi edukacyjne ocenianej uczelni mają wysoką wartość (okazja / szansa rozwoju własnego lub kariery).9" totalsRowDxfId="245"/>
    <tableColumn id="56" xr3:uid="{53B5753F-3212-43BB-931D-3559FF6976DF}" name="Kształcenie na ocenianej uczelni ma/będzie miało pozytywny wpływ na zwiększenie zarobków mojej/mojego podopiecznej/podopiecznego." totalsRowDxfId="244"/>
    <tableColumn id="57" xr3:uid="{A9563BF9-19A1-46BF-9F31-4690E6A2385C}" name="Zarobki uzyskiwane przez mojego/moją podopieczną/podopiecznego w pierwszym roku po ukończeniu studiów były satysfakcjonujące (z mojego punktu widzenia)" totalsRowDxfId="243"/>
    <tableColumn id="58" xr3:uid="{BCC66B2D-86FD-4227-A5E9-2164B45893B0}" name="Zarobki uzyskiwane przez mojego/moją podopieczną/podopiecznego w 3 lata po ukończeniu studiów były satysfakcjonujące (z mojego punktu widzenia)" totalsRowDxfId="242"/>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41"/>
    <tableColumn id="60" xr3:uid="{94345A4F-9EAB-4FE8-A337-CCC43CF7D9D3}" name="Jakie inne (poza zarobkami) efekty kształcenia na ocenianej uczelni się dostrzegasz obecnie?" totalsRowDxfId="240"/>
    <tableColumn id="61" xr3:uid="{05A46EBB-09E0-4294-881F-C45E3B66E515}" name="Jakiego rodzaju były studia, które ukończył/a Twoja/Twój podopieczna/podopieczny?" totalsRowDxfId="239"/>
    <tableColumn id="62" xr3:uid="{FE0A86D0-775F-435F-8B90-2A7B29B0B462}" name="Pole dodatkowe10" totalsRowDxfId="238"/>
    <tableColumn id="63" xr3:uid="{3C426FB0-5F3F-46C5-9E34-DD901FAA5A82}" name="Jeśli Twoja/Twój podopieczna/podopieczny ukończył/a również inne szkoły / kierunki studiów to proszę wpisz je tutaj." totalsRowDxfId="237"/>
    <tableColumn id="64" xr3:uid="{7B6238C1-79C7-4C59-B174-F693B78A54C8}" name="Czy będziesz oceniał uczelnię ukończoną przez drugiego podopiecznego?" totalsRowDxfId="236"/>
    <tableColumn id="65" xr3:uid="{72E69603-FDA8-458A-B355-C3F6177E2961}" name="Jak się nazywa uczelnia, którą ukończył/a Twoja/Twój podopieczna/podopieczny? (proszę o wybranie jednej uczelni podlegającej ocenie)11" totalsRowDxfId="235"/>
    <tableColumn id="66" xr3:uid="{C1A71495-6A60-4B39-8FA2-EDD927CA8962}" name="W którym roku Twoja/Twój podopieczna/y ukończył/a studia (rok w którym uzyskano dyplom ukończenia studiów drugiego stopnia, albo pierwszego stopnia, jeśli nie uzyskano dyplomu 2. stopnia)?12" totalsRowDxfId="234"/>
    <tableColumn id="67" xr3:uid="{51123307-FDE7-45CE-81D3-F8045A68CEB5}" name="Czy ukończony kierunek był kierunkiem technicznym, tzn. takim, po którym uzyskano tytuł inżyniera?13" totalsRowDxfId="233"/>
    <tableColumn id="68" xr3:uid="{E4E7F2FA-608F-4A76-95F9-FC633CF4A850}" name="Jak się nazywa kierunek, który ukończył/a Twoja/Twój podopieczna/podopieczny?14" totalsRowDxfId="232"/>
    <tableColumn id="69" xr3:uid="{2E0E2D92-CA45-4C29-AD1B-4107E60D2F5C}" name="Moja satysfakcja z (efektów) usług edukacyjnych ocenianej uczelni jest wysoka.15" totalsRowDxfId="231"/>
    <tableColumn id="70" xr3:uid="{22160B39-79EF-424B-9B2E-4205C1098DC4}" name="Usługi edukacyjne ocenianej uczelni mają wysoką wartość (okazja / szansa rozwoju własnego lub kariery).16" totalsRowDxfId="230"/>
    <tableColumn id="71" xr3:uid="{C5566328-CB9E-4672-AFA5-9A52C7FB1583}" name="Kształcenie na ocenianej uczelni ma/będzie miało pozytywny wpływ na zwiększenie zarobków mojej/mojego podopiecznej/podopiecznego.17" totalsRowDxfId="229"/>
    <tableColumn id="72" xr3:uid="{ED11287D-6F12-40C0-8EAE-0190C96B2475}" name="Zarobki uzyskiwane przez mojego/moją podopieczną/podopiecznego w pierwszym roku po ukończeniu studiów były satysfakcjonujące (z mojego punktu widzenia)18" totalsRowDxfId="228"/>
    <tableColumn id="73" xr3:uid="{5767066B-CB1E-4AC7-93CC-8721926057A1}" name="Zarobki uzyskiwane przez mojego/moją podopieczną/podopiecznego w 3 lata po ukończeniu studiów były satysfakcjonujące (z mojego punktu widzenia)19" totalsRowDxfId="227"/>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26"/>
    <tableColumn id="75" xr3:uid="{91099E12-4AAE-4B3A-8B21-456B23B8E9C4}" name="Jakie inne (poza zarobkami) efekty kształcenia na ocenianej uczelni się dostrzegasz obecnie?21" totalsRowDxfId="225"/>
    <tableColumn id="76" xr3:uid="{F99FCD0E-141B-4162-9375-D912B829669B}" name="Jakiego rodzaju były studia, które ukończył/a Twoja/Twój podopieczna/podopieczny?22" totalsRowDxfId="224"/>
    <tableColumn id="77" xr3:uid="{9A935095-7069-4B79-9C19-ABCE05DB2953}" name="Pole dodatkowe23" totalsRowDxfId="223"/>
    <tableColumn id="78" xr3:uid="{73C50495-9837-4BA7-BE74-ED58E001D39F}" name="Jeśli Twoja/Twój podopieczna/podopieczny ukończył/a również inne szkoły / kierunki studiów to proszę wpisz je tutaj.24" totalsRowDxfId="222"/>
    <tableColumn id="79" xr3:uid="{2D9E6799-1116-4EBA-A4A6-EC67B715E65E}" name="Czy będziesz oceniał uczelnię ukończoną przez trzeciego podopiecznego?" totalsRowDxfId="221"/>
    <tableColumn id="80" xr3:uid="{98900E64-17FE-4566-98C9-57CB606D4413}" name="Jak się nazywa uczelnia, którą ukończył/a Twoja/Twój podopieczna/podopieczny? (proszę o wybranie jednej uczelni podlegającej ocenie)25" totalsRowDxfId="220"/>
    <tableColumn id="81" xr3:uid="{FB0D4F5E-419D-4EEB-BE63-1379089D4E7A}" name="W którym roku Twoja/Twój podopieczna/y ukończył/a studia (rok w którym uzyskano dyplom ukończenia studiów drugiego stopnia, albo pierwszego stopnia, jeśli nie uzyskano dyplomu 2. stopnia)?26" totalsRowDxfId="219"/>
    <tableColumn id="82" xr3:uid="{367FC414-3E67-4B03-A303-77F5139ABED4}" name="Czy ukończony kierunek był kierunkiem technicznym, tzn. takim, po którym uzyskano tytuł inżyniera?27" totalsRowDxfId="218"/>
    <tableColumn id="83" xr3:uid="{641F2969-C09A-425E-81A7-806949B38666}" name="Jak się nazywa kierunek, który ukończył/a Twoja/Twój podopieczna/podopieczny?28" totalsRowDxfId="217"/>
    <tableColumn id="84" xr3:uid="{6B2F3F5A-F4BF-41A2-85FA-BAC6E179E9A9}" name="Moja satysfakcja z (efektów) usług edukacyjnych ocenianej uczelni jest wysoka.29" totalsRowDxfId="216"/>
    <tableColumn id="85" xr3:uid="{792FE0EC-454A-47B2-9DEE-09E82A55AC5F}" name="Usługi edukacyjne ocenianej uczelni mają wysoką wartość (okazja / szansa rozwoju własnego lub kariery).30" totalsRowDxfId="215"/>
    <tableColumn id="86" xr3:uid="{4BD46113-3AB9-405D-8A53-F153B50E863D}" name="Kształcenie na ocenianej uczelni ma/będzie miało pozytywny wpływ na zwiększenie zarobków mojej/mojego podopiecznej/podopiecznego.31" totalsRowDxfId="214"/>
    <tableColumn id="87" xr3:uid="{4CA1C5A8-3427-428B-B7BA-106EBBA85C17}" name="Zarobki uzyskiwane przez mojego/moją podopieczną/podopiecznego w pierwszym roku po ukończeniu studiów były satysfakcjonujące (z mojego punktu widzenia)32" totalsRowDxfId="213"/>
    <tableColumn id="88" xr3:uid="{C37B06BC-EDB5-471E-9C95-05232AC9EACD}" name="Zarobki uzyskiwane przez mojego/moją podopieczną/podopiecznego w 3 lata po ukończeniu studiów były satysfakcjonujące (z mojego punktu widzenia)33" totalsRowDxfId="212"/>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211"/>
    <tableColumn id="90" xr3:uid="{CEEBCBE8-4DF4-40BE-ADF0-2750A2BF2609}" name="Jakie inne (poza zarobkami) efekty kształcenia na ocenianej uczelni się dostrzegasz obecnie?35" totalsRowDxfId="210"/>
    <tableColumn id="91" xr3:uid="{F1A613DC-A59A-419D-8838-D041B4273E91}" name="Jakiego rodzaju były studia, które ukończył/a Twoja/Twój podopieczna/podopieczny?36" totalsRowDxfId="209"/>
    <tableColumn id="92" xr3:uid="{E26BB465-B221-4E80-9D41-43786B72F743}" name="Pole dodatkowe37" totalsRowDxfId="208"/>
    <tableColumn id="93" xr3:uid="{12E07FC6-6ACA-44C4-A376-689F504EB460}" name="Jeśli Twoja/Twój podopieczna/podopieczny ukończył/a również inne szkoły / kierunki studiów to proszę wpisz je tutaj.38" totalsRowDxfId="207"/>
    <tableColumn id="94" xr3:uid="{4FBA703D-33E9-44C4-BD22-B3FC7B168C76}" name="Czy jesteś aktualnie pracownikiem administracyjnym uczelni wyższej?" totalsRowFunction="custom" dataDxfId="206" totalsRowDxfId="205">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204"/>
    <tableColumn id="96" xr3:uid="{43902112-5836-47AC-AA75-A65F0D4C7817}" name="Na jakim wydziale pracujesz?" totalsRowDxfId="203"/>
    <tableColumn id="97" xr3:uid="{68D4A5FB-B6F1-410C-BBCE-5D895E75D7EF}" name="Moja satysfakcja z pracy na ocenianej uczelni jest wysoka." totalsRowDxfId="202"/>
    <tableColumn id="98" xr3:uid="{097FDF01-C103-4396-9EE5-DC463D453E58}" name="Atmosfera w zespole współpracowników jest dobra." totalsRowDxfId="201"/>
    <tableColumn id="99" xr3:uid="{5B99CA3A-6D7C-4D3E-B448-2EDAF4856B42}" name="Moje zarobki są satysfakcjonujące." totalsRowDxfId="200"/>
    <tableColumn id="100" xr3:uid="{90B0699F-2BC7-4D96-9800-8B1DB165F81E}" name="Praca na ocenianej uczelni daje mi duże szanse rozwoju." totalsRowDxfId="199"/>
    <tableColumn id="101" xr3:uid="{5CB95189-87A6-4F97-B291-A05336B23F22}" name="Wartość wykształcenia zdobywanego przez studentów ocenianej uczelni jest wysoka." totalsRowDxfId="198"/>
    <tableColumn id="102" xr3:uid="{056CF7BB-B947-41A0-AC24-42A1CBCF15BD}" name="Zdobyte na ocenianej uczelni wykształcenie ma pozytywny wpływ na zwiększenie zarobków absolwentów." totalsRowDxfId="197"/>
    <tableColumn id="103" xr3:uid="{2AB65CA7-05ED-4EB7-B603-B864E6D6745F}" name="Jakie inne (poza zarobkami) efekty kształcenia na ocenianej uczelni się dostrzegasz obecnie?39" totalsRowDxfId="196"/>
    <tableColumn id="104" xr3:uid="{DC472BA3-8D88-44A6-B5C1-5BF9558627FA}" name="Czy jesteś aktualnie pracownikiem naukowym lub dydaktycznym uczelni wyższej?" totalsRowFunction="custom" dataDxfId="195" totalsRowDxfId="194">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93"/>
    <tableColumn id="106" xr3:uid="{2E39D77C-CC0F-41F1-8F10-30523EA3DE78}" name="Na jakim wydziale pracujesz?41" totalsRowDxfId="192"/>
    <tableColumn id="107" xr3:uid="{B9CFBDFF-9DC1-4556-855E-D4463D760A19}" name="Moja satysfakcja z pracy na ocenianej uczelni jest wysoka.42" totalsRowDxfId="191"/>
    <tableColumn id="108" xr3:uid="{158CA86A-249B-4193-A207-D38756E887C7}" name="Atmosfera w zespole współpracowników jest dobra.43" totalsRowDxfId="190"/>
    <tableColumn id="109" xr3:uid="{AC3090A9-EC3C-4C62-8AA9-F261EAB7887F}" name="Moje zarobki są satysfakcjonujące.44" totalsRowDxfId="189"/>
    <tableColumn id="110" xr3:uid="{9E04970F-962C-490E-A570-2D0912A5E57D}" name="Praca na ocenianej uczelni daje mi duże szanse rozwoju.45" totalsRowDxfId="188"/>
    <tableColumn id="111" xr3:uid="{C148AE52-9ADC-45EF-8DBC-27F0F1F05355}" name="Wartość wykształcenia zdobywanego przez studentów ocenianej uczelni jest wysoka.46" totalsRowDxfId="187"/>
    <tableColumn id="112" xr3:uid="{63921520-0FA3-4905-ACEB-02AFFB69B471}" name="Zdobyte na ocenianej uczelni wykształcenie ma pozytywny wpływ na zwiększenie zarobków absolwentów.47" totalsRowDxfId="186"/>
    <tableColumn id="113" xr3:uid="{E32B227A-B5B2-41A4-9CEB-B75A56696D75}" name="Jakie inne (poza zarobkami) efekty kształcenia na ocenianej uczelni dostrzegasz obecnie?48" totalsRowDxfId="185"/>
    <tableColumn id="114" xr3:uid="{98E95A67-6B14-4A2E-AB34-682AE1A049DC}" name="Czy jesteś przedstawicielem władz uczelni z grupy rektorów, prorektorów, dziekanów, prodziekanów, członków senatu lub członków rady uczelni?" totalsRowFunction="custom" dataDxfId="184" totalsRowDxfId="183">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82"/>
    <tableColumn id="116" xr3:uid="{55CD3327-D03D-49EA-AD7A-8A8492F8FF76}" name="Kolumna3" totalsRowDxfId="181"/>
    <tableColumn id="117" xr3:uid="{BF356D61-903B-4604-89F3-2B471880C5B8}" name="Kolumna4" totalsRowDxfId="180"/>
    <tableColumn id="118" xr3:uid="{7173EDEB-5382-4DCE-AA15-A72B322560D6}" name="Kolumna5" totalsRowDxfId="179"/>
    <tableColumn id="119" xr3:uid="{6200F07F-FA1F-4A3F-B8ED-B934678483AF}" name="Jak się nazywa uczelnia którą będziesz oceniać (jako przedstawiciel jej władz)?" totalsRowDxfId="178"/>
    <tableColumn id="120" xr3:uid="{E6250DE6-1A12-41F3-90EE-1B4F673F6E58}" name="Efekty działań ocenianej uczelni na rzesz jakości edukacji są dobre" totalsRowDxfId="177"/>
    <tableColumn id="121" xr3:uid="{8AE05FEE-B731-4F93-90B6-915E5774E346}" name="Wartość wykształcenia zdobywanego przez studentów na ocenianej uczelni jest wysoka." totalsRowDxfId="176"/>
    <tableColumn id="122" xr3:uid="{E115058D-8C9C-450E-8DA2-D64EB971F57D}" name="Zdobyte przez studentów ocenianej uczelni wykształcenie miało/ma pozytywny wpływ na ich zarobki." totalsRowDxfId="175"/>
    <tableColumn id="123" xr3:uid="{6FEBB446-227D-4EA1-B507-206156E53809}" name="Efekty działań ocenianej uczelni na rzecz jakości edukacji mają dobry wpływ na rozwój regionu." totalsRowDxfId="174"/>
    <tableColumn id="124" xr3:uid="{01E38E74-9E44-4BFF-97FF-3B0FF3F7CDD0}" name="Efekty działań ocenianej uczelni na rzecz jakości edukacji mają dobry wpływ na rozwój Polski." totalsRowDxfId="173"/>
    <tableColumn id="125" xr3:uid="{F17A6FA5-F0F2-48AD-B639-9161F59ACD49}" name="Współpraca ocenianej uczelni z biznesem ma pozytywne efekty dla rozwoju regionu / kraju." totalsRowDxfId="172"/>
    <tableColumn id="126" xr3:uid="{81D0BDE5-B5BD-41AD-AE49-0F05E206FF4F}" name="Ogólny poziom mojej satysfakcji z jakości usług edukacyjnych ocenianej uczelni jest wysoki." totalsRowDxfId="171"/>
    <tableColumn id="127" xr3:uid="{E1B74221-E8AC-4764-9FBA-17BC7A8DAB4F}" name="Studenci : wybierz wartość z listy rozwijanej" totalsRowDxfId="170"/>
    <tableColumn id="128" xr3:uid="{9521E128-6D78-41F6-9BED-3F1F3009376D}" name="Absolwenci : wybierz wartość z listy rozwijanej" totalsRowDxfId="169"/>
    <tableColumn id="129" xr3:uid="{F972B7F0-4237-45DD-B8D9-6E5F80BC382C}" name="Rodzice absolwentów : wybierz wartość z listy rozwijanej" totalsRowDxfId="168"/>
    <tableColumn id="130" xr3:uid="{D18127FA-4AAC-43F7-8718-648B089DA3AE}" name="Pracownicy administracyjni : wybierz wartość z listy rozwijanej" totalsRowDxfId="167"/>
    <tableColumn id="131" xr3:uid="{9AD30943-8FF3-4081-BC52-0A68F33FA1E6}" name="Pracownicy naukowi i dydaktyczni : wybierz wartość z listy rozwijanej" totalsRowDxfId="166"/>
    <tableColumn id="132" xr3:uid="{F15383FF-5030-41F2-B790-DA1B9ACCD614}" name="Pracodawcy : wybierz wartość z listy rozwijanej" totalsRowDxfId="165"/>
    <tableColumn id="133" xr3:uid="{A113041C-1CEA-48AE-A9F9-6427226B931F}" name="Władze samorządowe i centralne : wybierz wartość z listy rozwijanej" totalsRowDxfId="164"/>
    <tableColumn id="134" xr3:uid="{2391059C-06A8-4E9F-9A30-2923C913E592}" name="Pole dodatkowe4" totalsRowDxfId="163"/>
    <tableColumn id="135" xr3:uid="{87323607-8918-4675-942B-66DDA6ACC52D}" name="Studenci : wybierz wartość z listy rozwijanej5" totalsRowDxfId="162"/>
    <tableColumn id="136" xr3:uid="{575464E3-342E-4010-A0B5-F16E0DA7F25D}" name="Absolwenci : wybierz wartość z listy rozwijanej6" totalsRowDxfId="161"/>
    <tableColumn id="137" xr3:uid="{3C4E7A29-9534-46F7-9E09-353DAEA57455}" name="Rodzice absolwentów : wybierz wartość z listy rozwijanej7" totalsRowDxfId="160"/>
    <tableColumn id="138" xr3:uid="{5EFF4867-813D-4D19-AFD2-41795D704E9D}" name="Pracownicy administracyjni : wybierz wartość z listy rozwijanej8" totalsRowDxfId="159"/>
    <tableColumn id="139" xr3:uid="{BD3A3545-6744-40C8-B6F9-128B604A0016}" name="Pracownicy naukowi i dydaktyczni : wybierz wartość z listy rozwijanej9" totalsRowDxfId="158"/>
    <tableColumn id="140" xr3:uid="{A370427A-746A-432F-8439-DE3E0F05E90C}" name="Pracodawcy : wybierz wartość z listy rozwijanej10" totalsRowDxfId="157"/>
    <tableColumn id="141" xr3:uid="{A6D0879A-E0B6-4F9C-B8AB-CCB9C168853D}" name="Władze samorządowe i centralne : wybierz wartość z listy rozwijanej11" totalsRowDxfId="156"/>
    <tableColumn id="142" xr3:uid="{ED69D784-3A72-4212-8A94-FFF937BB5636}" name="Pole dodatkowe12" totalsRowDxfId="155"/>
    <tableColumn id="143" xr3:uid="{F9376235-C8DC-451D-B95A-275409F154F3}" name="Czy jesteś przedstawicielem firmy, w której są zatrudniani absolwenci uczelni wyższych (tytuł licencjata, magistra lub wyższy)?" totalsRowFunction="custom" dataDxfId="154" totalsRowDxfId="153">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52"/>
    <tableColumn id="145" xr3:uid="{FEA12265-815B-4115-947C-C4D7389958E8}" name="Ile uczelni będziesz oceniać?" totalsRowDxfId="151"/>
    <tableColumn id="146" xr3:uid="{26F5BBF0-E63C-4FC8-A2F3-F0ADC728D5E4}" name="Jak się nazywa uczelnia, którą ocenisz? " totalsRowDxfId="150"/>
    <tableColumn id="147" xr3:uid="{61714612-8B24-4377-BCF5-066C33634E6F}" name="Moja satysfakcja z (efektów) usług edukacyjnych na ocenianej uczelni jest wysoka." totalsRowDxfId="149"/>
    <tableColumn id="148" xr3:uid="{043BF385-CFC6-4AC5-BD7D-2DC21351418F}" name="Kompetencje absolwentów ocenianej uczelni są wysokie." totalsRowDxfId="148"/>
    <tableColumn id="149" xr3:uid="{35B1450E-E76E-4137-923C-C1196FE6A242}" name="Zarobki absolwentów ocenianej uczelni zatrudnionych w mojej firmie są wyższe od zarobków absolwentów innych polskich uczelni." totalsRowDxfId="147"/>
    <tableColumn id="150" xr3:uid="{46264593-E5FF-4A8E-9E32-B5CDAD83DB38}" name="Czy w Twojej firmie są zatrudniani absolwenci uczelni w pierwszym roku po ukończeniu studiów (do 12 miesięcy od uzyskania dyplomu)?" totalsRowDxfId="146"/>
    <tableColumn id="151" xr3:uid="{AFEC3724-7638-4FBB-9B74-E3C5F372DFD7}" name="Jakie kompetencje absolwentów ocenianej uczelni są w Twojej firmie najwyżej wyceniane?" totalsRowDxfId="145"/>
    <tableColumn id="152" xr3:uid="{7C41F20E-87DA-419A-A4DC-8FC7E15280E1}" name="Jakiego rodzaju prace wykonują absolwenci ocenianej uczelni w Twojej firmie?" totalsRowDxfId="144"/>
    <tableColumn id="153" xr3:uid="{A53B26E4-0EB5-4875-918F-C84DFA999490}" name="Czy będziesz oceniał drugą uczelnię?" totalsRowDxfId="143"/>
    <tableColumn id="154" xr3:uid="{C51996BB-6F72-462D-AF3A-889816D9376D}" name="Jak się nazywa uczelnia, którą ocenisz? 13" totalsRowDxfId="142"/>
    <tableColumn id="155" xr3:uid="{C4DC7D31-6CB7-4667-BEF7-8EFAA1443E26}" name="Moja satysfakcja z (efektów) usług edukacyjnych na ocenianej uczelni jest wysoka.14" totalsRowDxfId="141"/>
    <tableColumn id="156" xr3:uid="{6BE5AEB2-D87C-4FAD-8A78-12F3665EA35B}" name="Kompetencje absolwentów ocenianej uczelni są wysokie.15" totalsRowDxfId="140"/>
    <tableColumn id="157" xr3:uid="{E68B03D6-C361-4634-B98C-870BC31CEDD8}" name="Zarobki absolwentów ocenianej uczelni zatrudnionych w mojej firmie są wyższe od zarobków absolwentów innych polskich uczelni.16" totalsRowDxfId="139"/>
    <tableColumn id="158" xr3:uid="{7AE77260-6064-4321-A8D8-8F0B2D560514}" name="Czy w Twojej firmie są zatrudniani absolwenci uczelni w pierwszym roku po ukończeniu studiów (do 12 miesięcy od uzyskania dyplomu)?17" totalsRowDxfId="138"/>
    <tableColumn id="159" xr3:uid="{02179DC7-236C-405B-9717-3820DB37DCDE}" name="Jakie kompetencje absolwentów ocenianej uczelni są w Twojej firmie najwyżej wyceniane?18" totalsRowDxfId="137"/>
    <tableColumn id="160" xr3:uid="{ACD9DA00-A265-43F3-A8CD-4AB9D52D21A7}" name="Jakiego rodzaju prace wykonują absolwenci ocenianej uczelni w Twojej firmie?19" totalsRowDxfId="136"/>
    <tableColumn id="161" xr3:uid="{40C65435-9246-41B9-9D13-8617AD0D615B}" name="Czy będziesz oceniał trzecią uczelnię techniczną?" totalsRowDxfId="135"/>
    <tableColumn id="162" xr3:uid="{6D52B5AA-D38E-4A9C-9FC4-C5F27711E4B2}" name="Jak się nazywa uczelnia, którą ocenisz? 20" totalsRowDxfId="134"/>
    <tableColumn id="163" xr3:uid="{121D311A-63E4-4EF2-A0DA-FAA985067046}" name="Moja satysfakcja z (efektów) usług edukacyjnych na ocenianej uczelni jest wysoka.21" totalsRowDxfId="133"/>
    <tableColumn id="164" xr3:uid="{F282EA05-D156-4529-9BC1-8600524F81FD}" name="Kompetencje absolwentów ocenianej uczelni są wysokie.22" totalsRowDxfId="132"/>
    <tableColumn id="165" xr3:uid="{58F11C5E-414B-4C75-8CE5-1580D3F448A9}" name="Zarobki absolwentów ocenianej uczelni zatrudnionych w mojej firmie są wyższe od zarobków absolwentów innych polskich uczelni.23" totalsRowDxfId="131"/>
    <tableColumn id="166" xr3:uid="{3E1C84AB-DCF6-4B96-B25A-E3AA8A32B928}" name="Czy w Twojej firmie są zatrudniani absolwenci uczelni w pierwszym roku po ukończeniu studiów (do 12 miesięcy od uzyskania dyplomu)?24" totalsRowDxfId="130"/>
    <tableColumn id="167" xr3:uid="{4C87DA44-3851-4B6F-8471-F5B274EEF69E}" name="Jakie kompetencje absolwentów ocenianej uczelni są w Twojej firmie najwyżej wyceniane?25" totalsRowDxfId="129"/>
    <tableColumn id="168" xr3:uid="{4889D3B6-442C-490C-9642-B9781EC55E1C}" name="Jakiego rodzaju prace wykonują absolwenci ocenianej uczelni są w Twojej firmie?" totalsRowDxfId="128"/>
    <tableColumn id="169" xr3:uid="{370CF6EE-F46C-4CFF-9496-7844071DF992}" name="Czy jesteś przedstawicielem władz samorządowych lub centralnych Rzeczypospolitej Polskiej?" totalsRowFunction="custom" dataDxfId="127" totalsRowDxfId="126">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HM42"/>
  <sheetViews>
    <sheetView tabSelected="1" topLeftCell="B1" zoomScale="130" zoomScaleNormal="130" workbookViewId="0">
      <pane ySplit="2" topLeftCell="A14" activePane="bottomLeft" state="frozen"/>
      <selection activeCell="J1" sqref="J1"/>
      <selection pane="bottomLeft" activeCell="I14" sqref="I14:T14"/>
    </sheetView>
  </sheetViews>
  <sheetFormatPr defaultColWidth="8.1328125" defaultRowHeight="14.25" outlineLevelCol="1" x14ac:dyDescent="0.45"/>
  <cols>
    <col min="1" max="1" width="8.1328125" hidden="1" customWidth="1" outlineLevel="1"/>
    <col min="2" max="2" width="8.1328125" collapsed="1"/>
    <col min="3" max="3" width="8.1328125" hidden="1" customWidth="1" outlineLevel="1"/>
    <col min="4" max="5" width="5.9296875" hidden="1" customWidth="1" outlineLevel="1"/>
    <col min="6" max="6" width="8.1328125" hidden="1" customWidth="1" outlineLevel="1"/>
    <col min="7" max="7" width="8.1328125" customWidth="1" collapsed="1"/>
    <col min="8" max="9" width="12.33203125" customWidth="1"/>
    <col min="10" max="10" width="15.6640625" customWidth="1"/>
    <col min="11" max="12" width="12.33203125" customWidth="1"/>
    <col min="13" max="13" width="5.46484375" customWidth="1"/>
    <col min="14" max="18" width="16.265625" customWidth="1"/>
    <col min="19" max="19" width="19" customWidth="1"/>
    <col min="20" max="20" width="9.59765625" customWidth="1"/>
    <col min="21" max="21" width="11.796875" customWidth="1"/>
    <col min="22" max="22" width="33.1328125" hidden="1" customWidth="1" outlineLevel="1"/>
    <col min="23" max="23" width="8.1328125" hidden="1" customWidth="1" outlineLevel="1"/>
    <col min="24" max="24" width="16.1328125" hidden="1" customWidth="1" outlineLevel="1"/>
    <col min="25" max="25" width="14.59765625" hidden="1" customWidth="1" outlineLevel="1"/>
    <col min="26" max="36" width="8.1328125" hidden="1" customWidth="1" outlineLevel="1"/>
    <col min="37" max="37" width="11.796875" customWidth="1" collapsed="1"/>
    <col min="38" max="55" width="23.1328125" hidden="1" customWidth="1" outlineLevel="1"/>
    <col min="56" max="56" width="11.796875" customWidth="1" collapsed="1"/>
    <col min="57" max="57" width="8.1328125" hidden="1" customWidth="1" outlineLevel="1"/>
    <col min="58" max="101" width="26.3984375" hidden="1" customWidth="1" outlineLevel="1"/>
    <col min="102" max="102" width="11.796875" customWidth="1" collapsed="1"/>
    <col min="103" max="111" width="19.9296875" hidden="1" customWidth="1" outlineLevel="1"/>
    <col min="112" max="112" width="11.796875" customWidth="1" collapsed="1"/>
    <col min="113" max="121" width="23.33203125" hidden="1" customWidth="1" outlineLevel="1"/>
    <col min="122" max="122" width="11.796875" customWidth="1" collapsed="1"/>
    <col min="123" max="150" width="8.1328125" hidden="1" customWidth="1" outlineLevel="1"/>
    <col min="151" max="151" width="11.796875" customWidth="1" collapsed="1"/>
    <col min="152" max="176" width="8.1328125" hidden="1" customWidth="1" outlineLevel="1"/>
    <col min="177" max="177" width="11.796875" customWidth="1" collapsed="1"/>
    <col min="178" max="213" width="8.1328125" hidden="1" customWidth="1" outlineLevel="1"/>
    <col min="214" max="214" width="9.46484375" customWidth="1" collapsed="1"/>
    <col min="217" max="217" width="28.59765625" customWidth="1"/>
  </cols>
  <sheetData>
    <row r="1" spans="1:221" ht="57.75" customHeight="1" x14ac:dyDescent="0.45">
      <c r="A1" t="s">
        <v>0</v>
      </c>
      <c r="D1" t="s">
        <v>8</v>
      </c>
      <c r="E1" t="s">
        <v>9</v>
      </c>
      <c r="F1" t="s">
        <v>10</v>
      </c>
      <c r="U1" s="3" t="s">
        <v>13</v>
      </c>
      <c r="V1" t="s">
        <v>14</v>
      </c>
      <c r="W1" t="s">
        <v>15</v>
      </c>
      <c r="X1" t="s">
        <v>16</v>
      </c>
      <c r="Y1" t="s">
        <v>17</v>
      </c>
      <c r="AB1" t="s">
        <v>18</v>
      </c>
      <c r="AC1" t="s">
        <v>19</v>
      </c>
      <c r="AE1" t="s">
        <v>20</v>
      </c>
      <c r="AF1" t="s">
        <v>21</v>
      </c>
      <c r="AH1" t="s">
        <v>22</v>
      </c>
      <c r="AJ1" t="s">
        <v>23</v>
      </c>
      <c r="AK1" s="3" t="s">
        <v>24</v>
      </c>
      <c r="AL1" t="s">
        <v>25</v>
      </c>
      <c r="AN1" t="s">
        <v>26</v>
      </c>
      <c r="AO1" t="s">
        <v>27</v>
      </c>
      <c r="AP1" t="s">
        <v>28</v>
      </c>
      <c r="AQ1" t="s">
        <v>17</v>
      </c>
      <c r="AV1" t="s">
        <v>29</v>
      </c>
      <c r="AW1" t="s">
        <v>30</v>
      </c>
      <c r="AY1" t="s">
        <v>31</v>
      </c>
      <c r="AZ1" t="s">
        <v>32</v>
      </c>
      <c r="BB1" t="s">
        <v>33</v>
      </c>
      <c r="BD1" s="3" t="s">
        <v>34</v>
      </c>
      <c r="BE1" t="s">
        <v>35</v>
      </c>
      <c r="BF1" t="s">
        <v>36</v>
      </c>
      <c r="BG1" t="s">
        <v>37</v>
      </c>
      <c r="BH1" t="s">
        <v>38</v>
      </c>
      <c r="BI1" t="s">
        <v>39</v>
      </c>
      <c r="BJ1" t="s">
        <v>17</v>
      </c>
      <c r="BO1" t="s">
        <v>40</v>
      </c>
      <c r="BP1" t="s">
        <v>41</v>
      </c>
      <c r="BQ1" t="s">
        <v>42</v>
      </c>
      <c r="BS1" t="s">
        <v>43</v>
      </c>
      <c r="BT1" t="s">
        <v>44</v>
      </c>
      <c r="BU1" t="s">
        <v>36</v>
      </c>
      <c r="BV1" t="s">
        <v>37</v>
      </c>
      <c r="BW1" t="s">
        <v>38</v>
      </c>
      <c r="BX1" t="s">
        <v>39</v>
      </c>
      <c r="BY1" t="s">
        <v>17</v>
      </c>
      <c r="CD1" t="s">
        <v>40</v>
      </c>
      <c r="CE1" t="s">
        <v>41</v>
      </c>
      <c r="CF1" t="s">
        <v>42</v>
      </c>
      <c r="CH1" t="s">
        <v>43</v>
      </c>
      <c r="CI1" t="s">
        <v>45</v>
      </c>
      <c r="CJ1" t="s">
        <v>36</v>
      </c>
      <c r="CK1" t="s">
        <v>37</v>
      </c>
      <c r="CL1" t="s">
        <v>38</v>
      </c>
      <c r="CM1" t="s">
        <v>39</v>
      </c>
      <c r="CN1" t="s">
        <v>17</v>
      </c>
      <c r="CS1" t="s">
        <v>40</v>
      </c>
      <c r="CT1" t="s">
        <v>41</v>
      </c>
      <c r="CU1" t="s">
        <v>42</v>
      </c>
      <c r="CW1" t="s">
        <v>43</v>
      </c>
      <c r="CX1" s="3" t="s">
        <v>46</v>
      </c>
      <c r="CY1" t="s">
        <v>47</v>
      </c>
      <c r="CZ1" t="s">
        <v>48</v>
      </c>
      <c r="DA1" t="s">
        <v>17</v>
      </c>
      <c r="DG1" t="s">
        <v>41</v>
      </c>
      <c r="DH1" s="3" t="s">
        <v>49</v>
      </c>
      <c r="DI1" t="s">
        <v>47</v>
      </c>
      <c r="DJ1" t="s">
        <v>48</v>
      </c>
      <c r="DK1" t="s">
        <v>17</v>
      </c>
      <c r="DQ1" t="s">
        <v>31</v>
      </c>
      <c r="DR1" s="3" t="s">
        <v>50</v>
      </c>
      <c r="DS1" t="s">
        <v>51</v>
      </c>
      <c r="DW1" t="s">
        <v>52</v>
      </c>
      <c r="DX1" t="s">
        <v>17</v>
      </c>
      <c r="EE1" t="s">
        <v>53</v>
      </c>
      <c r="EM1" t="s">
        <v>54</v>
      </c>
      <c r="EU1" s="3" t="s">
        <v>55</v>
      </c>
      <c r="EV1" t="s">
        <v>56</v>
      </c>
      <c r="EW1" t="s">
        <v>57</v>
      </c>
      <c r="EX1" t="s">
        <v>58</v>
      </c>
      <c r="EY1" t="s">
        <v>17</v>
      </c>
      <c r="FB1" t="s">
        <v>59</v>
      </c>
      <c r="FC1" t="s">
        <v>60</v>
      </c>
      <c r="FD1" t="s">
        <v>61</v>
      </c>
      <c r="FE1" t="s">
        <v>62</v>
      </c>
      <c r="FF1" t="s">
        <v>58</v>
      </c>
      <c r="FG1" t="s">
        <v>17</v>
      </c>
      <c r="FJ1" t="s">
        <v>59</v>
      </c>
      <c r="FK1" t="s">
        <v>60</v>
      </c>
      <c r="FL1" t="s">
        <v>61</v>
      </c>
      <c r="FM1" t="s">
        <v>63</v>
      </c>
      <c r="FN1" t="s">
        <v>58</v>
      </c>
      <c r="FO1" t="s">
        <v>17</v>
      </c>
      <c r="FR1" t="s">
        <v>59</v>
      </c>
      <c r="FS1" t="s">
        <v>60</v>
      </c>
      <c r="FT1" t="s">
        <v>64</v>
      </c>
      <c r="FU1" s="3" t="s">
        <v>65</v>
      </c>
      <c r="FV1" t="s">
        <v>66</v>
      </c>
      <c r="FW1" t="s">
        <v>67</v>
      </c>
      <c r="FX1" t="s">
        <v>57</v>
      </c>
      <c r="FY1" t="s">
        <v>68</v>
      </c>
      <c r="FZ1" t="s">
        <v>17</v>
      </c>
      <c r="GH1" t="s">
        <v>69</v>
      </c>
      <c r="GI1" t="s">
        <v>70</v>
      </c>
      <c r="GJ1" t="s">
        <v>68</v>
      </c>
      <c r="GK1" t="s">
        <v>17</v>
      </c>
      <c r="GR1" t="s">
        <v>71</v>
      </c>
      <c r="GS1" t="s">
        <v>72</v>
      </c>
      <c r="GT1" t="s">
        <v>68</v>
      </c>
      <c r="GU1" t="s">
        <v>17</v>
      </c>
      <c r="HB1" t="s">
        <v>71</v>
      </c>
      <c r="HC1" t="s">
        <v>73</v>
      </c>
      <c r="HF1" t="s">
        <v>74</v>
      </c>
      <c r="HG1" t="s">
        <v>75</v>
      </c>
      <c r="HI1" t="s">
        <v>76</v>
      </c>
      <c r="HK1" t="s">
        <v>77</v>
      </c>
      <c r="HL1" t="s">
        <v>78</v>
      </c>
      <c r="HM1" t="s">
        <v>79</v>
      </c>
    </row>
    <row r="2" spans="1:221" ht="114" x14ac:dyDescent="0.45">
      <c r="A2" t="s">
        <v>0</v>
      </c>
      <c r="B2" t="s">
        <v>2264</v>
      </c>
      <c r="C2" t="s">
        <v>2267</v>
      </c>
      <c r="D2" t="s">
        <v>8</v>
      </c>
      <c r="E2" t="s">
        <v>9</v>
      </c>
      <c r="F2" t="s">
        <v>10</v>
      </c>
      <c r="G2" t="s">
        <v>2447</v>
      </c>
      <c r="H2" s="20" t="s">
        <v>2454</v>
      </c>
      <c r="I2" s="58" t="s">
        <v>2500</v>
      </c>
      <c r="J2" s="58" t="s">
        <v>2499</v>
      </c>
      <c r="K2" s="58" t="s">
        <v>2498</v>
      </c>
      <c r="L2" s="58" t="s">
        <v>2497</v>
      </c>
      <c r="M2" s="58" t="s">
        <v>2496</v>
      </c>
      <c r="N2" s="58" t="s">
        <v>2494</v>
      </c>
      <c r="O2" s="58" t="s">
        <v>2495</v>
      </c>
      <c r="P2" s="58" t="s">
        <v>2493</v>
      </c>
      <c r="Q2" s="58" t="s">
        <v>2490</v>
      </c>
      <c r="R2" s="58" t="s">
        <v>2491</v>
      </c>
      <c r="S2" s="58" t="s">
        <v>2492</v>
      </c>
      <c r="T2" s="58" t="s">
        <v>2489</v>
      </c>
      <c r="U2" s="1" t="s">
        <v>13</v>
      </c>
      <c r="V2" t="s">
        <v>14</v>
      </c>
      <c r="W2" t="s">
        <v>15</v>
      </c>
      <c r="X2" t="s">
        <v>16</v>
      </c>
      <c r="Y2" t="s">
        <v>80</v>
      </c>
      <c r="Z2" t="s">
        <v>81</v>
      </c>
      <c r="AA2" t="s">
        <v>82</v>
      </c>
      <c r="AB2" t="s">
        <v>2065</v>
      </c>
      <c r="AC2" t="s">
        <v>83</v>
      </c>
      <c r="AD2" t="s">
        <v>84</v>
      </c>
      <c r="AE2" t="s">
        <v>20</v>
      </c>
      <c r="AF2" t="s">
        <v>2265</v>
      </c>
      <c r="AG2" t="s">
        <v>2266</v>
      </c>
      <c r="AH2" t="s">
        <v>22</v>
      </c>
      <c r="AI2" t="s">
        <v>85</v>
      </c>
      <c r="AJ2" t="s">
        <v>23</v>
      </c>
      <c r="AK2" s="1" t="s">
        <v>24</v>
      </c>
      <c r="AL2" t="s">
        <v>25</v>
      </c>
      <c r="AM2" s="20" t="s">
        <v>2325</v>
      </c>
      <c r="AN2" t="s">
        <v>26</v>
      </c>
      <c r="AO2" t="s">
        <v>27</v>
      </c>
      <c r="AP2" t="s">
        <v>28</v>
      </c>
      <c r="AQ2" t="s">
        <v>86</v>
      </c>
      <c r="AR2" t="s">
        <v>2071</v>
      </c>
      <c r="AS2" t="s">
        <v>87</v>
      </c>
      <c r="AT2" t="s">
        <v>88</v>
      </c>
      <c r="AU2" t="s">
        <v>89</v>
      </c>
      <c r="AV2" t="s">
        <v>29</v>
      </c>
      <c r="AW2" t="s">
        <v>2072</v>
      </c>
      <c r="AX2" t="s">
        <v>2073</v>
      </c>
      <c r="AY2" t="s">
        <v>31</v>
      </c>
      <c r="AZ2" t="s">
        <v>32</v>
      </c>
      <c r="BA2" t="s">
        <v>2070</v>
      </c>
      <c r="BB2" t="s">
        <v>33</v>
      </c>
      <c r="BC2" t="s">
        <v>2074</v>
      </c>
      <c r="BD2" s="1" t="s">
        <v>34</v>
      </c>
      <c r="BE2" t="s">
        <v>35</v>
      </c>
      <c r="BF2" t="s">
        <v>36</v>
      </c>
      <c r="BG2" t="s">
        <v>37</v>
      </c>
      <c r="BH2" t="s">
        <v>38</v>
      </c>
      <c r="BI2" t="s">
        <v>39</v>
      </c>
      <c r="BJ2" s="20" t="s">
        <v>2075</v>
      </c>
      <c r="BK2" t="s">
        <v>2076</v>
      </c>
      <c r="BL2" t="s">
        <v>90</v>
      </c>
      <c r="BM2" t="s">
        <v>91</v>
      </c>
      <c r="BN2" t="s">
        <v>92</v>
      </c>
      <c r="BO2" t="s">
        <v>40</v>
      </c>
      <c r="BP2" t="s">
        <v>41</v>
      </c>
      <c r="BQ2" t="s">
        <v>42</v>
      </c>
      <c r="BR2" t="s">
        <v>2077</v>
      </c>
      <c r="BS2" t="s">
        <v>43</v>
      </c>
      <c r="BT2" t="s">
        <v>44</v>
      </c>
      <c r="BU2" t="s">
        <v>2078</v>
      </c>
      <c r="BV2" t="s">
        <v>2079</v>
      </c>
      <c r="BW2" t="s">
        <v>2080</v>
      </c>
      <c r="BX2" t="s">
        <v>2081</v>
      </c>
      <c r="BY2" t="s">
        <v>2082</v>
      </c>
      <c r="BZ2" t="s">
        <v>2083</v>
      </c>
      <c r="CA2" t="s">
        <v>2084</v>
      </c>
      <c r="CB2" t="s">
        <v>2085</v>
      </c>
      <c r="CC2" t="s">
        <v>2086</v>
      </c>
      <c r="CD2" t="s">
        <v>2087</v>
      </c>
      <c r="CE2" t="s">
        <v>2088</v>
      </c>
      <c r="CF2" t="s">
        <v>2089</v>
      </c>
      <c r="CG2" t="s">
        <v>2090</v>
      </c>
      <c r="CH2" t="s">
        <v>2091</v>
      </c>
      <c r="CI2" t="s">
        <v>45</v>
      </c>
      <c r="CJ2" t="s">
        <v>2092</v>
      </c>
      <c r="CK2" t="s">
        <v>2093</v>
      </c>
      <c r="CL2" t="s">
        <v>2094</v>
      </c>
      <c r="CM2" t="s">
        <v>2095</v>
      </c>
      <c r="CN2" t="s">
        <v>2096</v>
      </c>
      <c r="CO2" t="s">
        <v>2097</v>
      </c>
      <c r="CP2" t="s">
        <v>2098</v>
      </c>
      <c r="CQ2" t="s">
        <v>2099</v>
      </c>
      <c r="CR2" t="s">
        <v>2100</v>
      </c>
      <c r="CS2" t="s">
        <v>2101</v>
      </c>
      <c r="CT2" t="s">
        <v>2102</v>
      </c>
      <c r="CU2" t="s">
        <v>2103</v>
      </c>
      <c r="CV2" t="s">
        <v>2104</v>
      </c>
      <c r="CW2" t="s">
        <v>2105</v>
      </c>
      <c r="CX2" s="1" t="s">
        <v>46</v>
      </c>
      <c r="CY2" t="s">
        <v>47</v>
      </c>
      <c r="CZ2" t="s">
        <v>48</v>
      </c>
      <c r="DA2" t="s">
        <v>93</v>
      </c>
      <c r="DB2" t="s">
        <v>94</v>
      </c>
      <c r="DC2" s="20" t="s">
        <v>95</v>
      </c>
      <c r="DD2" s="20" t="s">
        <v>96</v>
      </c>
      <c r="DE2" t="s">
        <v>97</v>
      </c>
      <c r="DF2" t="s">
        <v>98</v>
      </c>
      <c r="DG2" t="s">
        <v>2106</v>
      </c>
      <c r="DH2" s="1" t="s">
        <v>49</v>
      </c>
      <c r="DI2" t="s">
        <v>2107</v>
      </c>
      <c r="DJ2" t="s">
        <v>2108</v>
      </c>
      <c r="DK2" t="s">
        <v>2109</v>
      </c>
      <c r="DL2" s="20" t="s">
        <v>2110</v>
      </c>
      <c r="DM2" s="20" t="s">
        <v>2111</v>
      </c>
      <c r="DN2" s="20" t="s">
        <v>2112</v>
      </c>
      <c r="DO2" s="20" t="s">
        <v>2113</v>
      </c>
      <c r="DP2" t="s">
        <v>2114</v>
      </c>
      <c r="DQ2" t="s">
        <v>2115</v>
      </c>
      <c r="DR2" s="1" t="s">
        <v>50</v>
      </c>
      <c r="DS2" t="s">
        <v>51</v>
      </c>
      <c r="DT2" t="s">
        <v>2067</v>
      </c>
      <c r="DU2" t="s">
        <v>2068</v>
      </c>
      <c r="DV2" t="s">
        <v>2069</v>
      </c>
      <c r="DW2" t="s">
        <v>52</v>
      </c>
      <c r="DX2" s="20" t="s">
        <v>99</v>
      </c>
      <c r="DY2" s="20" t="s">
        <v>100</v>
      </c>
      <c r="DZ2" s="20" t="s">
        <v>101</v>
      </c>
      <c r="EA2" t="s">
        <v>102</v>
      </c>
      <c r="EB2" t="s">
        <v>103</v>
      </c>
      <c r="EC2" s="20" t="s">
        <v>104</v>
      </c>
      <c r="ED2" s="20" t="s">
        <v>105</v>
      </c>
      <c r="EE2" t="s">
        <v>106</v>
      </c>
      <c r="EF2" t="s">
        <v>107</v>
      </c>
      <c r="EG2" t="s">
        <v>108</v>
      </c>
      <c r="EH2" t="s">
        <v>109</v>
      </c>
      <c r="EI2" t="s">
        <v>110</v>
      </c>
      <c r="EJ2" t="s">
        <v>111</v>
      </c>
      <c r="EK2" t="s">
        <v>112</v>
      </c>
      <c r="EL2" t="s">
        <v>2116</v>
      </c>
      <c r="EM2" t="s">
        <v>2117</v>
      </c>
      <c r="EN2" t="s">
        <v>2118</v>
      </c>
      <c r="EO2" t="s">
        <v>2119</v>
      </c>
      <c r="EP2" t="s">
        <v>2120</v>
      </c>
      <c r="EQ2" t="s">
        <v>2121</v>
      </c>
      <c r="ER2" t="s">
        <v>2122</v>
      </c>
      <c r="ES2" t="s">
        <v>2123</v>
      </c>
      <c r="ET2" t="s">
        <v>2124</v>
      </c>
      <c r="EU2" s="1" t="s">
        <v>55</v>
      </c>
      <c r="EV2" t="s">
        <v>56</v>
      </c>
      <c r="EW2" t="s">
        <v>57</v>
      </c>
      <c r="EX2" t="s">
        <v>58</v>
      </c>
      <c r="EY2" s="20" t="s">
        <v>113</v>
      </c>
      <c r="EZ2" t="s">
        <v>114</v>
      </c>
      <c r="FA2" t="s">
        <v>115</v>
      </c>
      <c r="FB2" t="s">
        <v>59</v>
      </c>
      <c r="FC2" t="s">
        <v>60</v>
      </c>
      <c r="FD2" t="s">
        <v>61</v>
      </c>
      <c r="FE2" t="s">
        <v>62</v>
      </c>
      <c r="FF2" t="s">
        <v>2125</v>
      </c>
      <c r="FG2" t="s">
        <v>2126</v>
      </c>
      <c r="FH2" t="s">
        <v>2127</v>
      </c>
      <c r="FI2" t="s">
        <v>2128</v>
      </c>
      <c r="FJ2" t="s">
        <v>2129</v>
      </c>
      <c r="FK2" t="s">
        <v>2130</v>
      </c>
      <c r="FL2" t="s">
        <v>2131</v>
      </c>
      <c r="FM2" t="s">
        <v>63</v>
      </c>
      <c r="FN2" t="s">
        <v>2132</v>
      </c>
      <c r="FO2" t="s">
        <v>2133</v>
      </c>
      <c r="FP2" t="s">
        <v>2134</v>
      </c>
      <c r="FQ2" t="s">
        <v>2135</v>
      </c>
      <c r="FR2" t="s">
        <v>2136</v>
      </c>
      <c r="FS2" t="s">
        <v>2137</v>
      </c>
      <c r="FT2" t="s">
        <v>64</v>
      </c>
      <c r="FU2" s="1" t="s">
        <v>65</v>
      </c>
      <c r="FV2" t="s">
        <v>66</v>
      </c>
      <c r="FW2" t="s">
        <v>67</v>
      </c>
      <c r="FX2" t="s">
        <v>2138</v>
      </c>
      <c r="FY2" t="s">
        <v>68</v>
      </c>
      <c r="FZ2" s="20" t="s">
        <v>116</v>
      </c>
      <c r="GA2" t="s">
        <v>2139</v>
      </c>
      <c r="GB2" t="s">
        <v>2140</v>
      </c>
      <c r="GC2" t="s">
        <v>2141</v>
      </c>
      <c r="GD2" t="s">
        <v>2142</v>
      </c>
      <c r="GE2" t="s">
        <v>2143</v>
      </c>
      <c r="GF2" t="s">
        <v>2144</v>
      </c>
      <c r="GG2" t="s">
        <v>2145</v>
      </c>
      <c r="GH2" t="s">
        <v>69</v>
      </c>
      <c r="GI2" t="s">
        <v>70</v>
      </c>
      <c r="GJ2" t="s">
        <v>2146</v>
      </c>
      <c r="GK2" t="s">
        <v>2147</v>
      </c>
      <c r="GL2" t="s">
        <v>2148</v>
      </c>
      <c r="GM2" t="s">
        <v>2149</v>
      </c>
      <c r="GN2" t="s">
        <v>2150</v>
      </c>
      <c r="GO2" t="s">
        <v>2151</v>
      </c>
      <c r="GP2" t="s">
        <v>2152</v>
      </c>
      <c r="GQ2" t="s">
        <v>2153</v>
      </c>
      <c r="GR2" t="s">
        <v>71</v>
      </c>
      <c r="GS2" t="s">
        <v>72</v>
      </c>
      <c r="GT2" t="s">
        <v>2154</v>
      </c>
      <c r="GU2" t="s">
        <v>2155</v>
      </c>
      <c r="GV2" t="s">
        <v>2156</v>
      </c>
      <c r="GW2" t="s">
        <v>2157</v>
      </c>
      <c r="GX2" t="s">
        <v>2158</v>
      </c>
      <c r="GY2" t="s">
        <v>2159</v>
      </c>
      <c r="GZ2" t="s">
        <v>2160</v>
      </c>
      <c r="HA2" t="s">
        <v>2161</v>
      </c>
      <c r="HB2" t="s">
        <v>2162</v>
      </c>
      <c r="HC2" t="s">
        <v>73</v>
      </c>
      <c r="HD2" t="s">
        <v>2163</v>
      </c>
      <c r="HE2" t="s">
        <v>2164</v>
      </c>
      <c r="HF2" t="s">
        <v>74</v>
      </c>
      <c r="HG2" t="s">
        <v>75</v>
      </c>
      <c r="HH2" s="20" t="s">
        <v>2316</v>
      </c>
      <c r="HI2" t="s">
        <v>76</v>
      </c>
      <c r="HJ2" t="s">
        <v>2165</v>
      </c>
      <c r="HK2" t="s">
        <v>77</v>
      </c>
      <c r="HL2" t="s">
        <v>78</v>
      </c>
      <c r="HM2" t="s">
        <v>79</v>
      </c>
    </row>
    <row r="3" spans="1:221" x14ac:dyDescent="0.45">
      <c r="A3">
        <v>2</v>
      </c>
      <c r="B3">
        <f>_xlfn.IFNA(VLOOKUP(AnalizaCzyste[[#This Row],[Zakończono wypełnianie]],Zakończone[],2,0),"BRAK")</f>
        <v>2</v>
      </c>
      <c r="C3">
        <f>COUNTA(U3:HM3)</f>
        <v>96</v>
      </c>
      <c r="D3" t="s">
        <v>145</v>
      </c>
      <c r="E3" t="s">
        <v>146</v>
      </c>
      <c r="F3">
        <v>1573</v>
      </c>
      <c r="G3" s="20" t="s">
        <v>2292</v>
      </c>
      <c r="H3" s="20" t="s">
        <v>2481</v>
      </c>
      <c r="I3" s="60"/>
      <c r="J3" s="55" t="s">
        <v>2529</v>
      </c>
      <c r="K3" s="55" t="s">
        <v>2528</v>
      </c>
      <c r="L3" s="55" t="s">
        <v>2527</v>
      </c>
      <c r="M3" s="55" t="s">
        <v>2508</v>
      </c>
      <c r="N3" s="55" t="s">
        <v>2525</v>
      </c>
      <c r="O3" s="55" t="s">
        <v>2524</v>
      </c>
      <c r="P3" s="55" t="s">
        <v>2526</v>
      </c>
      <c r="Q3" s="55" t="s">
        <v>2523</v>
      </c>
      <c r="R3" s="55" t="s">
        <v>2522</v>
      </c>
      <c r="S3" s="55" t="s">
        <v>2521</v>
      </c>
      <c r="T3" s="55" t="s">
        <v>2520</v>
      </c>
      <c r="U3" s="1" t="s">
        <v>123</v>
      </c>
      <c r="AK3" s="56" t="s">
        <v>124</v>
      </c>
      <c r="AL3" t="s">
        <v>234</v>
      </c>
      <c r="AM3" t="str">
        <f>VLOOKUP(AnalizaCzyste[[#This Row],[Jak się nazywa uczelnia którą ukończyłeś? (proszę o wybranie jednej uczelni podlegającej ocenie)]],KategorieUczelni[],2,0)</f>
        <v>Publiczna</v>
      </c>
      <c r="AN3">
        <v>1986</v>
      </c>
      <c r="AO3" t="s">
        <v>148</v>
      </c>
      <c r="AP3" t="s">
        <v>149</v>
      </c>
      <c r="AQ3" t="s">
        <v>150</v>
      </c>
      <c r="AR3" t="s">
        <v>150</v>
      </c>
      <c r="AS3" t="s">
        <v>150</v>
      </c>
      <c r="AT3" t="s">
        <v>151</v>
      </c>
      <c r="AU3" t="s">
        <v>150</v>
      </c>
      <c r="AV3">
        <v>3</v>
      </c>
      <c r="AW3" t="s">
        <v>152</v>
      </c>
      <c r="AX3" t="s">
        <v>153</v>
      </c>
      <c r="AY3" t="s">
        <v>154</v>
      </c>
      <c r="AZ3" t="s">
        <v>155</v>
      </c>
      <c r="BA3" t="s">
        <v>156</v>
      </c>
      <c r="BB3" t="s">
        <v>157</v>
      </c>
      <c r="BC3" t="s">
        <v>158</v>
      </c>
      <c r="BD3" s="56" t="s">
        <v>159</v>
      </c>
      <c r="BE3">
        <v>2</v>
      </c>
      <c r="BF3" t="s">
        <v>160</v>
      </c>
      <c r="BG3">
        <v>2013</v>
      </c>
      <c r="BH3" t="s">
        <v>148</v>
      </c>
      <c r="BI3" t="s">
        <v>161</v>
      </c>
      <c r="BJ3" t="s">
        <v>162</v>
      </c>
      <c r="BK3" t="s">
        <v>150</v>
      </c>
      <c r="BL3" t="s">
        <v>150</v>
      </c>
      <c r="BM3" t="s">
        <v>150</v>
      </c>
      <c r="BN3" t="s">
        <v>150</v>
      </c>
      <c r="BO3" t="s">
        <v>163</v>
      </c>
      <c r="BP3" t="s">
        <v>164</v>
      </c>
      <c r="BQ3" t="s">
        <v>157</v>
      </c>
      <c r="BS3" t="s">
        <v>165</v>
      </c>
      <c r="BT3" t="s">
        <v>166</v>
      </c>
      <c r="BU3" t="s">
        <v>167</v>
      </c>
      <c r="BV3">
        <v>2015</v>
      </c>
      <c r="BW3" t="s">
        <v>148</v>
      </c>
      <c r="BX3" t="s">
        <v>168</v>
      </c>
      <c r="BY3" t="s">
        <v>150</v>
      </c>
      <c r="BZ3" t="s">
        <v>169</v>
      </c>
      <c r="CA3" t="s">
        <v>150</v>
      </c>
      <c r="CB3" t="s">
        <v>150</v>
      </c>
      <c r="CC3" t="s">
        <v>150</v>
      </c>
      <c r="CD3" t="s">
        <v>170</v>
      </c>
      <c r="CE3" t="s">
        <v>171</v>
      </c>
      <c r="CF3" t="s">
        <v>172</v>
      </c>
      <c r="CI3" t="s">
        <v>173</v>
      </c>
      <c r="CX3" s="1" t="s">
        <v>123</v>
      </c>
      <c r="DH3" s="1" t="s">
        <v>123</v>
      </c>
      <c r="DR3" s="56" t="s">
        <v>174</v>
      </c>
      <c r="DV3" t="s">
        <v>175</v>
      </c>
      <c r="DW3" t="s">
        <v>176</v>
      </c>
      <c r="DX3" t="s">
        <v>162</v>
      </c>
      <c r="DY3" t="s">
        <v>150</v>
      </c>
      <c r="DZ3" t="s">
        <v>151</v>
      </c>
      <c r="EA3" t="s">
        <v>151</v>
      </c>
      <c r="EB3" t="s">
        <v>162</v>
      </c>
      <c r="EC3" t="s">
        <v>162</v>
      </c>
      <c r="ED3" t="s">
        <v>150</v>
      </c>
      <c r="EE3">
        <v>25</v>
      </c>
      <c r="EF3">
        <v>25</v>
      </c>
      <c r="EG3">
        <v>2</v>
      </c>
      <c r="EH3">
        <v>5</v>
      </c>
      <c r="EI3">
        <v>8</v>
      </c>
      <c r="EJ3">
        <v>25</v>
      </c>
      <c r="EK3">
        <v>10</v>
      </c>
      <c r="EM3">
        <v>20</v>
      </c>
      <c r="EN3">
        <v>20</v>
      </c>
      <c r="EO3">
        <v>1</v>
      </c>
      <c r="EP3">
        <v>4</v>
      </c>
      <c r="EQ3">
        <v>25</v>
      </c>
      <c r="ER3">
        <v>25</v>
      </c>
      <c r="ES3">
        <v>5</v>
      </c>
      <c r="EU3" s="56" t="s">
        <v>177</v>
      </c>
      <c r="EV3" t="s">
        <v>178</v>
      </c>
      <c r="EW3">
        <v>1</v>
      </c>
      <c r="EX3" t="s">
        <v>179</v>
      </c>
      <c r="EY3" t="s">
        <v>150</v>
      </c>
      <c r="EZ3" t="s">
        <v>150</v>
      </c>
      <c r="FA3" t="s">
        <v>151</v>
      </c>
      <c r="FB3" t="s">
        <v>180</v>
      </c>
      <c r="FC3" t="s">
        <v>181</v>
      </c>
      <c r="FD3" t="s">
        <v>182</v>
      </c>
      <c r="FE3" t="s">
        <v>173</v>
      </c>
      <c r="FU3" s="1" t="s">
        <v>123</v>
      </c>
      <c r="FV3" t="s">
        <v>132</v>
      </c>
      <c r="HC3" t="s">
        <v>183</v>
      </c>
      <c r="HD3" t="s">
        <v>184</v>
      </c>
      <c r="HE3" t="s">
        <v>185</v>
      </c>
      <c r="HF3" t="s">
        <v>186</v>
      </c>
      <c r="HG3">
        <v>1961</v>
      </c>
      <c r="HH3" t="str">
        <f>VLOOKUP(AnalizaCzyste[[#This Row],[Rok urodzenia]],KategorieWiekowe[],2,1)</f>
        <v>56–65 lat</v>
      </c>
      <c r="HI3" t="s">
        <v>141</v>
      </c>
      <c r="HK3" t="s">
        <v>187</v>
      </c>
    </row>
    <row r="4" spans="1:221" x14ac:dyDescent="0.45">
      <c r="A4">
        <v>5</v>
      </c>
      <c r="B4" s="62">
        <f>_xlfn.IFNA(VLOOKUP(AnalizaCzyste[[#This Row],[Zakończono wypełnianie]],Zakończone[],2,0),"BRAK")</f>
        <v>5</v>
      </c>
      <c r="C4" s="62">
        <f>COUNTA(U4:HM4)</f>
        <v>84</v>
      </c>
      <c r="D4" s="62" t="s">
        <v>221</v>
      </c>
      <c r="E4" s="62" t="s">
        <v>222</v>
      </c>
      <c r="F4" s="62">
        <v>1659</v>
      </c>
      <c r="G4" s="59" t="s">
        <v>2292</v>
      </c>
      <c r="H4" s="59" t="s">
        <v>2473</v>
      </c>
      <c r="I4" s="55"/>
      <c r="J4" s="55" t="s">
        <v>2538</v>
      </c>
      <c r="K4" s="55" t="s">
        <v>2537</v>
      </c>
      <c r="L4" s="55" t="s">
        <v>2536</v>
      </c>
      <c r="M4" s="55" t="s">
        <v>2508</v>
      </c>
      <c r="N4" s="55" t="s">
        <v>2535</v>
      </c>
      <c r="O4" s="55" t="s">
        <v>2534</v>
      </c>
      <c r="P4" s="55" t="s">
        <v>2558</v>
      </c>
      <c r="Q4" s="55" t="s">
        <v>2533</v>
      </c>
      <c r="R4" s="55" t="s">
        <v>2532</v>
      </c>
      <c r="S4" s="55" t="s">
        <v>2531</v>
      </c>
      <c r="T4" s="59" t="s">
        <v>2530</v>
      </c>
      <c r="U4" s="1" t="s">
        <v>123</v>
      </c>
      <c r="AK4" s="56" t="s">
        <v>124</v>
      </c>
      <c r="AL4" t="s">
        <v>223</v>
      </c>
      <c r="AM4" t="str">
        <f>VLOOKUP(AnalizaCzyste[[#This Row],[Jak się nazywa uczelnia którą ukończyłeś? (proszę o wybranie jednej uczelni podlegającej ocenie)]],KategorieUczelni[],2,0)</f>
        <v>Publiczna</v>
      </c>
      <c r="AN4">
        <v>1999</v>
      </c>
      <c r="AO4" t="s">
        <v>148</v>
      </c>
      <c r="AP4" t="s">
        <v>224</v>
      </c>
      <c r="AQ4" t="s">
        <v>162</v>
      </c>
      <c r="AR4" t="s">
        <v>162</v>
      </c>
      <c r="AS4" t="s">
        <v>150</v>
      </c>
      <c r="AT4" t="s">
        <v>150</v>
      </c>
      <c r="AU4" t="s">
        <v>169</v>
      </c>
      <c r="AV4" t="s">
        <v>225</v>
      </c>
      <c r="AW4" t="s">
        <v>153</v>
      </c>
      <c r="AX4" t="s">
        <v>226</v>
      </c>
      <c r="AY4" t="s">
        <v>227</v>
      </c>
      <c r="AZ4" t="s">
        <v>228</v>
      </c>
      <c r="BA4" t="s">
        <v>229</v>
      </c>
      <c r="BB4" t="s">
        <v>230</v>
      </c>
      <c r="BD4" s="56" t="s">
        <v>159</v>
      </c>
      <c r="BE4">
        <v>3</v>
      </c>
      <c r="BF4" t="s">
        <v>191</v>
      </c>
      <c r="BG4">
        <v>2011</v>
      </c>
      <c r="BH4" t="s">
        <v>126</v>
      </c>
      <c r="BI4" t="s">
        <v>2273</v>
      </c>
      <c r="BJ4" t="s">
        <v>169</v>
      </c>
      <c r="BK4" t="s">
        <v>169</v>
      </c>
      <c r="BL4" t="s">
        <v>150</v>
      </c>
      <c r="BM4" t="s">
        <v>162</v>
      </c>
      <c r="BN4" t="s">
        <v>150</v>
      </c>
      <c r="BO4">
        <v>1</v>
      </c>
      <c r="BP4" t="s">
        <v>232</v>
      </c>
      <c r="BQ4" t="s">
        <v>157</v>
      </c>
      <c r="BS4" t="s">
        <v>233</v>
      </c>
      <c r="BT4" t="s">
        <v>166</v>
      </c>
      <c r="BU4" t="s">
        <v>234</v>
      </c>
      <c r="BV4">
        <v>2011</v>
      </c>
      <c r="BW4" t="s">
        <v>148</v>
      </c>
      <c r="BX4" t="s">
        <v>235</v>
      </c>
      <c r="BY4" t="s">
        <v>151</v>
      </c>
      <c r="BZ4" t="s">
        <v>128</v>
      </c>
      <c r="CA4" t="s">
        <v>236</v>
      </c>
      <c r="CB4" t="s">
        <v>128</v>
      </c>
      <c r="CC4" t="s">
        <v>162</v>
      </c>
      <c r="CD4" t="s">
        <v>237</v>
      </c>
      <c r="CF4" t="s">
        <v>172</v>
      </c>
      <c r="CH4" t="s">
        <v>233</v>
      </c>
      <c r="CI4" t="s">
        <v>238</v>
      </c>
      <c r="CJ4" t="s">
        <v>223</v>
      </c>
      <c r="CK4">
        <v>2016</v>
      </c>
      <c r="CL4" t="s">
        <v>148</v>
      </c>
      <c r="CM4" t="s">
        <v>239</v>
      </c>
      <c r="CN4" t="s">
        <v>169</v>
      </c>
      <c r="CO4" t="s">
        <v>169</v>
      </c>
      <c r="CP4" t="s">
        <v>169</v>
      </c>
      <c r="CQ4" t="s">
        <v>150</v>
      </c>
      <c r="CR4" t="s">
        <v>150</v>
      </c>
      <c r="CS4">
        <v>1</v>
      </c>
      <c r="CT4" t="s">
        <v>240</v>
      </c>
      <c r="CU4" t="s">
        <v>157</v>
      </c>
      <c r="CW4" t="s">
        <v>233</v>
      </c>
      <c r="CX4" s="1" t="s">
        <v>123</v>
      </c>
      <c r="DH4" s="56" t="s">
        <v>214</v>
      </c>
      <c r="DI4" t="s">
        <v>234</v>
      </c>
      <c r="DJ4" t="s">
        <v>241</v>
      </c>
      <c r="DK4" t="s">
        <v>162</v>
      </c>
      <c r="DL4" t="s">
        <v>169</v>
      </c>
      <c r="DM4" t="s">
        <v>169</v>
      </c>
      <c r="DN4" t="s">
        <v>151</v>
      </c>
      <c r="DO4" t="s">
        <v>151</v>
      </c>
      <c r="DP4" t="s">
        <v>151</v>
      </c>
      <c r="DQ4" t="s">
        <v>242</v>
      </c>
      <c r="DR4" s="1" t="s">
        <v>123</v>
      </c>
      <c r="EU4" s="1" t="s">
        <v>123</v>
      </c>
      <c r="FU4" s="1" t="s">
        <v>123</v>
      </c>
      <c r="FV4" t="s">
        <v>132</v>
      </c>
      <c r="HC4" t="s">
        <v>243</v>
      </c>
      <c r="HD4" t="s">
        <v>244</v>
      </c>
      <c r="HE4" t="s">
        <v>245</v>
      </c>
      <c r="HF4" t="s">
        <v>186</v>
      </c>
      <c r="HG4">
        <v>1961</v>
      </c>
      <c r="HH4" t="str">
        <f>VLOOKUP(AnalizaCzyste[[#This Row],[Rok urodzenia]],KategorieWiekowe[],2,1)</f>
        <v>56–65 lat</v>
      </c>
      <c r="HI4" t="s">
        <v>246</v>
      </c>
      <c r="HK4" t="s">
        <v>247</v>
      </c>
    </row>
    <row r="5" spans="1:221" x14ac:dyDescent="0.45">
      <c r="A5">
        <v>11</v>
      </c>
      <c r="B5" s="62">
        <f>_xlfn.IFNA(VLOOKUP(AnalizaCzyste[[#This Row],[Zakończono wypełnianie]],Zakończone[],2,0),"BRAK")</f>
        <v>10</v>
      </c>
      <c r="C5" s="62">
        <f>COUNTA(U5:HM5)</f>
        <v>63</v>
      </c>
      <c r="D5" s="62" t="s">
        <v>299</v>
      </c>
      <c r="E5" s="62" t="s">
        <v>300</v>
      </c>
      <c r="F5" s="62">
        <v>1404</v>
      </c>
      <c r="G5" s="59" t="s">
        <v>2292</v>
      </c>
      <c r="H5" s="59" t="s">
        <v>2474</v>
      </c>
      <c r="I5" s="55"/>
      <c r="J5" s="55"/>
      <c r="K5" s="55"/>
      <c r="L5" s="55" t="s">
        <v>2545</v>
      </c>
      <c r="M5" s="55" t="s">
        <v>2508</v>
      </c>
      <c r="N5" s="55" t="s">
        <v>2544</v>
      </c>
      <c r="O5" s="55" t="s">
        <v>2543</v>
      </c>
      <c r="P5" s="55"/>
      <c r="Q5" s="55" t="s">
        <v>2542</v>
      </c>
      <c r="R5" s="55" t="s">
        <v>2541</v>
      </c>
      <c r="S5" s="55" t="s">
        <v>2540</v>
      </c>
      <c r="T5" s="55" t="s">
        <v>2539</v>
      </c>
      <c r="U5" s="1" t="s">
        <v>123</v>
      </c>
      <c r="AK5" s="56" t="s">
        <v>124</v>
      </c>
      <c r="AL5" t="s">
        <v>191</v>
      </c>
      <c r="AM5" t="str">
        <f>VLOOKUP(AnalizaCzyste[[#This Row],[Jak się nazywa uczelnia którą ukończyłeś? (proszę o wybranie jednej uczelni podlegającej ocenie)]],KategorieUczelni[],2,0)</f>
        <v>Publiczna</v>
      </c>
      <c r="AN5">
        <v>1986</v>
      </c>
      <c r="AO5" t="s">
        <v>126</v>
      </c>
      <c r="AP5" t="s">
        <v>301</v>
      </c>
      <c r="AQ5" t="s">
        <v>150</v>
      </c>
      <c r="AR5" t="s">
        <v>150</v>
      </c>
      <c r="AS5" t="s">
        <v>162</v>
      </c>
      <c r="AT5" t="s">
        <v>151</v>
      </c>
      <c r="AU5" t="s">
        <v>151</v>
      </c>
      <c r="AV5">
        <v>2</v>
      </c>
      <c r="AW5" t="s">
        <v>302</v>
      </c>
      <c r="AX5" t="s">
        <v>153</v>
      </c>
      <c r="AY5" t="s">
        <v>303</v>
      </c>
      <c r="AZ5" t="s">
        <v>304</v>
      </c>
      <c r="BA5" t="s">
        <v>305</v>
      </c>
      <c r="BB5" t="s">
        <v>157</v>
      </c>
      <c r="BD5" s="56" t="s">
        <v>159</v>
      </c>
      <c r="BE5">
        <v>1</v>
      </c>
      <c r="BF5" t="s">
        <v>223</v>
      </c>
      <c r="BG5">
        <v>2011</v>
      </c>
      <c r="BH5" t="s">
        <v>148</v>
      </c>
      <c r="BI5" t="s">
        <v>127</v>
      </c>
      <c r="BJ5" t="s">
        <v>150</v>
      </c>
      <c r="BK5" t="s">
        <v>150</v>
      </c>
      <c r="BL5" t="s">
        <v>169</v>
      </c>
      <c r="BM5" t="s">
        <v>169</v>
      </c>
      <c r="BN5" t="s">
        <v>169</v>
      </c>
      <c r="BO5">
        <v>1</v>
      </c>
      <c r="BP5" t="s">
        <v>306</v>
      </c>
      <c r="BQ5" t="s">
        <v>157</v>
      </c>
      <c r="BS5" t="s">
        <v>307</v>
      </c>
      <c r="BT5" t="s">
        <v>173</v>
      </c>
      <c r="CX5" s="1" t="s">
        <v>123</v>
      </c>
      <c r="DH5" s="56" t="s">
        <v>214</v>
      </c>
      <c r="DI5" t="s">
        <v>191</v>
      </c>
      <c r="DJ5" t="s">
        <v>308</v>
      </c>
      <c r="DK5" t="s">
        <v>150</v>
      </c>
      <c r="DL5" t="s">
        <v>150</v>
      </c>
      <c r="DM5" t="s">
        <v>162</v>
      </c>
      <c r="DN5" t="s">
        <v>150</v>
      </c>
      <c r="DO5" t="s">
        <v>150</v>
      </c>
      <c r="DP5" t="s">
        <v>150</v>
      </c>
      <c r="DQ5" t="s">
        <v>309</v>
      </c>
      <c r="DR5" s="57" t="s">
        <v>2488</v>
      </c>
      <c r="EU5" s="1" t="s">
        <v>123</v>
      </c>
      <c r="EV5" t="s">
        <v>180</v>
      </c>
      <c r="EW5" t="s">
        <v>132</v>
      </c>
      <c r="FU5" s="1" t="s">
        <v>123</v>
      </c>
      <c r="FV5" t="s">
        <v>132</v>
      </c>
      <c r="FX5" t="s">
        <v>132</v>
      </c>
      <c r="HC5" t="s">
        <v>310</v>
      </c>
      <c r="HD5" t="s">
        <v>311</v>
      </c>
      <c r="HE5" t="s">
        <v>312</v>
      </c>
      <c r="HF5" t="s">
        <v>186</v>
      </c>
      <c r="HG5">
        <v>1963</v>
      </c>
      <c r="HH5" t="str">
        <f>VLOOKUP(AnalizaCzyste[[#This Row],[Rok urodzenia]],KategorieWiekowe[],2,1)</f>
        <v>56–65 lat</v>
      </c>
      <c r="HI5" t="s">
        <v>141</v>
      </c>
      <c r="HJ5" t="s">
        <v>313</v>
      </c>
      <c r="HK5" t="s">
        <v>314</v>
      </c>
      <c r="HL5" t="s">
        <v>315</v>
      </c>
    </row>
    <row r="6" spans="1:221" x14ac:dyDescent="0.45">
      <c r="A6">
        <v>13</v>
      </c>
      <c r="B6">
        <f>_xlfn.IFNA(VLOOKUP(AnalizaCzyste[[#This Row],[Zakończono wypełnianie]],Zakończone[],2,0),"BRAK")</f>
        <v>12</v>
      </c>
      <c r="C6">
        <f>COUNTA(U6:HM6)</f>
        <v>36</v>
      </c>
      <c r="D6" t="s">
        <v>327</v>
      </c>
      <c r="E6" t="s">
        <v>328</v>
      </c>
      <c r="F6">
        <v>1387173</v>
      </c>
      <c r="G6" s="20" t="s">
        <v>2292</v>
      </c>
      <c r="H6" s="59" t="s">
        <v>2475</v>
      </c>
      <c r="I6" s="55" t="s">
        <v>2554</v>
      </c>
      <c r="J6" s="55"/>
      <c r="K6" s="55"/>
      <c r="L6" s="55" t="s">
        <v>2553</v>
      </c>
      <c r="M6" s="55" t="s">
        <v>2508</v>
      </c>
      <c r="N6" s="55" t="s">
        <v>2552</v>
      </c>
      <c r="O6" s="55" t="s">
        <v>2550</v>
      </c>
      <c r="P6" s="55" t="s">
        <v>2551</v>
      </c>
      <c r="Q6" s="55" t="s">
        <v>2549</v>
      </c>
      <c r="R6" s="55" t="s">
        <v>2548</v>
      </c>
      <c r="S6" s="55" t="s">
        <v>2547</v>
      </c>
      <c r="T6" s="55" t="s">
        <v>2546</v>
      </c>
      <c r="U6" s="1" t="s">
        <v>123</v>
      </c>
      <c r="AK6" s="56" t="s">
        <v>124</v>
      </c>
      <c r="AL6" t="s">
        <v>191</v>
      </c>
      <c r="AM6" t="str">
        <f>VLOOKUP(AnalizaCzyste[[#This Row],[Jak się nazywa uczelnia którą ukończyłeś? (proszę o wybranie jednej uczelni podlegającej ocenie)]],KategorieUczelni[],2,0)</f>
        <v>Publiczna</v>
      </c>
      <c r="AN6">
        <v>2011</v>
      </c>
      <c r="AO6" t="s">
        <v>126</v>
      </c>
      <c r="AP6" t="s">
        <v>330</v>
      </c>
      <c r="AQ6" t="s">
        <v>169</v>
      </c>
      <c r="AR6" t="s">
        <v>169</v>
      </c>
      <c r="AS6" t="s">
        <v>150</v>
      </c>
      <c r="AT6" t="s">
        <v>162</v>
      </c>
      <c r="AU6" t="s">
        <v>169</v>
      </c>
      <c r="AV6" t="s">
        <v>331</v>
      </c>
      <c r="AW6" t="s">
        <v>302</v>
      </c>
      <c r="AX6" t="s">
        <v>226</v>
      </c>
      <c r="AY6" t="s">
        <v>332</v>
      </c>
      <c r="AZ6" t="s">
        <v>333</v>
      </c>
      <c r="BA6" t="s">
        <v>334</v>
      </c>
      <c r="BB6" t="s">
        <v>157</v>
      </c>
      <c r="BC6" t="s">
        <v>335</v>
      </c>
      <c r="BD6" s="1" t="s">
        <v>123</v>
      </c>
      <c r="CX6" s="1" t="s">
        <v>123</v>
      </c>
      <c r="DH6" s="1" t="s">
        <v>123</v>
      </c>
      <c r="DR6" s="1" t="s">
        <v>123</v>
      </c>
      <c r="EU6" s="1" t="s">
        <v>123</v>
      </c>
      <c r="FU6" s="1" t="s">
        <v>123</v>
      </c>
      <c r="FV6" t="s">
        <v>132</v>
      </c>
      <c r="HC6" t="s">
        <v>336</v>
      </c>
      <c r="HD6" t="s">
        <v>337</v>
      </c>
      <c r="HE6" t="s">
        <v>338</v>
      </c>
      <c r="HF6" t="s">
        <v>186</v>
      </c>
      <c r="HG6">
        <v>1987</v>
      </c>
      <c r="HH6" t="str">
        <f>VLOOKUP(AnalizaCzyste[[#This Row],[Rok urodzenia]],KategorieWiekowe[],2,1)</f>
        <v>26–35 lat</v>
      </c>
      <c r="HI6" t="s">
        <v>246</v>
      </c>
      <c r="HK6" t="s">
        <v>339</v>
      </c>
      <c r="HL6" t="s">
        <v>340</v>
      </c>
    </row>
    <row r="7" spans="1:221" x14ac:dyDescent="0.45">
      <c r="A7">
        <v>21</v>
      </c>
      <c r="B7">
        <f>_xlfn.IFNA(VLOOKUP(AnalizaCzyste[[#This Row],[Zakończono wypełnianie]],Zakończone[],2,0),"BRAK")</f>
        <v>18</v>
      </c>
      <c r="C7">
        <f>COUNTA(U7:HM7)</f>
        <v>77</v>
      </c>
      <c r="D7" t="s">
        <v>379</v>
      </c>
      <c r="E7" t="s">
        <v>380</v>
      </c>
      <c r="F7">
        <v>5438</v>
      </c>
      <c r="G7" s="20" t="s">
        <v>2292</v>
      </c>
      <c r="H7" s="20" t="s">
        <v>2469</v>
      </c>
      <c r="I7" s="55" t="s">
        <v>2562</v>
      </c>
      <c r="J7" s="55"/>
      <c r="K7" s="55"/>
      <c r="L7" s="55" t="s">
        <v>2561</v>
      </c>
      <c r="M7" s="55" t="s">
        <v>2508</v>
      </c>
      <c r="N7" s="55" t="s">
        <v>2560</v>
      </c>
      <c r="O7" s="55" t="s">
        <v>2559</v>
      </c>
      <c r="P7" s="55" t="s">
        <v>2558</v>
      </c>
      <c r="Q7" s="55" t="s">
        <v>2557</v>
      </c>
      <c r="R7" s="55" t="s">
        <v>2556</v>
      </c>
      <c r="S7" s="55" t="s">
        <v>2562</v>
      </c>
      <c r="T7" s="55" t="s">
        <v>2555</v>
      </c>
      <c r="U7" s="1" t="s">
        <v>123</v>
      </c>
      <c r="AK7" s="56" t="s">
        <v>124</v>
      </c>
      <c r="AL7" t="s">
        <v>2268</v>
      </c>
      <c r="AM7" t="str">
        <f>VLOOKUP(AnalizaCzyste[[#This Row],[Jak się nazywa uczelnia którą ukończyłeś? (proszę o wybranie jednej uczelni podlegającej ocenie)]],KategorieUczelni[],2,0)</f>
        <v>Publiczna</v>
      </c>
      <c r="AN7">
        <v>1985</v>
      </c>
      <c r="AO7" t="s">
        <v>148</v>
      </c>
      <c r="AP7" t="s">
        <v>382</v>
      </c>
      <c r="AQ7" t="s">
        <v>169</v>
      </c>
      <c r="AR7" t="s">
        <v>169</v>
      </c>
      <c r="AS7" t="s">
        <v>128</v>
      </c>
      <c r="AT7" t="s">
        <v>236</v>
      </c>
      <c r="AU7" t="s">
        <v>236</v>
      </c>
      <c r="AV7" t="s">
        <v>383</v>
      </c>
      <c r="AW7" t="s">
        <v>152</v>
      </c>
      <c r="AX7" t="s">
        <v>152</v>
      </c>
      <c r="AY7" t="s">
        <v>384</v>
      </c>
      <c r="AZ7" t="s">
        <v>385</v>
      </c>
      <c r="BA7" t="s">
        <v>386</v>
      </c>
      <c r="BB7" t="s">
        <v>172</v>
      </c>
      <c r="BD7" s="1" t="s">
        <v>123</v>
      </c>
      <c r="CX7" s="56" t="s">
        <v>387</v>
      </c>
      <c r="CY7" t="s">
        <v>388</v>
      </c>
      <c r="CZ7" t="s">
        <v>389</v>
      </c>
      <c r="DA7" t="s">
        <v>169</v>
      </c>
      <c r="DB7" t="s">
        <v>169</v>
      </c>
      <c r="DC7" t="s">
        <v>169</v>
      </c>
      <c r="DD7" t="s">
        <v>169</v>
      </c>
      <c r="DE7" t="s">
        <v>169</v>
      </c>
      <c r="DF7" t="s">
        <v>169</v>
      </c>
      <c r="DG7" t="s">
        <v>390</v>
      </c>
      <c r="DH7" s="56" t="s">
        <v>214</v>
      </c>
      <c r="DI7" t="s">
        <v>388</v>
      </c>
      <c r="DJ7" t="s">
        <v>2274</v>
      </c>
      <c r="DK7" t="s">
        <v>169</v>
      </c>
      <c r="DL7" t="s">
        <v>169</v>
      </c>
      <c r="DM7" t="s">
        <v>169</v>
      </c>
      <c r="DN7" t="s">
        <v>169</v>
      </c>
      <c r="DO7" t="s">
        <v>169</v>
      </c>
      <c r="DP7" t="s">
        <v>169</v>
      </c>
      <c r="DQ7" t="s">
        <v>393</v>
      </c>
      <c r="DR7" s="56" t="s">
        <v>174</v>
      </c>
      <c r="DS7" t="s">
        <v>394</v>
      </c>
      <c r="DW7" t="s">
        <v>391</v>
      </c>
      <c r="DX7" t="s">
        <v>169</v>
      </c>
      <c r="DY7" t="s">
        <v>169</v>
      </c>
      <c r="DZ7" t="s">
        <v>169</v>
      </c>
      <c r="EA7" t="s">
        <v>169</v>
      </c>
      <c r="EB7" t="s">
        <v>169</v>
      </c>
      <c r="EC7" t="s">
        <v>169</v>
      </c>
      <c r="ED7" t="s">
        <v>169</v>
      </c>
      <c r="EE7">
        <v>20</v>
      </c>
      <c r="EF7">
        <v>20</v>
      </c>
      <c r="EG7">
        <v>0</v>
      </c>
      <c r="EH7">
        <v>15</v>
      </c>
      <c r="EI7">
        <v>30</v>
      </c>
      <c r="EJ7">
        <v>0</v>
      </c>
      <c r="EK7">
        <v>15</v>
      </c>
      <c r="EM7">
        <v>30</v>
      </c>
      <c r="EN7">
        <v>20</v>
      </c>
      <c r="EO7">
        <v>0</v>
      </c>
      <c r="EP7">
        <v>10</v>
      </c>
      <c r="EQ7">
        <v>25</v>
      </c>
      <c r="ER7">
        <v>0</v>
      </c>
      <c r="ES7">
        <v>15</v>
      </c>
      <c r="EU7" s="1" t="s">
        <v>123</v>
      </c>
      <c r="EV7" t="s">
        <v>178</v>
      </c>
      <c r="EW7" t="s">
        <v>132</v>
      </c>
      <c r="FU7" s="1" t="s">
        <v>123</v>
      </c>
      <c r="FV7" t="s">
        <v>132</v>
      </c>
      <c r="FX7" t="s">
        <v>132</v>
      </c>
      <c r="HC7" t="s">
        <v>395</v>
      </c>
      <c r="HD7" t="s">
        <v>396</v>
      </c>
      <c r="HE7" t="s">
        <v>397</v>
      </c>
      <c r="HF7" t="s">
        <v>186</v>
      </c>
      <c r="HG7">
        <v>1960</v>
      </c>
      <c r="HH7" t="str">
        <f>VLOOKUP(AnalizaCzyste[[#This Row],[Rok urodzenia]],KategorieWiekowe[],2,1)</f>
        <v>56–65 lat</v>
      </c>
      <c r="HI7" t="s">
        <v>398</v>
      </c>
    </row>
    <row r="8" spans="1:221" x14ac:dyDescent="0.45">
      <c r="A8">
        <v>30</v>
      </c>
      <c r="B8">
        <f>_xlfn.IFNA(VLOOKUP(AnalizaCzyste[[#This Row],[Zakończono wypełnianie]],Zakończone[],2,0),"BRAK")</f>
        <v>21</v>
      </c>
      <c r="C8">
        <f>COUNTA(U8:HM8)</f>
        <v>47</v>
      </c>
      <c r="D8" t="s">
        <v>443</v>
      </c>
      <c r="E8" t="s">
        <v>444</v>
      </c>
      <c r="F8">
        <v>6812</v>
      </c>
      <c r="G8" s="20" t="s">
        <v>2292</v>
      </c>
      <c r="H8" s="20" t="s">
        <v>2472</v>
      </c>
      <c r="I8" s="55" t="s">
        <v>2570</v>
      </c>
      <c r="J8" s="55"/>
      <c r="K8" s="55"/>
      <c r="L8" s="55" t="s">
        <v>2569</v>
      </c>
      <c r="M8" s="55" t="s">
        <v>2508</v>
      </c>
      <c r="N8" s="55" t="s">
        <v>2568</v>
      </c>
      <c r="O8" s="55" t="s">
        <v>2567</v>
      </c>
      <c r="P8" s="55" t="s">
        <v>2558</v>
      </c>
      <c r="Q8" s="55" t="s">
        <v>2566</v>
      </c>
      <c r="R8" s="55" t="s">
        <v>2565</v>
      </c>
      <c r="S8" s="55" t="s">
        <v>2564</v>
      </c>
      <c r="T8" s="55" t="s">
        <v>2563</v>
      </c>
      <c r="U8" s="1" t="s">
        <v>123</v>
      </c>
      <c r="AK8" s="56" t="s">
        <v>124</v>
      </c>
      <c r="AL8" t="s">
        <v>445</v>
      </c>
      <c r="AM8" t="str">
        <f>VLOOKUP(AnalizaCzyste[[#This Row],[Jak się nazywa uczelnia którą ukończyłeś? (proszę o wybranie jednej uczelni podlegającej ocenie)]],KategorieUczelni[],2,0)</f>
        <v>Publiczna</v>
      </c>
      <c r="AN8">
        <v>2019</v>
      </c>
      <c r="AO8" t="s">
        <v>148</v>
      </c>
      <c r="AP8" t="s">
        <v>446</v>
      </c>
      <c r="AQ8" t="s">
        <v>150</v>
      </c>
      <c r="AR8" t="s">
        <v>150</v>
      </c>
      <c r="AS8" t="s">
        <v>169</v>
      </c>
      <c r="AT8" t="s">
        <v>169</v>
      </c>
      <c r="AU8" t="s">
        <v>132</v>
      </c>
      <c r="AV8" t="s">
        <v>237</v>
      </c>
      <c r="AW8" t="s">
        <v>226</v>
      </c>
      <c r="AX8" t="s">
        <v>132</v>
      </c>
      <c r="AY8" t="s">
        <v>447</v>
      </c>
      <c r="AZ8" t="s">
        <v>448</v>
      </c>
      <c r="BA8" t="s">
        <v>449</v>
      </c>
      <c r="BB8" t="s">
        <v>157</v>
      </c>
      <c r="BD8" s="1" t="s">
        <v>123</v>
      </c>
      <c r="CX8" s="56" t="s">
        <v>387</v>
      </c>
      <c r="CY8" t="s">
        <v>445</v>
      </c>
      <c r="CZ8" t="s">
        <v>450</v>
      </c>
      <c r="DA8" t="s">
        <v>169</v>
      </c>
      <c r="DB8" t="s">
        <v>169</v>
      </c>
      <c r="DC8" t="s">
        <v>169</v>
      </c>
      <c r="DD8" t="s">
        <v>150</v>
      </c>
      <c r="DE8" t="s">
        <v>150</v>
      </c>
      <c r="DF8" t="s">
        <v>150</v>
      </c>
      <c r="DG8" t="s">
        <v>451</v>
      </c>
      <c r="DH8" s="1" t="s">
        <v>123</v>
      </c>
      <c r="DR8" s="1" t="s">
        <v>123</v>
      </c>
      <c r="EU8" s="1" t="s">
        <v>123</v>
      </c>
      <c r="EV8" t="s">
        <v>180</v>
      </c>
      <c r="EW8" t="s">
        <v>132</v>
      </c>
      <c r="FU8" s="1" t="s">
        <v>123</v>
      </c>
      <c r="FV8" t="s">
        <v>132</v>
      </c>
      <c r="FX8" t="s">
        <v>132</v>
      </c>
      <c r="HC8" t="s">
        <v>452</v>
      </c>
      <c r="HD8" t="s">
        <v>453</v>
      </c>
      <c r="HE8" t="s">
        <v>454</v>
      </c>
      <c r="HF8" t="s">
        <v>140</v>
      </c>
      <c r="HG8">
        <v>1994</v>
      </c>
      <c r="HH8" t="str">
        <f>VLOOKUP(AnalizaCzyste[[#This Row],[Rok urodzenia]],KategorieWiekowe[],2,1)</f>
        <v>26–35 lat</v>
      </c>
      <c r="HI8" t="s">
        <v>220</v>
      </c>
      <c r="HK8" t="s">
        <v>455</v>
      </c>
      <c r="HL8" t="s">
        <v>456</v>
      </c>
    </row>
    <row r="9" spans="1:221" x14ac:dyDescent="0.45">
      <c r="A9">
        <v>70</v>
      </c>
      <c r="B9">
        <f>_xlfn.IFNA(VLOOKUP(AnalizaCzyste[[#This Row],[Zakończono wypełnianie]],Zakończone[],2,0),"BRAK")</f>
        <v>39</v>
      </c>
      <c r="C9">
        <f>COUNTA(U9:HM9)</f>
        <v>55</v>
      </c>
      <c r="D9" t="s">
        <v>715</v>
      </c>
      <c r="E9" t="s">
        <v>716</v>
      </c>
      <c r="F9">
        <v>1868</v>
      </c>
      <c r="G9" s="20" t="s">
        <v>2292</v>
      </c>
      <c r="H9" s="20" t="s">
        <v>2471</v>
      </c>
      <c r="I9" s="55"/>
      <c r="J9" s="55"/>
      <c r="K9" s="55"/>
      <c r="L9" s="55" t="s">
        <v>2577</v>
      </c>
      <c r="M9" s="55" t="s">
        <v>2508</v>
      </c>
      <c r="N9" s="55" t="s">
        <v>2576</v>
      </c>
      <c r="O9" s="55" t="s">
        <v>2575</v>
      </c>
      <c r="P9" s="55" t="s">
        <v>2578</v>
      </c>
      <c r="Q9" s="55" t="s">
        <v>2574</v>
      </c>
      <c r="R9" s="55" t="s">
        <v>2573</v>
      </c>
      <c r="S9" s="55" t="s">
        <v>2572</v>
      </c>
      <c r="T9" s="55" t="s">
        <v>2571</v>
      </c>
      <c r="U9" s="1" t="s">
        <v>123</v>
      </c>
      <c r="AK9" s="56" t="s">
        <v>124</v>
      </c>
      <c r="AL9" t="s">
        <v>191</v>
      </c>
      <c r="AM9" t="str">
        <f>VLOOKUP(AnalizaCzyste[[#This Row],[Jak się nazywa uczelnia którą ukończyłeś? (proszę o wybranie jednej uczelni podlegającej ocenie)]],KategorieUczelni[],2,0)</f>
        <v>Publiczna</v>
      </c>
      <c r="AN9">
        <v>2008</v>
      </c>
      <c r="AO9" t="s">
        <v>126</v>
      </c>
      <c r="AP9" t="s">
        <v>717</v>
      </c>
      <c r="AQ9" t="s">
        <v>162</v>
      </c>
      <c r="AR9" t="s">
        <v>151</v>
      </c>
      <c r="AS9" t="s">
        <v>162</v>
      </c>
      <c r="AT9" t="s">
        <v>236</v>
      </c>
      <c r="AU9" t="s">
        <v>236</v>
      </c>
      <c r="AV9" t="s">
        <v>718</v>
      </c>
      <c r="AW9" t="s">
        <v>131</v>
      </c>
      <c r="AX9" t="s">
        <v>302</v>
      </c>
      <c r="AY9" t="s">
        <v>719</v>
      </c>
      <c r="AZ9" t="s">
        <v>720</v>
      </c>
      <c r="BA9" t="s">
        <v>721</v>
      </c>
      <c r="BB9" t="s">
        <v>172</v>
      </c>
      <c r="BD9" s="1" t="s">
        <v>123</v>
      </c>
      <c r="CX9" s="1" t="s">
        <v>123</v>
      </c>
      <c r="DH9" s="56" t="s">
        <v>214</v>
      </c>
      <c r="DI9" t="s">
        <v>2275</v>
      </c>
      <c r="DJ9" t="s">
        <v>2276</v>
      </c>
      <c r="DK9" t="s">
        <v>150</v>
      </c>
      <c r="DL9" t="s">
        <v>162</v>
      </c>
      <c r="DM9" t="s">
        <v>151</v>
      </c>
      <c r="DN9" t="s">
        <v>162</v>
      </c>
      <c r="DO9" t="s">
        <v>128</v>
      </c>
      <c r="DP9" t="s">
        <v>128</v>
      </c>
      <c r="DQ9" t="s">
        <v>724</v>
      </c>
      <c r="DR9" s="1" t="s">
        <v>123</v>
      </c>
      <c r="EU9" s="56" t="s">
        <v>177</v>
      </c>
      <c r="EV9" t="s">
        <v>180</v>
      </c>
      <c r="EW9">
        <v>1</v>
      </c>
      <c r="EX9" t="s">
        <v>722</v>
      </c>
      <c r="EY9" t="s">
        <v>162</v>
      </c>
      <c r="EZ9" t="s">
        <v>150</v>
      </c>
      <c r="FA9" t="s">
        <v>236</v>
      </c>
      <c r="FB9" t="s">
        <v>178</v>
      </c>
      <c r="FC9" t="s">
        <v>725</v>
      </c>
      <c r="FD9" t="s">
        <v>726</v>
      </c>
      <c r="FE9" t="s">
        <v>173</v>
      </c>
      <c r="FU9" s="1" t="s">
        <v>123</v>
      </c>
      <c r="FV9" t="s">
        <v>132</v>
      </c>
      <c r="FX9" t="s">
        <v>132</v>
      </c>
      <c r="HC9" t="s">
        <v>727</v>
      </c>
      <c r="HD9" t="s">
        <v>728</v>
      </c>
      <c r="HE9" t="s">
        <v>729</v>
      </c>
      <c r="HF9" t="s">
        <v>186</v>
      </c>
      <c r="HG9">
        <v>1983</v>
      </c>
      <c r="HH9" t="str">
        <f>VLOOKUP(AnalizaCzyste[[#This Row],[Rok urodzenia]],KategorieWiekowe[],2,1)</f>
        <v>36–45 lat</v>
      </c>
      <c r="HI9" t="s">
        <v>141</v>
      </c>
      <c r="HK9" t="s">
        <v>730</v>
      </c>
      <c r="HM9" t="s">
        <v>731</v>
      </c>
    </row>
    <row r="10" spans="1:221" x14ac:dyDescent="0.45">
      <c r="A10">
        <v>74</v>
      </c>
      <c r="B10">
        <f>_xlfn.IFNA(VLOOKUP(AnalizaCzyste[[#This Row],[Zakończono wypełnianie]],Zakończone[],2,0),"BRAK")</f>
        <v>40</v>
      </c>
      <c r="C10">
        <f>COUNTA(U10:HM10)</f>
        <v>47</v>
      </c>
      <c r="D10" t="s">
        <v>740</v>
      </c>
      <c r="E10" t="s">
        <v>741</v>
      </c>
      <c r="F10">
        <v>341</v>
      </c>
      <c r="G10" s="20" t="s">
        <v>2292</v>
      </c>
      <c r="H10" s="59" t="s">
        <v>2477</v>
      </c>
      <c r="I10" s="55" t="s">
        <v>2588</v>
      </c>
      <c r="J10" s="55"/>
      <c r="K10" s="55" t="s">
        <v>2587</v>
      </c>
      <c r="L10" s="55" t="s">
        <v>2586</v>
      </c>
      <c r="M10" s="55" t="s">
        <v>2508</v>
      </c>
      <c r="N10" s="55" t="s">
        <v>2585</v>
      </c>
      <c r="O10" s="55" t="s">
        <v>2584</v>
      </c>
      <c r="P10" s="55" t="s">
        <v>2583</v>
      </c>
      <c r="Q10" s="55" t="s">
        <v>2582</v>
      </c>
      <c r="R10" s="55" t="s">
        <v>2581</v>
      </c>
      <c r="S10" s="55" t="s">
        <v>2580</v>
      </c>
      <c r="T10" s="55" t="s">
        <v>2579</v>
      </c>
      <c r="U10" s="1" t="s">
        <v>123</v>
      </c>
      <c r="AK10" s="56" t="s">
        <v>124</v>
      </c>
      <c r="AL10" t="s">
        <v>223</v>
      </c>
      <c r="AM10" t="str">
        <f>VLOOKUP(AnalizaCzyste[[#This Row],[Jak się nazywa uczelnia którą ukończyłeś? (proszę o wybranie jednej uczelni podlegającej ocenie)]],KategorieUczelni[],2,0)</f>
        <v>Publiczna</v>
      </c>
      <c r="AN10">
        <v>2007</v>
      </c>
      <c r="AO10" t="s">
        <v>148</v>
      </c>
      <c r="AP10" t="s">
        <v>743</v>
      </c>
      <c r="AQ10" t="s">
        <v>236</v>
      </c>
      <c r="AR10" t="s">
        <v>129</v>
      </c>
      <c r="AS10" t="s">
        <v>128</v>
      </c>
      <c r="AT10" t="s">
        <v>162</v>
      </c>
      <c r="AU10" t="s">
        <v>150</v>
      </c>
      <c r="AV10" t="s">
        <v>237</v>
      </c>
      <c r="AW10" t="s">
        <v>302</v>
      </c>
      <c r="AX10" t="s">
        <v>153</v>
      </c>
      <c r="AY10" t="s">
        <v>744</v>
      </c>
      <c r="AZ10" t="s">
        <v>745</v>
      </c>
      <c r="BA10" t="s">
        <v>746</v>
      </c>
      <c r="BB10" t="s">
        <v>172</v>
      </c>
      <c r="BD10" s="1" t="s">
        <v>123</v>
      </c>
      <c r="CX10" s="56" t="s">
        <v>387</v>
      </c>
      <c r="CY10" t="s">
        <v>191</v>
      </c>
      <c r="CZ10" t="s">
        <v>748</v>
      </c>
      <c r="DA10" t="s">
        <v>150</v>
      </c>
      <c r="DB10" t="s">
        <v>150</v>
      </c>
      <c r="DC10" t="s">
        <v>169</v>
      </c>
      <c r="DD10" t="s">
        <v>169</v>
      </c>
      <c r="DE10" t="s">
        <v>150</v>
      </c>
      <c r="DF10" t="s">
        <v>150</v>
      </c>
      <c r="DG10" t="s">
        <v>749</v>
      </c>
      <c r="DH10" s="1" t="s">
        <v>123</v>
      </c>
      <c r="DR10" s="1" t="s">
        <v>123</v>
      </c>
      <c r="EU10" s="1" t="s">
        <v>123</v>
      </c>
      <c r="EV10" t="s">
        <v>178</v>
      </c>
      <c r="EW10" t="s">
        <v>132</v>
      </c>
      <c r="FU10" s="1" t="s">
        <v>123</v>
      </c>
      <c r="FV10" t="s">
        <v>132</v>
      </c>
      <c r="FX10" t="s">
        <v>132</v>
      </c>
      <c r="HC10" t="s">
        <v>750</v>
      </c>
      <c r="HD10" t="s">
        <v>751</v>
      </c>
      <c r="HE10" t="s">
        <v>752</v>
      </c>
      <c r="HF10" t="s">
        <v>186</v>
      </c>
      <c r="HG10">
        <v>1983</v>
      </c>
      <c r="HH10" t="str">
        <f>VLOOKUP(AnalizaCzyste[[#This Row],[Rok urodzenia]],KategorieWiekowe[],2,1)</f>
        <v>36–45 lat</v>
      </c>
      <c r="HI10" t="s">
        <v>398</v>
      </c>
      <c r="HK10" t="s">
        <v>753</v>
      </c>
      <c r="HL10" t="s">
        <v>532</v>
      </c>
    </row>
    <row r="11" spans="1:221" x14ac:dyDescent="0.45">
      <c r="A11">
        <v>75</v>
      </c>
      <c r="B11">
        <f>_xlfn.IFNA(VLOOKUP(AnalizaCzyste[[#This Row],[Zakończono wypełnianie]],Zakończone[],2,0),"BRAK")</f>
        <v>41</v>
      </c>
      <c r="C11">
        <f>COUNTA(U11:HM11)</f>
        <v>52</v>
      </c>
      <c r="D11" t="s">
        <v>756</v>
      </c>
      <c r="E11" t="s">
        <v>757</v>
      </c>
      <c r="F11">
        <v>487</v>
      </c>
      <c r="G11" s="20" t="s">
        <v>2292</v>
      </c>
      <c r="H11" s="59" t="s">
        <v>2470</v>
      </c>
      <c r="I11" s="55" t="s">
        <v>2595</v>
      </c>
      <c r="J11" s="55"/>
      <c r="K11" s="55"/>
      <c r="L11" s="55" t="s">
        <v>2594</v>
      </c>
      <c r="M11" s="55" t="s">
        <v>2508</v>
      </c>
      <c r="N11" s="55" t="s">
        <v>2593</v>
      </c>
      <c r="O11" s="55" t="s">
        <v>2592</v>
      </c>
      <c r="P11" s="55" t="s">
        <v>2596</v>
      </c>
      <c r="Q11" s="55" t="s">
        <v>2591</v>
      </c>
      <c r="R11" s="55" t="s">
        <v>2590</v>
      </c>
      <c r="S11" s="55" t="s">
        <v>2589</v>
      </c>
      <c r="T11" s="55" t="s">
        <v>2598</v>
      </c>
      <c r="U11" s="56" t="s">
        <v>416</v>
      </c>
      <c r="V11" t="s">
        <v>147</v>
      </c>
      <c r="W11" t="s">
        <v>148</v>
      </c>
      <c r="X11" t="s">
        <v>758</v>
      </c>
      <c r="Y11" t="s">
        <v>236</v>
      </c>
      <c r="Z11" t="s">
        <v>129</v>
      </c>
      <c r="AA11" t="s">
        <v>236</v>
      </c>
      <c r="AB11" t="s">
        <v>718</v>
      </c>
      <c r="AC11" t="s">
        <v>759</v>
      </c>
      <c r="AD11" t="s">
        <v>194</v>
      </c>
      <c r="AE11" t="s">
        <v>760</v>
      </c>
      <c r="AF11" t="s">
        <v>761</v>
      </c>
      <c r="AG11" t="s">
        <v>762</v>
      </c>
      <c r="AH11" t="s">
        <v>157</v>
      </c>
      <c r="AJ11">
        <v>2</v>
      </c>
      <c r="AK11" s="56" t="s">
        <v>124</v>
      </c>
      <c r="AL11" t="s">
        <v>223</v>
      </c>
      <c r="AM11" t="str">
        <f>VLOOKUP(AnalizaCzyste[[#This Row],[Jak się nazywa uczelnia którą ukończyłeś? (proszę o wybranie jednej uczelni podlegającej ocenie)]],KategorieUczelni[],2,0)</f>
        <v>Publiczna</v>
      </c>
      <c r="AN11">
        <v>2012</v>
      </c>
      <c r="AO11" t="s">
        <v>148</v>
      </c>
      <c r="AP11" t="s">
        <v>764</v>
      </c>
      <c r="AQ11" t="s">
        <v>236</v>
      </c>
      <c r="AR11" t="s">
        <v>236</v>
      </c>
      <c r="AS11" t="s">
        <v>236</v>
      </c>
      <c r="AT11" t="s">
        <v>129</v>
      </c>
      <c r="AU11" t="s">
        <v>236</v>
      </c>
      <c r="AV11" t="s">
        <v>237</v>
      </c>
      <c r="AW11" t="s">
        <v>302</v>
      </c>
      <c r="AX11" t="s">
        <v>153</v>
      </c>
      <c r="AY11" t="s">
        <v>765</v>
      </c>
      <c r="AZ11" t="s">
        <v>766</v>
      </c>
      <c r="BA11" t="s">
        <v>767</v>
      </c>
      <c r="BB11" t="s">
        <v>230</v>
      </c>
      <c r="BD11" s="1" t="s">
        <v>123</v>
      </c>
      <c r="CX11" s="1" t="s">
        <v>123</v>
      </c>
      <c r="DH11" s="1" t="s">
        <v>123</v>
      </c>
      <c r="DR11" s="1" t="s">
        <v>123</v>
      </c>
      <c r="EU11" s="1" t="s">
        <v>123</v>
      </c>
      <c r="EV11" t="s">
        <v>180</v>
      </c>
      <c r="EW11" t="s">
        <v>132</v>
      </c>
      <c r="FU11" s="1" t="s">
        <v>123</v>
      </c>
      <c r="FV11" t="s">
        <v>132</v>
      </c>
      <c r="FX11" t="s">
        <v>132</v>
      </c>
      <c r="HC11" t="s">
        <v>768</v>
      </c>
      <c r="HD11" t="s">
        <v>769</v>
      </c>
      <c r="HE11" t="s">
        <v>770</v>
      </c>
      <c r="HF11" t="s">
        <v>186</v>
      </c>
      <c r="HG11">
        <v>1990</v>
      </c>
      <c r="HH11" t="str">
        <f>VLOOKUP(AnalizaCzyste[[#This Row],[Rok urodzenia]],KategorieWiekowe[],2,1)</f>
        <v>26–35 lat</v>
      </c>
      <c r="HI11" t="s">
        <v>141</v>
      </c>
      <c r="HK11" t="s">
        <v>771</v>
      </c>
      <c r="HL11" t="s">
        <v>772</v>
      </c>
    </row>
    <row r="12" spans="1:221" x14ac:dyDescent="0.45">
      <c r="A12">
        <v>82</v>
      </c>
      <c r="B12">
        <f>_xlfn.IFNA(VLOOKUP(AnalizaCzyste[[#This Row],[Zakończono wypełnianie]],Zakończone[],2,0),"BRAK")</f>
        <v>47</v>
      </c>
      <c r="C12">
        <f>COUNTA(U12:HM12)</f>
        <v>29</v>
      </c>
      <c r="D12" t="s">
        <v>829</v>
      </c>
      <c r="E12" t="s">
        <v>830</v>
      </c>
      <c r="F12">
        <v>3349</v>
      </c>
      <c r="G12" s="20" t="s">
        <v>2292</v>
      </c>
      <c r="H12" s="20" t="s">
        <v>2468</v>
      </c>
      <c r="I12" s="55" t="s">
        <v>2605</v>
      </c>
      <c r="J12" s="55"/>
      <c r="K12" s="55"/>
      <c r="L12" s="55" t="s">
        <v>2604</v>
      </c>
      <c r="M12" s="55" t="s">
        <v>2508</v>
      </c>
      <c r="N12" s="55" t="s">
        <v>2603</v>
      </c>
      <c r="O12" s="55" t="s">
        <v>2602</v>
      </c>
      <c r="P12" s="55" t="s">
        <v>2558</v>
      </c>
      <c r="Q12" s="55" t="s">
        <v>2601</v>
      </c>
      <c r="R12" s="55" t="s">
        <v>2600</v>
      </c>
      <c r="S12" s="55" t="s">
        <v>2599</v>
      </c>
      <c r="T12" s="55" t="s">
        <v>2597</v>
      </c>
      <c r="U12" s="1" t="s">
        <v>123</v>
      </c>
      <c r="AK12" s="57" t="s">
        <v>2488</v>
      </c>
      <c r="AM12" t="e">
        <f>VLOOKUP(AnalizaCzyste[[#This Row],[Jak się nazywa uczelnia którą ukończyłeś? (proszę o wybranie jednej uczelni podlegającej ocenie)]],KategorieUczelni[],2,0)</f>
        <v>#N/A</v>
      </c>
      <c r="BD12" s="1" t="s">
        <v>123</v>
      </c>
      <c r="CX12" s="1" t="s">
        <v>123</v>
      </c>
      <c r="DH12" s="1" t="s">
        <v>123</v>
      </c>
      <c r="DR12" s="1" t="s">
        <v>123</v>
      </c>
      <c r="EU12" s="56" t="s">
        <v>177</v>
      </c>
      <c r="EV12" t="s">
        <v>178</v>
      </c>
      <c r="EW12">
        <v>1</v>
      </c>
      <c r="EX12" t="s">
        <v>191</v>
      </c>
      <c r="EY12" t="s">
        <v>162</v>
      </c>
      <c r="EZ12" t="s">
        <v>162</v>
      </c>
      <c r="FA12" t="s">
        <v>128</v>
      </c>
      <c r="FB12" t="s">
        <v>178</v>
      </c>
      <c r="FC12" t="s">
        <v>831</v>
      </c>
      <c r="FD12" t="s">
        <v>832</v>
      </c>
      <c r="FE12" t="s">
        <v>173</v>
      </c>
      <c r="FU12" s="1" t="s">
        <v>123</v>
      </c>
      <c r="FV12" t="s">
        <v>132</v>
      </c>
      <c r="FX12" t="s">
        <v>132</v>
      </c>
      <c r="HC12" t="s">
        <v>833</v>
      </c>
      <c r="HD12" t="s">
        <v>834</v>
      </c>
      <c r="HE12" t="s">
        <v>835</v>
      </c>
      <c r="HF12" t="s">
        <v>140</v>
      </c>
      <c r="HG12">
        <v>1977</v>
      </c>
      <c r="HH12" t="str">
        <f>VLOOKUP(AnalizaCzyste[[#This Row],[Rok urodzenia]],KategorieWiekowe[],2,1)</f>
        <v>36–45 lat</v>
      </c>
      <c r="HI12" t="s">
        <v>398</v>
      </c>
      <c r="HK12" t="s">
        <v>836</v>
      </c>
    </row>
    <row r="13" spans="1:221" x14ac:dyDescent="0.45">
      <c r="A13">
        <v>83</v>
      </c>
      <c r="B13">
        <f>_xlfn.IFNA(VLOOKUP(AnalizaCzyste[[#This Row],[Zakończono wypełnianie]],Zakończone[],2,0),"BRAK")</f>
        <v>48</v>
      </c>
      <c r="C13">
        <f>COUNTA(U13:HM13)</f>
        <v>76</v>
      </c>
      <c r="D13" t="s">
        <v>838</v>
      </c>
      <c r="E13" t="s">
        <v>839</v>
      </c>
      <c r="F13">
        <v>3312</v>
      </c>
      <c r="G13" s="20" t="s">
        <v>2292</v>
      </c>
      <c r="H13" s="20" t="s">
        <v>2482</v>
      </c>
      <c r="I13" s="55" t="s">
        <v>2614</v>
      </c>
      <c r="J13" s="55"/>
      <c r="K13" s="55" t="s">
        <v>2613</v>
      </c>
      <c r="L13" s="55" t="s">
        <v>2612</v>
      </c>
      <c r="M13" s="55" t="s">
        <v>2508</v>
      </c>
      <c r="N13" s="55" t="s">
        <v>2611</v>
      </c>
      <c r="O13" s="55" t="s">
        <v>2610</v>
      </c>
      <c r="P13" s="55" t="s">
        <v>2558</v>
      </c>
      <c r="Q13" s="55" t="s">
        <v>2609</v>
      </c>
      <c r="R13" s="55" t="s">
        <v>2608</v>
      </c>
      <c r="S13" s="55" t="s">
        <v>2607</v>
      </c>
      <c r="T13" s="55" t="s">
        <v>2606</v>
      </c>
      <c r="U13" s="1" t="s">
        <v>123</v>
      </c>
      <c r="AK13" s="56" t="s">
        <v>124</v>
      </c>
      <c r="AL13" s="20" t="s">
        <v>191</v>
      </c>
      <c r="AM13" s="20" t="str">
        <f>VLOOKUP(AnalizaCzyste[[#This Row],[Jak się nazywa uczelnia którą ukończyłeś? (proszę o wybranie jednej uczelni podlegającej ocenie)]],KategorieUczelni[],2,0)</f>
        <v>Publiczna</v>
      </c>
      <c r="AN13">
        <v>1978</v>
      </c>
      <c r="AO13" t="s">
        <v>126</v>
      </c>
      <c r="AP13" t="s">
        <v>841</v>
      </c>
      <c r="AQ13" t="s">
        <v>169</v>
      </c>
      <c r="AR13" t="s">
        <v>169</v>
      </c>
      <c r="AS13" t="s">
        <v>151</v>
      </c>
      <c r="AT13" t="s">
        <v>150</v>
      </c>
      <c r="AU13" t="s">
        <v>150</v>
      </c>
      <c r="AV13">
        <v>2</v>
      </c>
      <c r="AW13" t="s">
        <v>302</v>
      </c>
      <c r="AX13" t="s">
        <v>226</v>
      </c>
      <c r="AY13" t="s">
        <v>842</v>
      </c>
      <c r="AZ13" t="s">
        <v>843</v>
      </c>
      <c r="BA13" t="s">
        <v>386</v>
      </c>
      <c r="BB13" t="s">
        <v>157</v>
      </c>
      <c r="BD13" s="56" t="s">
        <v>159</v>
      </c>
      <c r="BE13">
        <v>2</v>
      </c>
      <c r="BF13" t="s">
        <v>191</v>
      </c>
      <c r="BG13">
        <v>2005</v>
      </c>
      <c r="BH13" t="s">
        <v>126</v>
      </c>
      <c r="BI13" t="s">
        <v>844</v>
      </c>
      <c r="BJ13" t="s">
        <v>150</v>
      </c>
      <c r="BK13" t="s">
        <v>150</v>
      </c>
      <c r="BL13" t="s">
        <v>169</v>
      </c>
      <c r="BM13" t="s">
        <v>162</v>
      </c>
      <c r="BN13" t="s">
        <v>162</v>
      </c>
      <c r="BO13">
        <v>3</v>
      </c>
      <c r="BP13" t="s">
        <v>845</v>
      </c>
      <c r="BQ13" t="s">
        <v>157</v>
      </c>
      <c r="BS13" t="s">
        <v>148</v>
      </c>
      <c r="BT13" t="s">
        <v>166</v>
      </c>
      <c r="BU13" t="s">
        <v>191</v>
      </c>
      <c r="BV13">
        <v>2007</v>
      </c>
      <c r="BW13" t="s">
        <v>126</v>
      </c>
      <c r="BX13" t="s">
        <v>844</v>
      </c>
      <c r="BY13" t="s">
        <v>150</v>
      </c>
      <c r="BZ13" t="s">
        <v>150</v>
      </c>
      <c r="CA13" t="s">
        <v>150</v>
      </c>
      <c r="CB13" t="s">
        <v>162</v>
      </c>
      <c r="CC13" t="s">
        <v>162</v>
      </c>
      <c r="CD13">
        <v>3</v>
      </c>
      <c r="CE13" t="s">
        <v>148</v>
      </c>
      <c r="CF13" t="s">
        <v>157</v>
      </c>
      <c r="CH13" t="s">
        <v>148</v>
      </c>
      <c r="CI13" t="s">
        <v>173</v>
      </c>
      <c r="CX13" s="1" t="s">
        <v>123</v>
      </c>
      <c r="DH13" s="56" t="s">
        <v>214</v>
      </c>
      <c r="DI13" t="s">
        <v>2275</v>
      </c>
      <c r="DJ13" t="s">
        <v>2276</v>
      </c>
      <c r="DK13" t="s">
        <v>150</v>
      </c>
      <c r="DL13" t="s">
        <v>150</v>
      </c>
      <c r="DM13" t="s">
        <v>150</v>
      </c>
      <c r="DN13" t="s">
        <v>150</v>
      </c>
      <c r="DO13" t="s">
        <v>150</v>
      </c>
      <c r="DP13" t="s">
        <v>162</v>
      </c>
      <c r="DQ13" t="s">
        <v>848</v>
      </c>
      <c r="DR13" s="1" t="s">
        <v>123</v>
      </c>
      <c r="EU13" s="1" t="s">
        <v>123</v>
      </c>
      <c r="EV13" t="s">
        <v>180</v>
      </c>
      <c r="EW13" t="s">
        <v>132</v>
      </c>
      <c r="FU13" s="1" t="s">
        <v>123</v>
      </c>
      <c r="FV13" t="s">
        <v>132</v>
      </c>
      <c r="FX13" t="s">
        <v>132</v>
      </c>
      <c r="HC13" t="s">
        <v>849</v>
      </c>
      <c r="HD13" t="s">
        <v>850</v>
      </c>
      <c r="HE13" t="s">
        <v>851</v>
      </c>
      <c r="HF13" t="s">
        <v>186</v>
      </c>
      <c r="HG13">
        <v>1954</v>
      </c>
      <c r="HH13" t="str">
        <f>VLOOKUP(AnalizaCzyste[[#This Row],[Rok urodzenia]],KategorieWiekowe[],2,1)</f>
        <v>powyżej 65 lat</v>
      </c>
      <c r="HI13" t="s">
        <v>141</v>
      </c>
      <c r="HK13" t="s">
        <v>852</v>
      </c>
      <c r="HL13" t="s">
        <v>853</v>
      </c>
    </row>
    <row r="14" spans="1:221" x14ac:dyDescent="0.45">
      <c r="A14">
        <v>84</v>
      </c>
      <c r="B14">
        <f>_xlfn.IFNA(VLOOKUP(AnalizaCzyste[[#This Row],[Zakończono wypełnianie]],Zakończone[],2,0),"BRAK")</f>
        <v>49</v>
      </c>
      <c r="C14">
        <f>COUNTA(U14:HM14)</f>
        <v>50</v>
      </c>
      <c r="D14" t="s">
        <v>855</v>
      </c>
      <c r="E14" t="s">
        <v>856</v>
      </c>
      <c r="F14">
        <v>1349</v>
      </c>
      <c r="G14" s="20" t="s">
        <v>2292</v>
      </c>
      <c r="H14" s="20" t="s">
        <v>2455</v>
      </c>
      <c r="I14" s="55" t="s">
        <v>2622</v>
      </c>
      <c r="J14" s="55"/>
      <c r="K14" s="55"/>
      <c r="L14" s="55" t="s">
        <v>2621</v>
      </c>
      <c r="M14" s="55" t="s">
        <v>2508</v>
      </c>
      <c r="N14" s="55" t="s">
        <v>2620</v>
      </c>
      <c r="O14" s="55" t="s">
        <v>2619</v>
      </c>
      <c r="P14" s="55" t="s">
        <v>2558</v>
      </c>
      <c r="Q14" s="55" t="s">
        <v>2618</v>
      </c>
      <c r="R14" s="55" t="s">
        <v>2617</v>
      </c>
      <c r="S14" s="55" t="s">
        <v>2616</v>
      </c>
      <c r="T14" s="55" t="s">
        <v>2615</v>
      </c>
      <c r="U14" s="56" t="s">
        <v>416</v>
      </c>
      <c r="V14" t="s">
        <v>179</v>
      </c>
      <c r="W14" t="s">
        <v>148</v>
      </c>
      <c r="X14" t="s">
        <v>857</v>
      </c>
      <c r="Y14" t="s">
        <v>162</v>
      </c>
      <c r="Z14" t="s">
        <v>162</v>
      </c>
      <c r="AA14" t="s">
        <v>151</v>
      </c>
      <c r="AB14" t="s">
        <v>718</v>
      </c>
      <c r="AC14" t="s">
        <v>152</v>
      </c>
      <c r="AD14" t="s">
        <v>759</v>
      </c>
      <c r="AE14" t="s">
        <v>858</v>
      </c>
      <c r="AF14" t="s">
        <v>859</v>
      </c>
      <c r="AG14" t="s">
        <v>860</v>
      </c>
      <c r="AI14" t="s">
        <v>861</v>
      </c>
      <c r="AJ14">
        <v>2</v>
      </c>
      <c r="AK14" s="56" t="s">
        <v>124</v>
      </c>
      <c r="AL14" t="s">
        <v>862</v>
      </c>
      <c r="AM14" t="str">
        <f>VLOOKUP(AnalizaCzyste[[#This Row],[Jak się nazywa uczelnia którą ukończyłeś? (proszę o wybranie jednej uczelni podlegającej ocenie)]],KategorieUczelni[],2,0)</f>
        <v>Publiczna</v>
      </c>
      <c r="AN14">
        <v>2019</v>
      </c>
      <c r="AO14" t="s">
        <v>148</v>
      </c>
      <c r="AP14" t="s">
        <v>863</v>
      </c>
      <c r="AQ14" t="s">
        <v>150</v>
      </c>
      <c r="AR14" t="s">
        <v>150</v>
      </c>
      <c r="AS14" t="s">
        <v>169</v>
      </c>
      <c r="AT14" t="s">
        <v>151</v>
      </c>
      <c r="AU14" t="s">
        <v>150</v>
      </c>
      <c r="AV14" t="s">
        <v>864</v>
      </c>
      <c r="AW14" t="s">
        <v>302</v>
      </c>
      <c r="AX14" t="s">
        <v>759</v>
      </c>
      <c r="AY14" t="s">
        <v>865</v>
      </c>
      <c r="AZ14" t="s">
        <v>866</v>
      </c>
      <c r="BA14" t="s">
        <v>867</v>
      </c>
      <c r="BB14" t="s">
        <v>157</v>
      </c>
      <c r="BD14" s="1" t="s">
        <v>123</v>
      </c>
      <c r="CX14" s="1" t="s">
        <v>123</v>
      </c>
      <c r="DH14" s="1" t="s">
        <v>123</v>
      </c>
      <c r="DR14" s="1" t="s">
        <v>123</v>
      </c>
      <c r="EU14" s="1" t="s">
        <v>123</v>
      </c>
      <c r="FU14" s="1" t="s">
        <v>123</v>
      </c>
      <c r="FV14" t="s">
        <v>132</v>
      </c>
      <c r="HC14" t="s">
        <v>868</v>
      </c>
      <c r="HD14" t="s">
        <v>869</v>
      </c>
      <c r="HE14" t="s">
        <v>870</v>
      </c>
      <c r="HF14" t="s">
        <v>186</v>
      </c>
      <c r="HG14">
        <v>1991</v>
      </c>
      <c r="HH14" t="str">
        <f>VLOOKUP(AnalizaCzyste[[#This Row],[Rok urodzenia]],KategorieWiekowe[],2,1)</f>
        <v>26–35 lat</v>
      </c>
      <c r="HI14" t="s">
        <v>220</v>
      </c>
      <c r="HJ14" t="s">
        <v>871</v>
      </c>
      <c r="HK14" t="s">
        <v>872</v>
      </c>
      <c r="HL14" t="s">
        <v>386</v>
      </c>
    </row>
    <row r="15" spans="1:221" x14ac:dyDescent="0.45">
      <c r="A15">
        <v>89</v>
      </c>
      <c r="B15">
        <f>_xlfn.IFNA(VLOOKUP(AnalizaCzyste[[#This Row],[Zakończono wypełnianie]],Zakończone[],2,0),"BRAK")</f>
        <v>54</v>
      </c>
      <c r="C15">
        <f>COUNTA(U15:HM15)</f>
        <v>36</v>
      </c>
      <c r="D15" t="s">
        <v>903</v>
      </c>
      <c r="E15" t="s">
        <v>904</v>
      </c>
      <c r="F15">
        <v>255</v>
      </c>
      <c r="G15" s="20" t="s">
        <v>2292</v>
      </c>
      <c r="H15" s="20" t="s">
        <v>2476</v>
      </c>
      <c r="I15" s="55"/>
      <c r="J15" s="55"/>
      <c r="K15" s="55"/>
      <c r="L15" s="55"/>
      <c r="M15" s="55"/>
      <c r="N15" s="55"/>
      <c r="O15" s="55"/>
      <c r="P15" s="55"/>
      <c r="Q15" s="55"/>
      <c r="R15" s="55"/>
      <c r="S15" s="55"/>
      <c r="T15" s="55"/>
      <c r="U15" s="1" t="s">
        <v>123</v>
      </c>
      <c r="AK15" s="56" t="s">
        <v>124</v>
      </c>
      <c r="AL15" t="s">
        <v>191</v>
      </c>
      <c r="AM15" t="str">
        <f>VLOOKUP(AnalizaCzyste[[#This Row],[Jak się nazywa uczelnia którą ukończyłeś? (proszę o wybranie jednej uczelni podlegającej ocenie)]],KategorieUczelni[],2,0)</f>
        <v>Publiczna</v>
      </c>
      <c r="AN15">
        <v>2009</v>
      </c>
      <c r="AO15" t="s">
        <v>126</v>
      </c>
      <c r="AP15" t="s">
        <v>906</v>
      </c>
      <c r="AQ15" t="s">
        <v>151</v>
      </c>
      <c r="AR15" t="s">
        <v>151</v>
      </c>
      <c r="AS15" t="s">
        <v>150</v>
      </c>
      <c r="AT15" t="s">
        <v>128</v>
      </c>
      <c r="AU15" t="s">
        <v>162</v>
      </c>
      <c r="AV15" t="s">
        <v>907</v>
      </c>
      <c r="AW15" t="s">
        <v>131</v>
      </c>
      <c r="AX15" t="s">
        <v>759</v>
      </c>
      <c r="AY15" t="s">
        <v>908</v>
      </c>
      <c r="AZ15" t="s">
        <v>908</v>
      </c>
      <c r="BA15" t="s">
        <v>909</v>
      </c>
      <c r="BB15" t="s">
        <v>172</v>
      </c>
      <c r="BD15" s="1" t="s">
        <v>123</v>
      </c>
      <c r="CX15" s="1" t="s">
        <v>123</v>
      </c>
      <c r="DH15" s="1" t="s">
        <v>123</v>
      </c>
      <c r="DR15" s="1" t="s">
        <v>123</v>
      </c>
      <c r="EU15" s="1" t="s">
        <v>123</v>
      </c>
      <c r="EV15" t="s">
        <v>180</v>
      </c>
      <c r="EW15" t="s">
        <v>132</v>
      </c>
      <c r="FU15" s="1" t="s">
        <v>123</v>
      </c>
      <c r="FV15" t="s">
        <v>132</v>
      </c>
      <c r="FX15" t="s">
        <v>132</v>
      </c>
      <c r="HC15" t="s">
        <v>910</v>
      </c>
      <c r="HD15" t="s">
        <v>911</v>
      </c>
      <c r="HE15" t="s">
        <v>912</v>
      </c>
      <c r="HF15" t="s">
        <v>186</v>
      </c>
      <c r="HG15">
        <v>1983</v>
      </c>
      <c r="HH15" t="str">
        <f>VLOOKUP(AnalizaCzyste[[#This Row],[Rok urodzenia]],KategorieWiekowe[],2,1)</f>
        <v>36–45 lat</v>
      </c>
      <c r="HI15" t="s">
        <v>141</v>
      </c>
    </row>
    <row r="16" spans="1:221" x14ac:dyDescent="0.45">
      <c r="A16">
        <v>91</v>
      </c>
      <c r="B16">
        <f>_xlfn.IFNA(VLOOKUP(AnalizaCzyste[[#This Row],[Zakończono wypełnianie]],Zakończone[],2,0),"BRAK")</f>
        <v>55</v>
      </c>
      <c r="C16">
        <f>COUNTA(U16:HM16)</f>
        <v>78</v>
      </c>
      <c r="D16" t="s">
        <v>916</v>
      </c>
      <c r="E16" t="s">
        <v>917</v>
      </c>
      <c r="F16">
        <v>76609</v>
      </c>
      <c r="G16" s="20" t="s">
        <v>2292</v>
      </c>
      <c r="H16" s="20" t="s">
        <v>2453</v>
      </c>
      <c r="I16" s="55"/>
      <c r="J16" s="55"/>
      <c r="K16" s="55"/>
      <c r="L16" s="55"/>
      <c r="M16" s="55"/>
      <c r="N16" s="55"/>
      <c r="O16" s="55"/>
      <c r="P16" s="55"/>
      <c r="Q16" s="55"/>
      <c r="R16" s="55"/>
      <c r="S16" s="55"/>
      <c r="T16" s="55"/>
      <c r="U16" s="1" t="s">
        <v>123</v>
      </c>
      <c r="AK16" s="56" t="s">
        <v>124</v>
      </c>
      <c r="AL16" t="s">
        <v>223</v>
      </c>
      <c r="AM16" t="str">
        <f>VLOOKUP(AnalizaCzyste[[#This Row],[Jak się nazywa uczelnia którą ukończyłeś? (proszę o wybranie jednej uczelni podlegającej ocenie)]],KategorieUczelni[],2,0)</f>
        <v>Publiczna</v>
      </c>
      <c r="AN16">
        <v>1980</v>
      </c>
      <c r="AO16" t="s">
        <v>148</v>
      </c>
      <c r="AP16" t="s">
        <v>919</v>
      </c>
      <c r="AQ16" t="s">
        <v>169</v>
      </c>
      <c r="AR16" t="s">
        <v>169</v>
      </c>
      <c r="AS16" t="s">
        <v>150</v>
      </c>
      <c r="AT16" t="s">
        <v>128</v>
      </c>
      <c r="AU16" t="s">
        <v>128</v>
      </c>
      <c r="AV16" t="s">
        <v>920</v>
      </c>
      <c r="AW16" t="s">
        <v>302</v>
      </c>
      <c r="AX16" t="s">
        <v>302</v>
      </c>
      <c r="AY16" t="s">
        <v>921</v>
      </c>
      <c r="AZ16" t="s">
        <v>922</v>
      </c>
      <c r="BA16" t="s">
        <v>923</v>
      </c>
      <c r="BB16" t="s">
        <v>157</v>
      </c>
      <c r="BD16" s="56" t="s">
        <v>159</v>
      </c>
      <c r="BE16">
        <v>2</v>
      </c>
      <c r="BF16" t="s">
        <v>223</v>
      </c>
      <c r="BG16">
        <v>2009</v>
      </c>
      <c r="BH16" t="s">
        <v>148</v>
      </c>
      <c r="BI16" t="s">
        <v>743</v>
      </c>
      <c r="BJ16" t="s">
        <v>169</v>
      </c>
      <c r="BK16" t="s">
        <v>169</v>
      </c>
      <c r="BL16" t="s">
        <v>169</v>
      </c>
      <c r="BM16" t="s">
        <v>128</v>
      </c>
      <c r="BN16" t="s">
        <v>128</v>
      </c>
      <c r="BO16" t="s">
        <v>925</v>
      </c>
      <c r="BP16" t="s">
        <v>926</v>
      </c>
      <c r="BQ16" t="s">
        <v>157</v>
      </c>
      <c r="BS16" t="s">
        <v>927</v>
      </c>
      <c r="BT16" t="s">
        <v>173</v>
      </c>
      <c r="CX16" s="56" t="s">
        <v>387</v>
      </c>
      <c r="CY16" t="s">
        <v>223</v>
      </c>
      <c r="CZ16" t="s">
        <v>928</v>
      </c>
      <c r="DA16" t="s">
        <v>169</v>
      </c>
      <c r="DB16" t="s">
        <v>162</v>
      </c>
      <c r="DC16" t="s">
        <v>128</v>
      </c>
      <c r="DD16" t="s">
        <v>169</v>
      </c>
      <c r="DE16" t="s">
        <v>169</v>
      </c>
      <c r="DF16" t="s">
        <v>169</v>
      </c>
      <c r="DG16" t="s">
        <v>929</v>
      </c>
      <c r="DH16" s="56" t="s">
        <v>214</v>
      </c>
      <c r="DI16" t="s">
        <v>223</v>
      </c>
      <c r="DJ16" t="s">
        <v>928</v>
      </c>
      <c r="DK16" t="s">
        <v>169</v>
      </c>
      <c r="DL16" t="s">
        <v>162</v>
      </c>
      <c r="DM16" t="s">
        <v>128</v>
      </c>
      <c r="DN16" t="s">
        <v>169</v>
      </c>
      <c r="DO16" t="s">
        <v>169</v>
      </c>
      <c r="DP16" t="s">
        <v>150</v>
      </c>
      <c r="DQ16" t="s">
        <v>930</v>
      </c>
      <c r="DR16" s="1" t="s">
        <v>123</v>
      </c>
      <c r="EU16" s="56" t="s">
        <v>177</v>
      </c>
      <c r="EV16" t="s">
        <v>180</v>
      </c>
      <c r="EW16">
        <v>1</v>
      </c>
      <c r="EX16" t="s">
        <v>223</v>
      </c>
      <c r="EY16" t="s">
        <v>169</v>
      </c>
      <c r="EZ16" t="s">
        <v>169</v>
      </c>
      <c r="FA16" t="s">
        <v>236</v>
      </c>
      <c r="FB16" t="s">
        <v>180</v>
      </c>
      <c r="FC16" t="s">
        <v>931</v>
      </c>
      <c r="FD16" t="s">
        <v>932</v>
      </c>
      <c r="FE16" t="s">
        <v>173</v>
      </c>
      <c r="FU16" s="1" t="s">
        <v>123</v>
      </c>
      <c r="FV16" t="s">
        <v>132</v>
      </c>
      <c r="FX16" t="s">
        <v>132</v>
      </c>
      <c r="HC16" t="s">
        <v>933</v>
      </c>
      <c r="HD16" t="s">
        <v>934</v>
      </c>
      <c r="HE16" t="s">
        <v>935</v>
      </c>
      <c r="HF16" t="s">
        <v>140</v>
      </c>
      <c r="HG16">
        <v>1957</v>
      </c>
      <c r="HH16" t="str">
        <f>VLOOKUP(AnalizaCzyste[[#This Row],[Rok urodzenia]],KategorieWiekowe[],2,1)</f>
        <v>56–65 lat</v>
      </c>
      <c r="HI16" t="s">
        <v>141</v>
      </c>
      <c r="HK16" t="s">
        <v>936</v>
      </c>
    </row>
    <row r="17" spans="1:221" x14ac:dyDescent="0.45">
      <c r="A17">
        <v>122</v>
      </c>
      <c r="B17">
        <f>_xlfn.IFNA(VLOOKUP(AnalizaCzyste[[#This Row],[Zakończono wypełnianie]],Zakończone[],2,0),"BRAK")</f>
        <v>71</v>
      </c>
      <c r="C17">
        <f>COUNTA(U17:HM17)</f>
        <v>33</v>
      </c>
      <c r="D17" t="s">
        <v>1132</v>
      </c>
      <c r="E17" t="s">
        <v>1133</v>
      </c>
      <c r="F17">
        <v>3215</v>
      </c>
      <c r="G17" s="20" t="s">
        <v>2292</v>
      </c>
      <c r="H17" s="20" t="s">
        <v>2456</v>
      </c>
      <c r="I17" s="55"/>
      <c r="J17" s="55"/>
      <c r="K17" s="55"/>
      <c r="L17" s="55"/>
      <c r="M17" s="55"/>
      <c r="N17" s="55"/>
      <c r="O17" s="55"/>
      <c r="P17" s="55"/>
      <c r="Q17" s="55"/>
      <c r="R17" s="55"/>
      <c r="S17" s="55"/>
      <c r="T17" s="55"/>
      <c r="U17" s="1" t="s">
        <v>123</v>
      </c>
      <c r="AK17" s="56" t="s">
        <v>124</v>
      </c>
      <c r="AL17" t="s">
        <v>191</v>
      </c>
      <c r="AM17" t="str">
        <f>VLOOKUP(AnalizaCzyste[[#This Row],[Jak się nazywa uczelnia którą ukończyłeś? (proszę o wybranie jednej uczelni podlegającej ocenie)]],KategorieUczelni[],2,0)</f>
        <v>Publiczna</v>
      </c>
      <c r="AN17">
        <v>2015</v>
      </c>
      <c r="AO17" t="s">
        <v>126</v>
      </c>
      <c r="AP17" t="s">
        <v>1134</v>
      </c>
      <c r="AQ17" t="s">
        <v>128</v>
      </c>
      <c r="AR17" t="s">
        <v>151</v>
      </c>
      <c r="AS17" t="s">
        <v>169</v>
      </c>
      <c r="AT17" t="s">
        <v>162</v>
      </c>
      <c r="AU17" t="s">
        <v>150</v>
      </c>
      <c r="AV17">
        <v>1</v>
      </c>
      <c r="AW17" t="s">
        <v>302</v>
      </c>
      <c r="AX17" t="s">
        <v>226</v>
      </c>
      <c r="AY17" t="s">
        <v>1135</v>
      </c>
      <c r="AZ17" t="s">
        <v>1136</v>
      </c>
      <c r="BA17" t="s">
        <v>1137</v>
      </c>
      <c r="BB17" t="s">
        <v>172</v>
      </c>
      <c r="BD17" s="1" t="s">
        <v>123</v>
      </c>
      <c r="CX17" s="1" t="s">
        <v>123</v>
      </c>
      <c r="DH17" s="1" t="s">
        <v>123</v>
      </c>
      <c r="DR17" s="1" t="s">
        <v>123</v>
      </c>
      <c r="EU17" s="1" t="s">
        <v>123</v>
      </c>
      <c r="FU17" s="1" t="s">
        <v>123</v>
      </c>
      <c r="HC17" t="s">
        <v>1138</v>
      </c>
      <c r="HD17" t="s">
        <v>1139</v>
      </c>
      <c r="HE17" t="s">
        <v>1140</v>
      </c>
      <c r="HF17" t="s">
        <v>186</v>
      </c>
      <c r="HG17">
        <v>1991</v>
      </c>
      <c r="HH17" t="str">
        <f>VLOOKUP(AnalizaCzyste[[#This Row],[Rok urodzenia]],KategorieWiekowe[],2,1)</f>
        <v>26–35 lat</v>
      </c>
      <c r="HI17" t="s">
        <v>141</v>
      </c>
      <c r="HK17" t="s">
        <v>1141</v>
      </c>
    </row>
    <row r="18" spans="1:221" x14ac:dyDescent="0.45">
      <c r="A18">
        <v>124</v>
      </c>
      <c r="B18">
        <f>_xlfn.IFNA(VLOOKUP(AnalizaCzyste[[#This Row],[Zakończono wypełnianie]],Zakończone[],2,0),"BRAK")</f>
        <v>73</v>
      </c>
      <c r="C18">
        <f>COUNTA(U18:HM18)</f>
        <v>35</v>
      </c>
      <c r="D18" t="s">
        <v>1153</v>
      </c>
      <c r="E18" t="s">
        <v>1154</v>
      </c>
      <c r="F18">
        <v>1159</v>
      </c>
      <c r="G18" s="20" t="s">
        <v>2292</v>
      </c>
      <c r="H18" s="20" t="s">
        <v>2457</v>
      </c>
      <c r="I18" s="55"/>
      <c r="J18" s="55"/>
      <c r="K18" s="55"/>
      <c r="L18" s="55"/>
      <c r="M18" s="55"/>
      <c r="N18" s="55"/>
      <c r="O18" s="55"/>
      <c r="P18" s="55"/>
      <c r="Q18" s="55"/>
      <c r="R18" s="55"/>
      <c r="S18" s="55"/>
      <c r="T18" s="55"/>
      <c r="U18" s="1" t="s">
        <v>123</v>
      </c>
      <c r="AK18" s="56" t="s">
        <v>124</v>
      </c>
      <c r="AL18" t="s">
        <v>191</v>
      </c>
      <c r="AM18" t="str">
        <f>VLOOKUP(AnalizaCzyste[[#This Row],[Jak się nazywa uczelnia którą ukończyłeś? (proszę o wybranie jednej uczelni podlegającej ocenie)]],KategorieUczelni[],2,0)</f>
        <v>Publiczna</v>
      </c>
      <c r="AN18">
        <v>2018</v>
      </c>
      <c r="AO18" t="s">
        <v>126</v>
      </c>
      <c r="AP18" t="s">
        <v>969</v>
      </c>
      <c r="AQ18" t="s">
        <v>150</v>
      </c>
      <c r="AR18" t="s">
        <v>150</v>
      </c>
      <c r="AS18" t="s">
        <v>162</v>
      </c>
      <c r="AT18" t="s">
        <v>128</v>
      </c>
      <c r="AU18" t="s">
        <v>151</v>
      </c>
      <c r="AV18" t="s">
        <v>530</v>
      </c>
      <c r="AW18" t="s">
        <v>131</v>
      </c>
      <c r="AX18" t="s">
        <v>302</v>
      </c>
      <c r="AY18" t="s">
        <v>1155</v>
      </c>
      <c r="AZ18" t="s">
        <v>1156</v>
      </c>
      <c r="BA18" t="s">
        <v>1157</v>
      </c>
      <c r="BB18" t="s">
        <v>230</v>
      </c>
      <c r="BC18" t="s">
        <v>1158</v>
      </c>
      <c r="BD18" s="1" t="s">
        <v>123</v>
      </c>
      <c r="CX18" s="1" t="s">
        <v>123</v>
      </c>
      <c r="DH18" s="1" t="s">
        <v>123</v>
      </c>
      <c r="DR18" s="1" t="s">
        <v>123</v>
      </c>
      <c r="EU18" s="1" t="s">
        <v>123</v>
      </c>
      <c r="FU18" s="1" t="s">
        <v>123</v>
      </c>
      <c r="HC18" t="s">
        <v>1159</v>
      </c>
      <c r="HD18" t="s">
        <v>1160</v>
      </c>
      <c r="HE18" t="s">
        <v>1161</v>
      </c>
      <c r="HF18" t="s">
        <v>140</v>
      </c>
      <c r="HG18">
        <v>1991</v>
      </c>
      <c r="HH18" t="str">
        <f>VLOOKUP(AnalizaCzyste[[#This Row],[Rok urodzenia]],KategorieWiekowe[],2,1)</f>
        <v>26–35 lat</v>
      </c>
      <c r="HI18" t="s">
        <v>483</v>
      </c>
      <c r="HK18" t="s">
        <v>1162</v>
      </c>
      <c r="HL18" t="s">
        <v>142</v>
      </c>
    </row>
    <row r="19" spans="1:221" x14ac:dyDescent="0.45">
      <c r="A19">
        <v>125</v>
      </c>
      <c r="B19">
        <f>_xlfn.IFNA(VLOOKUP(AnalizaCzyste[[#This Row],[Zakończono wypełnianie]],Zakończone[],2,0),"BRAK")</f>
        <v>74</v>
      </c>
      <c r="C19">
        <f>COUNTA(U19:HM19)</f>
        <v>80</v>
      </c>
      <c r="D19" t="s">
        <v>1164</v>
      </c>
      <c r="E19" t="s">
        <v>1165</v>
      </c>
      <c r="F19">
        <v>982</v>
      </c>
      <c r="G19" s="20" t="s">
        <v>2292</v>
      </c>
      <c r="H19" s="20" t="s">
        <v>2459</v>
      </c>
      <c r="I19" s="55"/>
      <c r="J19" s="55"/>
      <c r="K19" s="55"/>
      <c r="L19" s="55"/>
      <c r="M19" s="55"/>
      <c r="N19" s="55"/>
      <c r="O19" s="55"/>
      <c r="P19" s="55"/>
      <c r="Q19" s="55"/>
      <c r="R19" s="55"/>
      <c r="S19" s="55"/>
      <c r="T19" s="55"/>
      <c r="U19" s="1" t="s">
        <v>123</v>
      </c>
      <c r="AK19" s="56" t="s">
        <v>124</v>
      </c>
      <c r="AL19" t="s">
        <v>191</v>
      </c>
      <c r="AM19" t="str">
        <f>VLOOKUP(AnalizaCzyste[[#This Row],[Jak się nazywa uczelnia którą ukończyłeś? (proszę o wybranie jednej uczelni podlegającej ocenie)]],KategorieUczelni[],2,0)</f>
        <v>Publiczna</v>
      </c>
      <c r="AN19">
        <v>1978</v>
      </c>
      <c r="AO19" t="s">
        <v>148</v>
      </c>
      <c r="AP19" t="s">
        <v>1167</v>
      </c>
      <c r="AQ19" t="s">
        <v>169</v>
      </c>
      <c r="AR19" t="s">
        <v>169</v>
      </c>
      <c r="AS19" t="s">
        <v>169</v>
      </c>
      <c r="AT19" t="s">
        <v>150</v>
      </c>
      <c r="AU19" t="s">
        <v>150</v>
      </c>
      <c r="AV19" t="s">
        <v>1168</v>
      </c>
      <c r="AW19" t="s">
        <v>132</v>
      </c>
      <c r="AX19" t="s">
        <v>132</v>
      </c>
      <c r="AY19" t="s">
        <v>1169</v>
      </c>
      <c r="AZ19" t="s">
        <v>1170</v>
      </c>
      <c r="BA19" t="s">
        <v>132</v>
      </c>
      <c r="BC19" t="s">
        <v>1171</v>
      </c>
      <c r="BD19" s="56" t="s">
        <v>159</v>
      </c>
      <c r="BE19">
        <v>1</v>
      </c>
      <c r="BF19" t="s">
        <v>1290</v>
      </c>
      <c r="BG19">
        <v>2020</v>
      </c>
      <c r="BH19" t="s">
        <v>148</v>
      </c>
      <c r="BI19" t="s">
        <v>1050</v>
      </c>
      <c r="BJ19" t="s">
        <v>132</v>
      </c>
      <c r="BK19" t="s">
        <v>132</v>
      </c>
      <c r="BL19" t="s">
        <v>132</v>
      </c>
      <c r="BM19" t="s">
        <v>132</v>
      </c>
      <c r="BN19" t="s">
        <v>132</v>
      </c>
      <c r="BO19" t="s">
        <v>1173</v>
      </c>
      <c r="BP19" t="s">
        <v>1174</v>
      </c>
      <c r="BQ19" t="s">
        <v>230</v>
      </c>
      <c r="BS19" t="s">
        <v>1175</v>
      </c>
      <c r="BT19" t="s">
        <v>173</v>
      </c>
      <c r="CX19" s="1" t="s">
        <v>123</v>
      </c>
      <c r="DH19" s="56" t="s">
        <v>214</v>
      </c>
      <c r="DI19" t="s">
        <v>191</v>
      </c>
      <c r="DJ19" t="s">
        <v>308</v>
      </c>
      <c r="DK19" t="s">
        <v>169</v>
      </c>
      <c r="DL19" t="s">
        <v>162</v>
      </c>
      <c r="DM19" t="s">
        <v>150</v>
      </c>
      <c r="DN19" t="s">
        <v>169</v>
      </c>
      <c r="DO19" t="s">
        <v>150</v>
      </c>
      <c r="DP19" t="s">
        <v>150</v>
      </c>
      <c r="DQ19" t="s">
        <v>1177</v>
      </c>
      <c r="DR19" s="56" t="s">
        <v>174</v>
      </c>
      <c r="DU19" t="s">
        <v>1178</v>
      </c>
      <c r="DW19" t="s">
        <v>747</v>
      </c>
      <c r="DX19" t="s">
        <v>150</v>
      </c>
      <c r="DY19" t="s">
        <v>150</v>
      </c>
      <c r="DZ19" t="s">
        <v>150</v>
      </c>
      <c r="EA19" t="s">
        <v>150</v>
      </c>
      <c r="EB19" t="s">
        <v>162</v>
      </c>
      <c r="EC19" t="s">
        <v>162</v>
      </c>
      <c r="ED19" t="s">
        <v>162</v>
      </c>
      <c r="EE19">
        <v>25</v>
      </c>
      <c r="EF19">
        <v>10</v>
      </c>
      <c r="EG19">
        <v>0</v>
      </c>
      <c r="EH19">
        <v>10</v>
      </c>
      <c r="EI19">
        <v>25</v>
      </c>
      <c r="EJ19">
        <v>15</v>
      </c>
      <c r="EK19">
        <v>15</v>
      </c>
      <c r="EM19">
        <v>10</v>
      </c>
      <c r="EN19">
        <v>10</v>
      </c>
      <c r="EO19">
        <v>0</v>
      </c>
      <c r="EP19">
        <v>10</v>
      </c>
      <c r="EQ19">
        <v>50</v>
      </c>
      <c r="ER19">
        <v>10</v>
      </c>
      <c r="ES19">
        <v>10</v>
      </c>
      <c r="EU19" s="1" t="s">
        <v>123</v>
      </c>
      <c r="FU19" s="1" t="s">
        <v>123</v>
      </c>
      <c r="HC19" t="s">
        <v>1179</v>
      </c>
      <c r="HD19" t="s">
        <v>1180</v>
      </c>
      <c r="HE19" t="s">
        <v>1181</v>
      </c>
      <c r="HF19" t="s">
        <v>186</v>
      </c>
      <c r="HG19" s="20" t="s">
        <v>1473</v>
      </c>
      <c r="HH19" s="20" t="e">
        <f>VLOOKUP(AnalizaCzyste[[#This Row],[Rok urodzenia]],KategorieWiekowe[],2,1)</f>
        <v>#N/A</v>
      </c>
      <c r="HI19" t="s">
        <v>141</v>
      </c>
      <c r="HK19" t="s">
        <v>1183</v>
      </c>
    </row>
    <row r="20" spans="1:221" x14ac:dyDescent="0.45">
      <c r="A20">
        <v>126</v>
      </c>
      <c r="B20">
        <f>_xlfn.IFNA(VLOOKUP(AnalizaCzyste[[#This Row],[Zakończono wypełnianie]],Zakończone[],2,0),"BRAK")</f>
        <v>75</v>
      </c>
      <c r="C20">
        <f>COUNTA(U20:HM20)</f>
        <v>32</v>
      </c>
      <c r="D20" t="s">
        <v>1184</v>
      </c>
      <c r="E20" t="s">
        <v>1185</v>
      </c>
      <c r="F20">
        <v>739</v>
      </c>
      <c r="G20" s="20" t="s">
        <v>2292</v>
      </c>
      <c r="H20" s="20" t="s">
        <v>2458</v>
      </c>
      <c r="I20" s="55"/>
      <c r="J20" s="55"/>
      <c r="K20" s="55"/>
      <c r="L20" s="55"/>
      <c r="M20" s="55"/>
      <c r="N20" s="55"/>
      <c r="O20" s="55"/>
      <c r="P20" s="55"/>
      <c r="Q20" s="55"/>
      <c r="R20" s="55"/>
      <c r="S20" s="55"/>
      <c r="T20" s="55"/>
      <c r="U20" s="1" t="s">
        <v>123</v>
      </c>
      <c r="AK20" s="56" t="s">
        <v>124</v>
      </c>
      <c r="AL20" t="s">
        <v>191</v>
      </c>
      <c r="AM20" t="str">
        <f>VLOOKUP(AnalizaCzyste[[#This Row],[Jak się nazywa uczelnia którą ukończyłeś? (proszę o wybranie jednej uczelni podlegającej ocenie)]],KategorieUczelni[],2,0)</f>
        <v>Publiczna</v>
      </c>
      <c r="AN20">
        <v>2018</v>
      </c>
      <c r="AO20" t="s">
        <v>126</v>
      </c>
      <c r="AP20" t="s">
        <v>1186</v>
      </c>
      <c r="AQ20" t="s">
        <v>151</v>
      </c>
      <c r="AR20" t="s">
        <v>162</v>
      </c>
      <c r="AS20" t="s">
        <v>169</v>
      </c>
      <c r="AT20" t="s">
        <v>150</v>
      </c>
      <c r="AU20" t="s">
        <v>132</v>
      </c>
      <c r="AV20" t="s">
        <v>959</v>
      </c>
      <c r="AW20" t="s">
        <v>302</v>
      </c>
      <c r="AX20" t="s">
        <v>226</v>
      </c>
      <c r="AY20" t="s">
        <v>1187</v>
      </c>
      <c r="AZ20" t="s">
        <v>1188</v>
      </c>
      <c r="BA20" t="s">
        <v>1189</v>
      </c>
      <c r="BB20" t="s">
        <v>172</v>
      </c>
      <c r="BD20" s="1" t="s">
        <v>123</v>
      </c>
      <c r="CX20" s="1" t="s">
        <v>123</v>
      </c>
      <c r="DH20" s="1" t="s">
        <v>123</v>
      </c>
      <c r="DR20" s="1" t="s">
        <v>123</v>
      </c>
      <c r="EU20" s="1" t="s">
        <v>123</v>
      </c>
      <c r="FU20" s="1" t="s">
        <v>123</v>
      </c>
      <c r="HC20" t="s">
        <v>276</v>
      </c>
      <c r="HD20" t="s">
        <v>1190</v>
      </c>
      <c r="HE20" t="s">
        <v>1191</v>
      </c>
      <c r="HF20" t="s">
        <v>186</v>
      </c>
      <c r="HG20">
        <v>1991</v>
      </c>
      <c r="HH20" t="str">
        <f>VLOOKUP(AnalizaCzyste[[#This Row],[Rok urodzenia]],KategorieWiekowe[],2,1)</f>
        <v>26–35 lat</v>
      </c>
      <c r="HI20" t="s">
        <v>141</v>
      </c>
    </row>
    <row r="21" spans="1:221" x14ac:dyDescent="0.45">
      <c r="A21">
        <v>127</v>
      </c>
      <c r="B21">
        <f>_xlfn.IFNA(VLOOKUP(AnalizaCzyste[[#This Row],[Zakończono wypełnianie]],Zakończone[],2,0),"BRAK")</f>
        <v>76</v>
      </c>
      <c r="C21">
        <f>COUNTA(U21:HM21)</f>
        <v>43</v>
      </c>
      <c r="D21" t="s">
        <v>1193</v>
      </c>
      <c r="E21" t="s">
        <v>1194</v>
      </c>
      <c r="F21">
        <v>1676</v>
      </c>
      <c r="G21" s="20" t="s">
        <v>2292</v>
      </c>
      <c r="H21" s="20" t="s">
        <v>2460</v>
      </c>
      <c r="I21" s="55"/>
      <c r="J21" s="55"/>
      <c r="K21" s="55"/>
      <c r="L21" s="55"/>
      <c r="M21" s="55"/>
      <c r="N21" s="55"/>
      <c r="O21" s="55"/>
      <c r="P21" s="55"/>
      <c r="Q21" s="55"/>
      <c r="R21" s="55"/>
      <c r="S21" s="55"/>
      <c r="T21" s="55"/>
      <c r="U21" s="1" t="s">
        <v>123</v>
      </c>
      <c r="AK21" s="56" t="s">
        <v>124</v>
      </c>
      <c r="AL21" t="s">
        <v>223</v>
      </c>
      <c r="AM21" t="str">
        <f>VLOOKUP(AnalizaCzyste[[#This Row],[Jak się nazywa uczelnia którą ukończyłeś? (proszę o wybranie jednej uczelni podlegającej ocenie)]],KategorieUczelni[],2,0)</f>
        <v>Publiczna</v>
      </c>
      <c r="AN21">
        <v>1998</v>
      </c>
      <c r="AO21" t="s">
        <v>148</v>
      </c>
      <c r="AP21" t="s">
        <v>1195</v>
      </c>
      <c r="AQ21" t="s">
        <v>162</v>
      </c>
      <c r="AR21" t="s">
        <v>151</v>
      </c>
      <c r="AS21" t="s">
        <v>151</v>
      </c>
      <c r="AT21" t="s">
        <v>236</v>
      </c>
      <c r="AU21" t="s">
        <v>151</v>
      </c>
      <c r="AV21">
        <v>0</v>
      </c>
      <c r="AW21" t="s">
        <v>131</v>
      </c>
      <c r="AX21" t="s">
        <v>302</v>
      </c>
      <c r="AY21" t="s">
        <v>1196</v>
      </c>
      <c r="AZ21" t="s">
        <v>1196</v>
      </c>
      <c r="BA21" t="s">
        <v>1197</v>
      </c>
      <c r="BB21" t="s">
        <v>157</v>
      </c>
      <c r="BD21" s="1" t="s">
        <v>123</v>
      </c>
      <c r="CX21" s="1" t="s">
        <v>123</v>
      </c>
      <c r="DH21" s="1" t="s">
        <v>123</v>
      </c>
      <c r="DR21" s="1" t="s">
        <v>123</v>
      </c>
      <c r="EU21" s="56" t="s">
        <v>177</v>
      </c>
      <c r="EV21" t="s">
        <v>180</v>
      </c>
      <c r="EW21" t="s">
        <v>132</v>
      </c>
      <c r="EX21" t="s">
        <v>132</v>
      </c>
      <c r="EY21" t="s">
        <v>151</v>
      </c>
      <c r="EZ21" t="s">
        <v>151</v>
      </c>
      <c r="FA21" t="s">
        <v>151</v>
      </c>
      <c r="FB21" t="s">
        <v>178</v>
      </c>
      <c r="FC21" t="s">
        <v>132</v>
      </c>
      <c r="FD21" t="s">
        <v>132</v>
      </c>
      <c r="FE21" t="s">
        <v>173</v>
      </c>
      <c r="FU21" s="1" t="s">
        <v>123</v>
      </c>
      <c r="HC21" t="s">
        <v>1198</v>
      </c>
      <c r="HD21" t="s">
        <v>1199</v>
      </c>
      <c r="HE21" t="s">
        <v>1198</v>
      </c>
      <c r="HF21" t="s">
        <v>186</v>
      </c>
      <c r="HG21">
        <v>1974</v>
      </c>
      <c r="HH21" t="str">
        <f>VLOOKUP(AnalizaCzyste[[#This Row],[Rok urodzenia]],KategorieWiekowe[],2,1)</f>
        <v>46–55 lat</v>
      </c>
      <c r="HI21" t="s">
        <v>141</v>
      </c>
      <c r="HJ21" t="s">
        <v>313</v>
      </c>
    </row>
    <row r="22" spans="1:221" x14ac:dyDescent="0.45">
      <c r="A22">
        <v>128</v>
      </c>
      <c r="B22">
        <f>_xlfn.IFNA(VLOOKUP(AnalizaCzyste[[#This Row],[Zakończono wypełnianie]],Zakończone[],2,0),"BRAK")</f>
        <v>77</v>
      </c>
      <c r="C22">
        <f>COUNTA(U22:HM22)</f>
        <v>44</v>
      </c>
      <c r="D22" t="s">
        <v>1201</v>
      </c>
      <c r="E22" t="s">
        <v>1202</v>
      </c>
      <c r="F22">
        <v>658</v>
      </c>
      <c r="G22" s="20" t="s">
        <v>2292</v>
      </c>
      <c r="H22" s="20" t="s">
        <v>2461</v>
      </c>
      <c r="I22" s="55"/>
      <c r="J22" s="55"/>
      <c r="K22" s="55"/>
      <c r="L22" s="55"/>
      <c r="M22" s="55"/>
      <c r="N22" s="55"/>
      <c r="O22" s="55"/>
      <c r="P22" s="55"/>
      <c r="Q22" s="55"/>
      <c r="R22" s="55"/>
      <c r="S22" s="55"/>
      <c r="T22" s="55"/>
      <c r="U22" s="1" t="s">
        <v>123</v>
      </c>
      <c r="AK22" s="57" t="s">
        <v>2488</v>
      </c>
      <c r="AM22" t="e">
        <f>VLOOKUP(AnalizaCzyste[[#This Row],[Jak się nazywa uczelnia którą ukończyłeś? (proszę o wybranie jednej uczelni podlegającej ocenie)]],KategorieUczelni[],2,0)</f>
        <v>#N/A</v>
      </c>
      <c r="BD22" s="1" t="s">
        <v>123</v>
      </c>
      <c r="CX22" s="1" t="s">
        <v>123</v>
      </c>
      <c r="DH22" s="56" t="s">
        <v>214</v>
      </c>
      <c r="DI22" t="s">
        <v>191</v>
      </c>
      <c r="DJ22" t="s">
        <v>308</v>
      </c>
      <c r="DK22" t="s">
        <v>162</v>
      </c>
      <c r="DL22" t="s">
        <v>162</v>
      </c>
      <c r="DM22" t="s">
        <v>150</v>
      </c>
      <c r="DN22" t="s">
        <v>150</v>
      </c>
      <c r="DO22" t="s">
        <v>150</v>
      </c>
      <c r="DP22" t="s">
        <v>169</v>
      </c>
      <c r="DQ22" t="s">
        <v>1203</v>
      </c>
      <c r="DR22" s="1" t="s">
        <v>123</v>
      </c>
      <c r="EU22" s="56" t="s">
        <v>177</v>
      </c>
      <c r="EV22" t="s">
        <v>178</v>
      </c>
      <c r="EW22">
        <v>2</v>
      </c>
      <c r="EX22" t="s">
        <v>191</v>
      </c>
      <c r="EY22" t="s">
        <v>169</v>
      </c>
      <c r="EZ22" t="s">
        <v>169</v>
      </c>
      <c r="FA22" t="s">
        <v>169</v>
      </c>
      <c r="FB22" t="s">
        <v>178</v>
      </c>
      <c r="FC22" t="s">
        <v>1204</v>
      </c>
      <c r="FD22" t="s">
        <v>1205</v>
      </c>
      <c r="FE22" t="s">
        <v>1206</v>
      </c>
      <c r="FF22" t="s">
        <v>223</v>
      </c>
      <c r="FG22" t="s">
        <v>128</v>
      </c>
      <c r="FH22" t="s">
        <v>236</v>
      </c>
      <c r="FI22" t="s">
        <v>129</v>
      </c>
      <c r="FJ22" t="s">
        <v>178</v>
      </c>
      <c r="FK22" t="s">
        <v>960</v>
      </c>
      <c r="FL22" t="s">
        <v>1207</v>
      </c>
      <c r="FM22" t="s">
        <v>173</v>
      </c>
      <c r="FU22" s="1" t="s">
        <v>123</v>
      </c>
      <c r="HC22" t="s">
        <v>1208</v>
      </c>
      <c r="HD22" t="s">
        <v>1209</v>
      </c>
      <c r="HE22" t="s">
        <v>1210</v>
      </c>
      <c r="HF22" t="s">
        <v>186</v>
      </c>
      <c r="HG22">
        <v>1987</v>
      </c>
      <c r="HH22" t="str">
        <f>VLOOKUP(AnalizaCzyste[[#This Row],[Rok urodzenia]],KategorieWiekowe[],2,1)</f>
        <v>26–35 lat</v>
      </c>
      <c r="HI22" t="s">
        <v>141</v>
      </c>
      <c r="HK22" t="s">
        <v>191</v>
      </c>
    </row>
    <row r="23" spans="1:221" x14ac:dyDescent="0.45">
      <c r="A23">
        <v>129</v>
      </c>
      <c r="B23">
        <f>_xlfn.IFNA(VLOOKUP(AnalizaCzyste[[#This Row],[Zakończono wypełnianie]],Zakończone[],2,0),"BRAK")</f>
        <v>78</v>
      </c>
      <c r="C23">
        <f>COUNTA(U23:HM23)</f>
        <v>32</v>
      </c>
      <c r="D23" t="s">
        <v>1212</v>
      </c>
      <c r="E23" t="s">
        <v>1213</v>
      </c>
      <c r="F23">
        <v>808</v>
      </c>
      <c r="G23" s="20" t="s">
        <v>2292</v>
      </c>
      <c r="H23" s="20" t="s">
        <v>2479</v>
      </c>
      <c r="I23" s="55" t="s">
        <v>2519</v>
      </c>
      <c r="J23" s="55"/>
      <c r="K23" s="55"/>
      <c r="L23" s="55" t="s">
        <v>2518</v>
      </c>
      <c r="M23" s="55" t="s">
        <v>2508</v>
      </c>
      <c r="N23" s="55" t="s">
        <v>2517</v>
      </c>
      <c r="O23" s="55" t="s">
        <v>2516</v>
      </c>
      <c r="P23" s="55" t="s">
        <v>2515</v>
      </c>
      <c r="Q23" s="55" t="s">
        <v>2515</v>
      </c>
      <c r="R23" s="55" t="s">
        <v>2514</v>
      </c>
      <c r="S23" s="55" t="s">
        <v>2512</v>
      </c>
      <c r="T23" s="61" t="s">
        <v>2511</v>
      </c>
      <c r="U23" s="1" t="s">
        <v>123</v>
      </c>
      <c r="AK23" s="56" t="s">
        <v>124</v>
      </c>
      <c r="AL23" t="s">
        <v>428</v>
      </c>
      <c r="AM23" t="str">
        <f>VLOOKUP(AnalizaCzyste[[#This Row],[Jak się nazywa uczelnia którą ukończyłeś? (proszę o wybranie jednej uczelni podlegającej ocenie)]],KategorieUczelni[],2,0)</f>
        <v>Publiczna</v>
      </c>
      <c r="AN23">
        <v>1998</v>
      </c>
      <c r="AO23" t="s">
        <v>148</v>
      </c>
      <c r="AP23" t="s">
        <v>1215</v>
      </c>
      <c r="AQ23" t="s">
        <v>150</v>
      </c>
      <c r="AR23" t="s">
        <v>150</v>
      </c>
      <c r="AS23" t="s">
        <v>151</v>
      </c>
      <c r="AT23" t="s">
        <v>129</v>
      </c>
      <c r="AU23" t="s">
        <v>128</v>
      </c>
      <c r="AV23" t="s">
        <v>1216</v>
      </c>
      <c r="AW23" t="s">
        <v>131</v>
      </c>
      <c r="AX23" t="s">
        <v>131</v>
      </c>
      <c r="AY23" t="s">
        <v>1217</v>
      </c>
      <c r="AZ23" t="s">
        <v>1218</v>
      </c>
      <c r="BA23" t="s">
        <v>1219</v>
      </c>
      <c r="BC23" t="s">
        <v>1220</v>
      </c>
      <c r="BD23" s="1" t="s">
        <v>123</v>
      </c>
      <c r="CX23" s="1" t="s">
        <v>123</v>
      </c>
      <c r="DH23" s="1" t="s">
        <v>123</v>
      </c>
      <c r="DR23" s="1" t="s">
        <v>123</v>
      </c>
      <c r="EU23" s="1" t="s">
        <v>123</v>
      </c>
      <c r="FU23" s="1" t="s">
        <v>123</v>
      </c>
      <c r="HC23" t="s">
        <v>1221</v>
      </c>
      <c r="HD23" t="s">
        <v>1222</v>
      </c>
      <c r="HE23" t="s">
        <v>1223</v>
      </c>
      <c r="HF23" t="s">
        <v>186</v>
      </c>
      <c r="HG23">
        <v>1973</v>
      </c>
      <c r="HH23" t="str">
        <f>VLOOKUP(AnalizaCzyste[[#This Row],[Rok urodzenia]],KategorieWiekowe[],2,1)</f>
        <v>46–55 lat</v>
      </c>
      <c r="HI23" t="s">
        <v>141</v>
      </c>
    </row>
    <row r="24" spans="1:221" x14ac:dyDescent="0.45">
      <c r="A24">
        <v>130</v>
      </c>
      <c r="B24">
        <f>_xlfn.IFNA(VLOOKUP(AnalizaCzyste[[#This Row],[Zakończono wypełnianie]],Zakończone[],2,0),"BRAK")</f>
        <v>79</v>
      </c>
      <c r="C24">
        <f>COUNTA(U24:HM24)</f>
        <v>82</v>
      </c>
      <c r="D24" t="s">
        <v>1225</v>
      </c>
      <c r="E24" t="s">
        <v>1226</v>
      </c>
      <c r="F24">
        <v>4209</v>
      </c>
      <c r="G24" s="20" t="s">
        <v>2292</v>
      </c>
      <c r="H24" s="20" t="s">
        <v>2478</v>
      </c>
      <c r="I24" s="55"/>
      <c r="J24" s="55"/>
      <c r="K24" s="55"/>
      <c r="L24" s="55"/>
      <c r="M24" s="55"/>
      <c r="N24" s="55"/>
      <c r="O24" s="55"/>
      <c r="P24" s="55"/>
      <c r="Q24" s="55"/>
      <c r="R24" s="55"/>
      <c r="S24" s="55" t="s">
        <v>2513</v>
      </c>
      <c r="T24" s="55"/>
      <c r="U24" s="1" t="s">
        <v>123</v>
      </c>
      <c r="AK24" s="56" t="s">
        <v>124</v>
      </c>
      <c r="AL24" t="s">
        <v>2269</v>
      </c>
      <c r="AM24" t="str">
        <f>VLOOKUP(AnalizaCzyste[[#This Row],[Jak się nazywa uczelnia którą ukończyłeś? (proszę o wybranie jednej uczelni podlegającej ocenie)]],KategorieUczelni[],2,0)</f>
        <v>Publiczna</v>
      </c>
      <c r="AN24">
        <v>1985</v>
      </c>
      <c r="AO24" t="s">
        <v>148</v>
      </c>
      <c r="AP24" t="s">
        <v>391</v>
      </c>
      <c r="AQ24" t="s">
        <v>150</v>
      </c>
      <c r="AR24" t="s">
        <v>150</v>
      </c>
      <c r="AS24" t="s">
        <v>169</v>
      </c>
      <c r="AT24" t="s">
        <v>236</v>
      </c>
      <c r="AU24" t="s">
        <v>236</v>
      </c>
      <c r="AV24">
        <v>0</v>
      </c>
      <c r="AW24" t="s">
        <v>152</v>
      </c>
      <c r="AX24" t="s">
        <v>152</v>
      </c>
      <c r="AY24" t="s">
        <v>1228</v>
      </c>
      <c r="AZ24" t="s">
        <v>1229</v>
      </c>
      <c r="BA24" t="s">
        <v>1229</v>
      </c>
      <c r="BB24" t="s">
        <v>157</v>
      </c>
      <c r="BD24" s="56" t="s">
        <v>159</v>
      </c>
      <c r="BE24">
        <v>2</v>
      </c>
      <c r="BF24" t="s">
        <v>1230</v>
      </c>
      <c r="BG24">
        <v>2005</v>
      </c>
      <c r="BH24" t="s">
        <v>148</v>
      </c>
      <c r="BI24" t="s">
        <v>1231</v>
      </c>
      <c r="BJ24" t="s">
        <v>169</v>
      </c>
      <c r="BK24" t="s">
        <v>169</v>
      </c>
      <c r="BL24" t="s">
        <v>169</v>
      </c>
      <c r="BM24" t="s">
        <v>236</v>
      </c>
      <c r="BN24" t="s">
        <v>236</v>
      </c>
      <c r="BO24">
        <v>0</v>
      </c>
      <c r="BP24" t="s">
        <v>1232</v>
      </c>
      <c r="BQ24" t="s">
        <v>157</v>
      </c>
      <c r="BT24" t="s">
        <v>166</v>
      </c>
      <c r="BU24" t="s">
        <v>1233</v>
      </c>
      <c r="BV24">
        <v>2008</v>
      </c>
      <c r="BW24" t="s">
        <v>148</v>
      </c>
      <c r="BX24" t="s">
        <v>1234</v>
      </c>
      <c r="BY24" t="s">
        <v>169</v>
      </c>
      <c r="BZ24" t="s">
        <v>169</v>
      </c>
      <c r="CA24" t="s">
        <v>169</v>
      </c>
      <c r="CB24" t="s">
        <v>128</v>
      </c>
      <c r="CC24" t="s">
        <v>162</v>
      </c>
      <c r="CD24" t="s">
        <v>1235</v>
      </c>
      <c r="CE24" t="s">
        <v>1236</v>
      </c>
      <c r="CF24" t="s">
        <v>157</v>
      </c>
      <c r="CI24" t="s">
        <v>173</v>
      </c>
      <c r="CX24" s="1" t="s">
        <v>123</v>
      </c>
      <c r="DH24" s="1" t="s">
        <v>123</v>
      </c>
      <c r="DR24" s="56" t="s">
        <v>174</v>
      </c>
      <c r="DS24" t="s">
        <v>394</v>
      </c>
      <c r="DW24" t="s">
        <v>1230</v>
      </c>
      <c r="DX24" t="s">
        <v>150</v>
      </c>
      <c r="DY24" t="s">
        <v>150</v>
      </c>
      <c r="DZ24" t="s">
        <v>150</v>
      </c>
      <c r="EA24" t="s">
        <v>150</v>
      </c>
      <c r="EB24" t="s">
        <v>150</v>
      </c>
      <c r="EC24" t="s">
        <v>169</v>
      </c>
      <c r="ED24" t="s">
        <v>150</v>
      </c>
      <c r="EE24">
        <v>20</v>
      </c>
      <c r="EF24">
        <v>5</v>
      </c>
      <c r="EG24">
        <v>0</v>
      </c>
      <c r="EH24">
        <v>30</v>
      </c>
      <c r="EI24">
        <v>25</v>
      </c>
      <c r="EJ24">
        <v>10</v>
      </c>
      <c r="EK24">
        <v>10</v>
      </c>
      <c r="EM24">
        <v>10</v>
      </c>
      <c r="EN24">
        <v>5</v>
      </c>
      <c r="EO24">
        <v>0</v>
      </c>
      <c r="EP24">
        <v>25</v>
      </c>
      <c r="EQ24">
        <v>25</v>
      </c>
      <c r="ER24">
        <v>5</v>
      </c>
      <c r="ES24">
        <v>30</v>
      </c>
      <c r="EU24" s="1" t="s">
        <v>123</v>
      </c>
      <c r="FU24" s="1" t="s">
        <v>123</v>
      </c>
      <c r="HC24" t="s">
        <v>1237</v>
      </c>
      <c r="HD24" t="s">
        <v>1229</v>
      </c>
      <c r="HE24" t="s">
        <v>1229</v>
      </c>
      <c r="HF24" t="s">
        <v>140</v>
      </c>
      <c r="HG24">
        <v>1958</v>
      </c>
      <c r="HH24" t="str">
        <f>VLOOKUP(AnalizaCzyste[[#This Row],[Rok urodzenia]],KategorieWiekowe[],2,1)</f>
        <v>56–65 lat</v>
      </c>
      <c r="HI24" t="s">
        <v>141</v>
      </c>
    </row>
    <row r="25" spans="1:221" x14ac:dyDescent="0.45">
      <c r="A25">
        <v>131</v>
      </c>
      <c r="B25">
        <f>_xlfn.IFNA(VLOOKUP(AnalizaCzyste[[#This Row],[Zakończono wypełnianie]],Zakończone[],2,0),"BRAK")</f>
        <v>80</v>
      </c>
      <c r="C25">
        <f>COUNTA(U25:HM25)</f>
        <v>36</v>
      </c>
      <c r="D25" t="s">
        <v>1239</v>
      </c>
      <c r="E25" t="s">
        <v>1240</v>
      </c>
      <c r="F25">
        <v>356</v>
      </c>
      <c r="G25" s="20" t="s">
        <v>2292</v>
      </c>
      <c r="H25" s="20" t="s">
        <v>2462</v>
      </c>
      <c r="I25" s="55"/>
      <c r="J25" s="55"/>
      <c r="K25" s="55"/>
      <c r="L25" s="55"/>
      <c r="M25" s="55"/>
      <c r="N25" s="55"/>
      <c r="O25" s="55"/>
      <c r="P25" s="55"/>
      <c r="Q25" s="55"/>
      <c r="R25" s="55"/>
      <c r="S25" s="55"/>
      <c r="T25" s="55"/>
      <c r="U25" s="1" t="s">
        <v>123</v>
      </c>
      <c r="AK25" s="56" t="s">
        <v>124</v>
      </c>
      <c r="AL25" t="s">
        <v>223</v>
      </c>
      <c r="AM25" t="str">
        <f>VLOOKUP(AnalizaCzyste[[#This Row],[Jak się nazywa uczelnia którą ukończyłeś? (proszę o wybranie jednej uczelni podlegającej ocenie)]],KategorieUczelni[],2,0)</f>
        <v>Publiczna</v>
      </c>
      <c r="AN25">
        <v>1997</v>
      </c>
      <c r="AO25" t="s">
        <v>148</v>
      </c>
      <c r="AP25" t="s">
        <v>161</v>
      </c>
      <c r="AQ25" t="s">
        <v>128</v>
      </c>
      <c r="AR25" t="s">
        <v>128</v>
      </c>
      <c r="AS25" t="s">
        <v>162</v>
      </c>
      <c r="AT25" t="s">
        <v>162</v>
      </c>
      <c r="AU25" t="s">
        <v>162</v>
      </c>
      <c r="AV25">
        <v>1</v>
      </c>
      <c r="AW25" t="s">
        <v>131</v>
      </c>
      <c r="AX25" t="s">
        <v>131</v>
      </c>
      <c r="AY25" t="s">
        <v>1241</v>
      </c>
      <c r="AZ25" t="s">
        <v>1242</v>
      </c>
      <c r="BA25" t="s">
        <v>1243</v>
      </c>
      <c r="BB25" t="s">
        <v>157</v>
      </c>
      <c r="BC25" t="s">
        <v>1244</v>
      </c>
      <c r="BD25" s="1" t="s">
        <v>123</v>
      </c>
      <c r="CX25" s="1" t="s">
        <v>123</v>
      </c>
      <c r="DH25" s="1" t="s">
        <v>123</v>
      </c>
      <c r="DR25" s="1" t="s">
        <v>123</v>
      </c>
      <c r="EU25" s="1" t="s">
        <v>123</v>
      </c>
      <c r="EV25" t="s">
        <v>178</v>
      </c>
      <c r="EW25" t="s">
        <v>132</v>
      </c>
      <c r="FU25" s="57" t="s">
        <v>2488</v>
      </c>
      <c r="HC25" t="s">
        <v>1245</v>
      </c>
      <c r="HD25" t="s">
        <v>1246</v>
      </c>
      <c r="HE25" t="s">
        <v>1247</v>
      </c>
      <c r="HF25" t="s">
        <v>186</v>
      </c>
      <c r="HG25">
        <v>1974</v>
      </c>
      <c r="HH25" t="str">
        <f>VLOOKUP(AnalizaCzyste[[#This Row],[Rok urodzenia]],KategorieWiekowe[],2,1)</f>
        <v>46–55 lat</v>
      </c>
      <c r="HI25" t="s">
        <v>398</v>
      </c>
      <c r="HK25" t="s">
        <v>1248</v>
      </c>
    </row>
    <row r="26" spans="1:221" x14ac:dyDescent="0.45">
      <c r="A26">
        <v>133</v>
      </c>
      <c r="B26">
        <f>_xlfn.IFNA(VLOOKUP(AnalizaCzyste[[#This Row],[Zakończono wypełnianie]],Zakończone[],2,0),"BRAK")</f>
        <v>81</v>
      </c>
      <c r="C26">
        <f>COUNTA(U26:HM26)</f>
        <v>42</v>
      </c>
      <c r="D26" t="s">
        <v>1252</v>
      </c>
      <c r="E26" t="s">
        <v>1253</v>
      </c>
      <c r="F26">
        <v>367</v>
      </c>
      <c r="G26" s="20" t="s">
        <v>2292</v>
      </c>
      <c r="H26" s="20" t="s">
        <v>2463</v>
      </c>
      <c r="I26" s="55"/>
      <c r="J26" s="55"/>
      <c r="K26" s="55"/>
      <c r="L26" s="55"/>
      <c r="M26" s="55"/>
      <c r="N26" s="55"/>
      <c r="O26" s="55"/>
      <c r="P26" s="55"/>
      <c r="Q26" s="55"/>
      <c r="R26" s="55"/>
      <c r="S26" s="55"/>
      <c r="T26" s="55"/>
      <c r="U26" s="1" t="s">
        <v>123</v>
      </c>
      <c r="AK26" s="56" t="s">
        <v>124</v>
      </c>
      <c r="AL26" t="s">
        <v>223</v>
      </c>
      <c r="AM26" t="str">
        <f>VLOOKUP(AnalizaCzyste[[#This Row],[Jak się nazywa uczelnia którą ukończyłeś? (proszę o wybranie jednej uczelni podlegającej ocenie)]],KategorieUczelni[],2,0)</f>
        <v>Publiczna</v>
      </c>
      <c r="AN26">
        <v>2006</v>
      </c>
      <c r="AO26" t="s">
        <v>148</v>
      </c>
      <c r="AP26" t="s">
        <v>1050</v>
      </c>
      <c r="AQ26" t="s">
        <v>162</v>
      </c>
      <c r="AR26" t="s">
        <v>162</v>
      </c>
      <c r="AS26" t="s">
        <v>169</v>
      </c>
      <c r="AT26" t="s">
        <v>236</v>
      </c>
      <c r="AU26" t="s">
        <v>151</v>
      </c>
      <c r="AV26">
        <v>3</v>
      </c>
      <c r="AW26" t="s">
        <v>131</v>
      </c>
      <c r="AX26" t="s">
        <v>302</v>
      </c>
      <c r="AY26" t="s">
        <v>1254</v>
      </c>
      <c r="AZ26" t="s">
        <v>1255</v>
      </c>
      <c r="BA26" t="s">
        <v>1256</v>
      </c>
      <c r="BB26" t="s">
        <v>157</v>
      </c>
      <c r="BC26" t="s">
        <v>1257</v>
      </c>
      <c r="BD26" s="1" t="s">
        <v>123</v>
      </c>
      <c r="CX26" s="1" t="s">
        <v>123</v>
      </c>
      <c r="DH26" s="56" t="s">
        <v>214</v>
      </c>
      <c r="DI26" t="s">
        <v>191</v>
      </c>
      <c r="DJ26" t="s">
        <v>308</v>
      </c>
      <c r="DK26" t="s">
        <v>169</v>
      </c>
      <c r="DL26" t="s">
        <v>150</v>
      </c>
      <c r="DM26" t="s">
        <v>150</v>
      </c>
      <c r="DN26" t="s">
        <v>169</v>
      </c>
      <c r="DO26" t="s">
        <v>162</v>
      </c>
      <c r="DP26" t="s">
        <v>162</v>
      </c>
      <c r="DQ26" t="s">
        <v>1258</v>
      </c>
      <c r="DR26" s="1" t="s">
        <v>123</v>
      </c>
      <c r="EU26" s="1" t="s">
        <v>123</v>
      </c>
      <c r="FU26" s="1" t="s">
        <v>123</v>
      </c>
      <c r="HC26" t="s">
        <v>1259</v>
      </c>
      <c r="HD26" t="s">
        <v>1260</v>
      </c>
      <c r="HE26" t="s">
        <v>1261</v>
      </c>
      <c r="HF26" t="s">
        <v>186</v>
      </c>
      <c r="HG26">
        <v>1982</v>
      </c>
      <c r="HH26" t="str">
        <f>VLOOKUP(AnalizaCzyste[[#This Row],[Rok urodzenia]],KategorieWiekowe[],2,1)</f>
        <v>36–45 lat</v>
      </c>
      <c r="HI26" t="s">
        <v>141</v>
      </c>
    </row>
    <row r="27" spans="1:221" x14ac:dyDescent="0.45">
      <c r="A27">
        <v>135</v>
      </c>
      <c r="B27">
        <f>_xlfn.IFNA(VLOOKUP(AnalizaCzyste[[#This Row],[Zakończono wypełnianie]],Zakończone[],2,0),"BRAK")</f>
        <v>82</v>
      </c>
      <c r="C27">
        <f>COUNTA(U27:HM27)</f>
        <v>68</v>
      </c>
      <c r="D27" t="s">
        <v>1266</v>
      </c>
      <c r="E27" t="s">
        <v>1267</v>
      </c>
      <c r="F27">
        <v>2127</v>
      </c>
      <c r="G27" s="20" t="s">
        <v>2292</v>
      </c>
      <c r="H27" s="20" t="s">
        <v>2480</v>
      </c>
      <c r="I27" s="55" t="s">
        <v>2510</v>
      </c>
      <c r="J27" s="55"/>
      <c r="K27" s="55"/>
      <c r="L27" s="55" t="s">
        <v>2509</v>
      </c>
      <c r="M27" s="55" t="s">
        <v>2508</v>
      </c>
      <c r="N27" s="55" t="s">
        <v>2507</v>
      </c>
      <c r="O27" s="55" t="s">
        <v>2506</v>
      </c>
      <c r="P27" s="55" t="s">
        <v>2505</v>
      </c>
      <c r="Q27" s="55" t="s">
        <v>2504</v>
      </c>
      <c r="R27" s="55" t="s">
        <v>2503</v>
      </c>
      <c r="S27" s="55" t="s">
        <v>2502</v>
      </c>
      <c r="T27" s="55" t="s">
        <v>2501</v>
      </c>
      <c r="U27" s="1" t="s">
        <v>123</v>
      </c>
      <c r="AK27" s="56" t="s">
        <v>124</v>
      </c>
      <c r="AL27" t="s">
        <v>191</v>
      </c>
      <c r="AM27" t="str">
        <f>VLOOKUP(AnalizaCzyste[[#This Row],[Jak się nazywa uczelnia którą ukończyłeś? (proszę o wybranie jednej uczelni podlegającej ocenie)]],KategorieUczelni[],2,0)</f>
        <v>Publiczna</v>
      </c>
      <c r="AN27">
        <v>1982</v>
      </c>
      <c r="AO27" t="s">
        <v>126</v>
      </c>
      <c r="AP27" t="s">
        <v>1268</v>
      </c>
      <c r="AQ27" t="s">
        <v>169</v>
      </c>
      <c r="AR27" t="s">
        <v>169</v>
      </c>
      <c r="AS27" t="s">
        <v>169</v>
      </c>
      <c r="AT27" t="s">
        <v>169</v>
      </c>
      <c r="AU27" t="s">
        <v>169</v>
      </c>
      <c r="AV27">
        <v>0</v>
      </c>
      <c r="AW27" t="s">
        <v>153</v>
      </c>
      <c r="AX27" t="s">
        <v>759</v>
      </c>
      <c r="AY27" t="s">
        <v>1269</v>
      </c>
      <c r="AZ27" t="s">
        <v>1270</v>
      </c>
      <c r="BA27" t="s">
        <v>386</v>
      </c>
      <c r="BC27" t="s">
        <v>1271</v>
      </c>
      <c r="BD27" s="56" t="s">
        <v>159</v>
      </c>
      <c r="BE27">
        <v>1</v>
      </c>
      <c r="BF27" t="s">
        <v>1290</v>
      </c>
      <c r="BG27">
        <v>2011</v>
      </c>
      <c r="BH27" t="s">
        <v>148</v>
      </c>
      <c r="BI27" t="s">
        <v>1050</v>
      </c>
      <c r="BJ27" t="s">
        <v>169</v>
      </c>
      <c r="BK27" t="s">
        <v>169</v>
      </c>
      <c r="BL27" t="s">
        <v>169</v>
      </c>
      <c r="BM27" t="s">
        <v>169</v>
      </c>
      <c r="BN27" t="s">
        <v>169</v>
      </c>
      <c r="BO27" t="s">
        <v>1273</v>
      </c>
      <c r="BP27" t="s">
        <v>1274</v>
      </c>
      <c r="BQ27" t="s">
        <v>157</v>
      </c>
      <c r="BS27" t="s">
        <v>1275</v>
      </c>
      <c r="BT27" t="s">
        <v>173</v>
      </c>
      <c r="CX27" s="1" t="s">
        <v>123</v>
      </c>
      <c r="DH27" s="56" t="s">
        <v>214</v>
      </c>
      <c r="DI27" t="s">
        <v>191</v>
      </c>
      <c r="DJ27" t="s">
        <v>1276</v>
      </c>
      <c r="DK27" t="s">
        <v>169</v>
      </c>
      <c r="DL27" t="s">
        <v>169</v>
      </c>
      <c r="DM27" t="s">
        <v>169</v>
      </c>
      <c r="DN27" t="s">
        <v>150</v>
      </c>
      <c r="DO27" t="s">
        <v>169</v>
      </c>
      <c r="DP27" t="s">
        <v>169</v>
      </c>
      <c r="DQ27" t="s">
        <v>1277</v>
      </c>
      <c r="DR27" s="1" t="s">
        <v>123</v>
      </c>
      <c r="EU27" s="56" t="s">
        <v>177</v>
      </c>
      <c r="EV27" t="s">
        <v>178</v>
      </c>
      <c r="EW27">
        <v>1</v>
      </c>
      <c r="EX27" t="s">
        <v>747</v>
      </c>
      <c r="EY27" t="s">
        <v>169</v>
      </c>
      <c r="EZ27" t="s">
        <v>169</v>
      </c>
      <c r="FA27" t="s">
        <v>151</v>
      </c>
      <c r="FB27" t="s">
        <v>178</v>
      </c>
      <c r="FC27" t="s">
        <v>1278</v>
      </c>
      <c r="FD27" t="s">
        <v>1279</v>
      </c>
      <c r="FE27" t="s">
        <v>173</v>
      </c>
      <c r="FU27" s="1" t="s">
        <v>123</v>
      </c>
      <c r="HC27" t="s">
        <v>1280</v>
      </c>
      <c r="HD27" t="s">
        <v>1281</v>
      </c>
      <c r="HE27" t="s">
        <v>1282</v>
      </c>
      <c r="HF27" t="s">
        <v>186</v>
      </c>
      <c r="HG27" s="42">
        <v>1956</v>
      </c>
      <c r="HH27" s="42" t="str">
        <f>VLOOKUP(AnalizaCzyste[[#This Row],[Rok urodzenia]],KategorieWiekowe[],2,1)</f>
        <v>56–65 lat</v>
      </c>
      <c r="HI27" t="s">
        <v>398</v>
      </c>
      <c r="HK27" t="s">
        <v>1284</v>
      </c>
      <c r="HL27" t="s">
        <v>1285</v>
      </c>
    </row>
    <row r="28" spans="1:221" x14ac:dyDescent="0.45">
      <c r="A28">
        <v>137</v>
      </c>
      <c r="B28">
        <f>_xlfn.IFNA(VLOOKUP(AnalizaCzyste[[#This Row],[Zakończono wypełnianie]],Zakończone[],2,0),"BRAK")</f>
        <v>83</v>
      </c>
      <c r="C28">
        <f>COUNTA(U28:HM28)</f>
        <v>44</v>
      </c>
      <c r="D28" t="s">
        <v>1288</v>
      </c>
      <c r="E28" t="s">
        <v>1289</v>
      </c>
      <c r="F28">
        <v>1208727</v>
      </c>
      <c r="G28" s="20" t="s">
        <v>2292</v>
      </c>
      <c r="H28" s="20" t="s">
        <v>2464</v>
      </c>
      <c r="I28" s="55"/>
      <c r="J28" s="55"/>
      <c r="K28" s="55"/>
      <c r="L28" s="55"/>
      <c r="M28" s="55"/>
      <c r="N28" s="55"/>
      <c r="O28" s="55"/>
      <c r="P28" s="55"/>
      <c r="Q28" s="55"/>
      <c r="R28" s="55"/>
      <c r="S28" s="55"/>
      <c r="T28" s="55"/>
      <c r="U28" s="1" t="s">
        <v>123</v>
      </c>
      <c r="AK28" s="56" t="s">
        <v>124</v>
      </c>
      <c r="AL28" t="s">
        <v>1290</v>
      </c>
      <c r="AM28" t="str">
        <f>VLOOKUP(AnalizaCzyste[[#This Row],[Jak się nazywa uczelnia którą ukończyłeś? (proszę o wybranie jednej uczelni podlegającej ocenie)]],KategorieUczelni[],2,0)</f>
        <v>Niepubliczna</v>
      </c>
      <c r="AN28">
        <v>2012</v>
      </c>
      <c r="AO28" t="s">
        <v>148</v>
      </c>
      <c r="AP28" t="s">
        <v>1050</v>
      </c>
      <c r="AQ28" t="s">
        <v>162</v>
      </c>
      <c r="AR28" t="s">
        <v>151</v>
      </c>
      <c r="AS28" t="s">
        <v>162</v>
      </c>
      <c r="AT28" t="s">
        <v>151</v>
      </c>
      <c r="AU28" t="s">
        <v>128</v>
      </c>
      <c r="AV28" t="s">
        <v>237</v>
      </c>
      <c r="AW28" t="s">
        <v>132</v>
      </c>
      <c r="AX28" t="s">
        <v>132</v>
      </c>
      <c r="AY28" t="s">
        <v>1291</v>
      </c>
      <c r="AZ28" t="s">
        <v>1292</v>
      </c>
      <c r="BA28" t="s">
        <v>1293</v>
      </c>
      <c r="BB28" t="s">
        <v>892</v>
      </c>
      <c r="BD28" s="1" t="s">
        <v>123</v>
      </c>
      <c r="CX28" s="1" t="s">
        <v>123</v>
      </c>
      <c r="DH28" s="1" t="s">
        <v>123</v>
      </c>
      <c r="DR28" s="1" t="s">
        <v>123</v>
      </c>
      <c r="EU28" s="56" t="s">
        <v>177</v>
      </c>
      <c r="EV28" t="s">
        <v>178</v>
      </c>
      <c r="EW28" t="s">
        <v>132</v>
      </c>
      <c r="EX28" t="s">
        <v>191</v>
      </c>
      <c r="EY28" t="s">
        <v>162</v>
      </c>
      <c r="EZ28" t="s">
        <v>151</v>
      </c>
      <c r="FA28" t="s">
        <v>128</v>
      </c>
      <c r="FB28" t="s">
        <v>178</v>
      </c>
      <c r="FC28" t="s">
        <v>1294</v>
      </c>
      <c r="FD28" t="s">
        <v>1295</v>
      </c>
      <c r="FE28" t="s">
        <v>173</v>
      </c>
      <c r="FU28" s="1" t="s">
        <v>123</v>
      </c>
      <c r="HC28" t="s">
        <v>1296</v>
      </c>
      <c r="HD28" t="s">
        <v>1297</v>
      </c>
      <c r="HE28" t="s">
        <v>1298</v>
      </c>
      <c r="HF28" t="s">
        <v>186</v>
      </c>
      <c r="HG28">
        <v>1987</v>
      </c>
      <c r="HH28" t="str">
        <f>VLOOKUP(AnalizaCzyste[[#This Row],[Rok urodzenia]],KategorieWiekowe[],2,1)</f>
        <v>26–35 lat</v>
      </c>
      <c r="HI28" t="s">
        <v>246</v>
      </c>
      <c r="HK28" t="s">
        <v>1299</v>
      </c>
      <c r="HL28" t="s">
        <v>1300</v>
      </c>
    </row>
    <row r="29" spans="1:221" x14ac:dyDescent="0.45">
      <c r="A29">
        <v>257</v>
      </c>
      <c r="B29">
        <f>_xlfn.IFNA(VLOOKUP(AnalizaCzyste[[#This Row],[Zakończono wypełnianie]],Zakończone[],2,0),"BRAK")</f>
        <v>134</v>
      </c>
      <c r="C29">
        <f>COUNTA(U29:HM29)</f>
        <v>62</v>
      </c>
      <c r="D29" t="s">
        <v>2015</v>
      </c>
      <c r="E29" t="s">
        <v>2016</v>
      </c>
      <c r="F29">
        <v>1430</v>
      </c>
      <c r="G29" s="20" t="s">
        <v>2292</v>
      </c>
      <c r="H29" s="20" t="s">
        <v>2483</v>
      </c>
      <c r="I29" s="55"/>
      <c r="J29" s="55"/>
      <c r="K29" s="55"/>
      <c r="L29" s="55"/>
      <c r="M29" s="55"/>
      <c r="N29" s="55"/>
      <c r="O29" s="55"/>
      <c r="P29" s="55"/>
      <c r="Q29" s="55"/>
      <c r="R29" s="55"/>
      <c r="S29" s="55"/>
      <c r="T29" s="55"/>
      <c r="U29" s="1" t="s">
        <v>123</v>
      </c>
      <c r="AK29" s="56" t="s">
        <v>124</v>
      </c>
      <c r="AL29" t="s">
        <v>191</v>
      </c>
      <c r="AM29" t="str">
        <f>VLOOKUP(AnalizaCzyste[[#This Row],[Jak się nazywa uczelnia którą ukończyłeś? (proszę o wybranie jednej uczelni podlegającej ocenie)]],KategorieUczelni[],2,0)</f>
        <v>Publiczna</v>
      </c>
      <c r="AN29">
        <v>1989</v>
      </c>
      <c r="AO29" t="s">
        <v>126</v>
      </c>
      <c r="AP29" t="s">
        <v>2017</v>
      </c>
      <c r="AQ29" t="s">
        <v>150</v>
      </c>
      <c r="AR29" t="s">
        <v>150</v>
      </c>
      <c r="AS29" t="s">
        <v>162</v>
      </c>
      <c r="AT29" t="s">
        <v>162</v>
      </c>
      <c r="AU29" t="s">
        <v>162</v>
      </c>
      <c r="AV29">
        <v>0</v>
      </c>
      <c r="AW29" t="s">
        <v>226</v>
      </c>
      <c r="AX29" t="s">
        <v>226</v>
      </c>
      <c r="AY29" t="s">
        <v>2018</v>
      </c>
      <c r="AZ29" t="s">
        <v>1229</v>
      </c>
      <c r="BA29" t="s">
        <v>1229</v>
      </c>
      <c r="BB29" t="s">
        <v>157</v>
      </c>
      <c r="BC29" t="s">
        <v>1271</v>
      </c>
      <c r="BD29" s="56" t="s">
        <v>159</v>
      </c>
      <c r="BE29">
        <v>1</v>
      </c>
      <c r="BF29" t="s">
        <v>191</v>
      </c>
      <c r="BG29">
        <v>2016</v>
      </c>
      <c r="BH29" t="s">
        <v>126</v>
      </c>
      <c r="BI29" t="s">
        <v>2019</v>
      </c>
      <c r="BJ29" t="s">
        <v>150</v>
      </c>
      <c r="BK29" t="s">
        <v>150</v>
      </c>
      <c r="BL29" t="s">
        <v>151</v>
      </c>
      <c r="BM29" t="s">
        <v>128</v>
      </c>
      <c r="BN29" t="s">
        <v>162</v>
      </c>
      <c r="BO29" t="s">
        <v>2020</v>
      </c>
      <c r="BP29" t="s">
        <v>2021</v>
      </c>
      <c r="BQ29" t="s">
        <v>157</v>
      </c>
      <c r="BT29" t="s">
        <v>173</v>
      </c>
      <c r="CX29" s="1" t="s">
        <v>123</v>
      </c>
      <c r="DH29" s="1" t="s">
        <v>123</v>
      </c>
      <c r="DR29" s="1" t="s">
        <v>123</v>
      </c>
      <c r="EU29" s="1" t="s">
        <v>123</v>
      </c>
      <c r="FU29" s="56" t="s">
        <v>2022</v>
      </c>
      <c r="FV29" t="s">
        <v>2023</v>
      </c>
      <c r="FW29" t="s">
        <v>2024</v>
      </c>
      <c r="FX29">
        <v>1</v>
      </c>
      <c r="FY29" t="s">
        <v>191</v>
      </c>
      <c r="FZ29" t="s">
        <v>150</v>
      </c>
      <c r="GA29" t="s">
        <v>150</v>
      </c>
      <c r="GB29" t="s">
        <v>150</v>
      </c>
      <c r="GC29" t="s">
        <v>150</v>
      </c>
      <c r="GD29" t="s">
        <v>150</v>
      </c>
      <c r="GE29" t="s">
        <v>150</v>
      </c>
      <c r="GF29" t="s">
        <v>150</v>
      </c>
      <c r="GH29" t="s">
        <v>2025</v>
      </c>
      <c r="GI29" t="s">
        <v>173</v>
      </c>
      <c r="HC29" t="s">
        <v>1229</v>
      </c>
      <c r="HD29" t="s">
        <v>1229</v>
      </c>
      <c r="HE29" t="s">
        <v>1229</v>
      </c>
      <c r="HF29" t="s">
        <v>186</v>
      </c>
      <c r="HG29">
        <v>1965</v>
      </c>
      <c r="HH29" t="str">
        <f>VLOOKUP(AnalizaCzyste[[#This Row],[Rok urodzenia]],KategorieWiekowe[],2,1)</f>
        <v>46–55 lat</v>
      </c>
      <c r="HI29" t="s">
        <v>220</v>
      </c>
      <c r="HK29" t="s">
        <v>2026</v>
      </c>
      <c r="HM29" t="s">
        <v>2027</v>
      </c>
    </row>
    <row r="30" spans="1:221" x14ac:dyDescent="0.45">
      <c r="A30">
        <v>258</v>
      </c>
      <c r="B30">
        <f>_xlfn.IFNA(VLOOKUP(AnalizaCzyste[[#This Row],[Zakończono wypełnianie]],Zakończone[],2,0),"BRAK")</f>
        <v>135</v>
      </c>
      <c r="C30">
        <f>COUNTA(U30:HM30)</f>
        <v>56</v>
      </c>
      <c r="D30" t="s">
        <v>2028</v>
      </c>
      <c r="E30" t="s">
        <v>2029</v>
      </c>
      <c r="F30">
        <v>721</v>
      </c>
      <c r="G30" s="20" t="s">
        <v>2292</v>
      </c>
      <c r="H30" s="20" t="s">
        <v>2484</v>
      </c>
      <c r="I30" s="55"/>
      <c r="J30" s="55"/>
      <c r="K30" s="55"/>
      <c r="L30" s="55"/>
      <c r="M30" s="55"/>
      <c r="N30" s="55"/>
      <c r="O30" s="55"/>
      <c r="P30" s="55"/>
      <c r="Q30" s="55"/>
      <c r="R30" s="55"/>
      <c r="S30" s="55"/>
      <c r="T30" s="55"/>
      <c r="U30" s="1" t="s">
        <v>123</v>
      </c>
      <c r="AK30" s="56" t="s">
        <v>124</v>
      </c>
      <c r="AL30" t="s">
        <v>234</v>
      </c>
      <c r="AM30" t="str">
        <f>VLOOKUP(AnalizaCzyste[[#This Row],[Jak się nazywa uczelnia którą ukończyłeś? (proszę o wybranie jednej uczelni podlegającej ocenie)]],KategorieUczelni[],2,0)</f>
        <v>Publiczna</v>
      </c>
      <c r="AN30">
        <v>1985</v>
      </c>
      <c r="AO30" t="s">
        <v>148</v>
      </c>
      <c r="AP30" t="s">
        <v>2030</v>
      </c>
      <c r="AQ30" t="s">
        <v>169</v>
      </c>
      <c r="AR30" t="s">
        <v>169</v>
      </c>
      <c r="AS30" t="s">
        <v>150</v>
      </c>
      <c r="AT30" t="s">
        <v>128</v>
      </c>
      <c r="AU30" t="s">
        <v>128</v>
      </c>
      <c r="AV30">
        <v>4</v>
      </c>
      <c r="AW30" t="s">
        <v>131</v>
      </c>
      <c r="AX30" t="s">
        <v>131</v>
      </c>
      <c r="AY30" t="s">
        <v>2031</v>
      </c>
      <c r="AZ30" t="s">
        <v>1229</v>
      </c>
      <c r="BA30" t="s">
        <v>1229</v>
      </c>
      <c r="BB30" t="s">
        <v>157</v>
      </c>
      <c r="BC30" t="s">
        <v>2032</v>
      </c>
      <c r="BD30" s="1" t="s">
        <v>123</v>
      </c>
      <c r="CX30" s="1" t="s">
        <v>123</v>
      </c>
      <c r="DH30" s="1" t="s">
        <v>123</v>
      </c>
      <c r="DR30" s="56" t="s">
        <v>174</v>
      </c>
      <c r="DS30" t="s">
        <v>394</v>
      </c>
      <c r="DW30" t="s">
        <v>234</v>
      </c>
      <c r="DX30" t="s">
        <v>162</v>
      </c>
      <c r="DY30" t="s">
        <v>162</v>
      </c>
      <c r="DZ30" t="s">
        <v>162</v>
      </c>
      <c r="EA30" t="s">
        <v>132</v>
      </c>
      <c r="EB30" t="s">
        <v>132</v>
      </c>
      <c r="EC30" t="s">
        <v>132</v>
      </c>
      <c r="ED30" t="s">
        <v>162</v>
      </c>
      <c r="EE30">
        <v>20</v>
      </c>
      <c r="EF30">
        <v>60</v>
      </c>
      <c r="EG30">
        <v>0</v>
      </c>
      <c r="EH30">
        <v>0</v>
      </c>
      <c r="EI30">
        <v>0</v>
      </c>
      <c r="EJ30">
        <v>20</v>
      </c>
      <c r="EK30">
        <v>0</v>
      </c>
      <c r="EM30">
        <v>20</v>
      </c>
      <c r="EN30">
        <v>60</v>
      </c>
      <c r="EO30">
        <v>0</v>
      </c>
      <c r="EP30">
        <v>0</v>
      </c>
      <c r="EQ30">
        <v>0</v>
      </c>
      <c r="ER30">
        <v>20</v>
      </c>
      <c r="ES30">
        <v>0</v>
      </c>
      <c r="EU30" s="1" t="s">
        <v>123</v>
      </c>
      <c r="FU30" s="1" t="s">
        <v>123</v>
      </c>
      <c r="HC30" t="s">
        <v>2033</v>
      </c>
      <c r="HD30" t="s">
        <v>1229</v>
      </c>
      <c r="HE30" t="s">
        <v>1229</v>
      </c>
      <c r="HF30" t="s">
        <v>186</v>
      </c>
      <c r="HG30">
        <v>1961</v>
      </c>
      <c r="HH30" t="str">
        <f>VLOOKUP(AnalizaCzyste[[#This Row],[Rok urodzenia]],KategorieWiekowe[],2,1)</f>
        <v>56–65 lat</v>
      </c>
      <c r="HI30" t="s">
        <v>141</v>
      </c>
    </row>
    <row r="31" spans="1:221" x14ac:dyDescent="0.45">
      <c r="A31">
        <v>259</v>
      </c>
      <c r="B31">
        <f>_xlfn.IFNA(VLOOKUP(AnalizaCzyste[[#This Row],[Zakończono wypełnianie]],Zakończone[],2,0),"BRAK")</f>
        <v>136</v>
      </c>
      <c r="C31">
        <f>COUNTA(U31:HM31)</f>
        <v>73</v>
      </c>
      <c r="D31" t="s">
        <v>2034</v>
      </c>
      <c r="E31" t="s">
        <v>2035</v>
      </c>
      <c r="F31">
        <v>1151</v>
      </c>
      <c r="G31" s="20" t="s">
        <v>2292</v>
      </c>
      <c r="H31" s="20" t="s">
        <v>2467</v>
      </c>
      <c r="I31" s="55"/>
      <c r="J31" s="55"/>
      <c r="K31" s="55"/>
      <c r="L31" s="55"/>
      <c r="M31" s="55"/>
      <c r="N31" s="55"/>
      <c r="O31" s="55"/>
      <c r="P31" s="55"/>
      <c r="Q31" s="55"/>
      <c r="R31" s="55"/>
      <c r="S31" s="55"/>
      <c r="T31" s="55"/>
      <c r="U31" s="1" t="s">
        <v>123</v>
      </c>
      <c r="AK31" s="56" t="s">
        <v>124</v>
      </c>
      <c r="AL31" t="s">
        <v>223</v>
      </c>
      <c r="AM31" t="str">
        <f>VLOOKUP(AnalizaCzyste[[#This Row],[Jak się nazywa uczelnia którą ukończyłeś? (proszę o wybranie jednej uczelni podlegającej ocenie)]],KategorieUczelni[],2,0)</f>
        <v>Publiczna</v>
      </c>
      <c r="AN31">
        <v>1987</v>
      </c>
      <c r="AO31" t="s">
        <v>148</v>
      </c>
      <c r="AP31" t="s">
        <v>554</v>
      </c>
      <c r="AQ31" t="s">
        <v>132</v>
      </c>
      <c r="AR31" t="s">
        <v>132</v>
      </c>
      <c r="AS31" t="s">
        <v>132</v>
      </c>
      <c r="AT31" t="s">
        <v>132</v>
      </c>
      <c r="AU31" t="s">
        <v>132</v>
      </c>
      <c r="AV31" t="s">
        <v>2036</v>
      </c>
      <c r="AW31" t="s">
        <v>132</v>
      </c>
      <c r="AX31" t="s">
        <v>132</v>
      </c>
      <c r="AZ31" t="s">
        <v>1229</v>
      </c>
      <c r="BA31" t="s">
        <v>1229</v>
      </c>
      <c r="BB31" t="s">
        <v>157</v>
      </c>
      <c r="BC31" t="s">
        <v>2037</v>
      </c>
      <c r="BD31" s="56" t="s">
        <v>159</v>
      </c>
      <c r="BE31">
        <v>3</v>
      </c>
      <c r="BF31" t="s">
        <v>191</v>
      </c>
      <c r="BG31">
        <v>2020</v>
      </c>
      <c r="BH31" t="s">
        <v>126</v>
      </c>
      <c r="BI31" t="s">
        <v>2038</v>
      </c>
      <c r="BJ31" t="s">
        <v>150</v>
      </c>
      <c r="BK31" t="s">
        <v>162</v>
      </c>
      <c r="BL31" t="s">
        <v>169</v>
      </c>
      <c r="BM31" t="s">
        <v>150</v>
      </c>
      <c r="BN31" t="s">
        <v>132</v>
      </c>
      <c r="BO31" t="s">
        <v>2039</v>
      </c>
      <c r="BP31" t="s">
        <v>2040</v>
      </c>
      <c r="BQ31" t="s">
        <v>157</v>
      </c>
      <c r="BT31" t="s">
        <v>166</v>
      </c>
      <c r="BU31" t="s">
        <v>191</v>
      </c>
      <c r="BV31">
        <v>2013</v>
      </c>
      <c r="BW31" t="s">
        <v>126</v>
      </c>
      <c r="BX31" t="s">
        <v>1867</v>
      </c>
      <c r="BY31" t="s">
        <v>162</v>
      </c>
      <c r="BZ31" t="s">
        <v>150</v>
      </c>
      <c r="CA31" t="s">
        <v>162</v>
      </c>
      <c r="CB31" t="s">
        <v>162</v>
      </c>
      <c r="CC31" t="s">
        <v>162</v>
      </c>
      <c r="CD31" t="s">
        <v>237</v>
      </c>
      <c r="CF31" t="s">
        <v>157</v>
      </c>
      <c r="CH31" t="s">
        <v>2041</v>
      </c>
      <c r="CI31" t="s">
        <v>238</v>
      </c>
      <c r="CJ31" t="s">
        <v>191</v>
      </c>
      <c r="CK31">
        <v>2016</v>
      </c>
      <c r="CL31" t="s">
        <v>126</v>
      </c>
      <c r="CM31" t="s">
        <v>2042</v>
      </c>
      <c r="CN31" t="s">
        <v>151</v>
      </c>
      <c r="CO31" t="s">
        <v>162</v>
      </c>
      <c r="CP31" t="s">
        <v>150</v>
      </c>
      <c r="CQ31" t="s">
        <v>169</v>
      </c>
      <c r="CR31" t="s">
        <v>150</v>
      </c>
      <c r="CS31" t="s">
        <v>237</v>
      </c>
      <c r="CT31" t="s">
        <v>2043</v>
      </c>
      <c r="CU31" t="s">
        <v>157</v>
      </c>
      <c r="CX31" s="1" t="s">
        <v>123</v>
      </c>
      <c r="DH31" s="1" t="s">
        <v>123</v>
      </c>
      <c r="DR31" s="1" t="s">
        <v>123</v>
      </c>
      <c r="EU31" s="1" t="s">
        <v>123</v>
      </c>
      <c r="FU31" s="1" t="s">
        <v>123</v>
      </c>
      <c r="HC31" t="s">
        <v>1229</v>
      </c>
      <c r="HD31" t="s">
        <v>1229</v>
      </c>
      <c r="HE31" t="s">
        <v>1229</v>
      </c>
      <c r="HF31" t="s">
        <v>186</v>
      </c>
      <c r="HG31">
        <v>1962</v>
      </c>
      <c r="HH31" t="str">
        <f>VLOOKUP(AnalizaCzyste[[#This Row],[Rok urodzenia]],KategorieWiekowe[],2,1)</f>
        <v>56–65 lat</v>
      </c>
      <c r="HI31" t="s">
        <v>141</v>
      </c>
      <c r="HL31" t="s">
        <v>2044</v>
      </c>
      <c r="HM31" t="s">
        <v>2045</v>
      </c>
    </row>
    <row r="32" spans="1:221" x14ac:dyDescent="0.45">
      <c r="A32">
        <v>260</v>
      </c>
      <c r="B32">
        <f>_xlfn.IFNA(VLOOKUP(AnalizaCzyste[[#This Row],[Zakończono wypełnianie]],Zakończone[],2,0),"BRAK")</f>
        <v>137</v>
      </c>
      <c r="C32">
        <f>COUNTA(U32:HM32)</f>
        <v>67</v>
      </c>
      <c r="D32" t="s">
        <v>2046</v>
      </c>
      <c r="E32" t="s">
        <v>2047</v>
      </c>
      <c r="F32">
        <v>707</v>
      </c>
      <c r="G32" s="20" t="s">
        <v>2292</v>
      </c>
      <c r="H32" s="20" t="s">
        <v>2466</v>
      </c>
      <c r="I32" s="55"/>
      <c r="J32" s="55"/>
      <c r="K32" s="55"/>
      <c r="L32" s="55"/>
      <c r="M32" s="55"/>
      <c r="N32" s="55"/>
      <c r="O32" s="55"/>
      <c r="P32" s="55"/>
      <c r="Q32" s="55"/>
      <c r="R32" s="55"/>
      <c r="S32" s="55"/>
      <c r="T32" s="55"/>
      <c r="U32" s="1" t="s">
        <v>123</v>
      </c>
      <c r="AK32" s="56" t="s">
        <v>124</v>
      </c>
      <c r="AL32" t="s">
        <v>191</v>
      </c>
      <c r="AM32" t="str">
        <f>VLOOKUP(AnalizaCzyste[[#This Row],[Jak się nazywa uczelnia którą ukończyłeś? (proszę o wybranie jednej uczelni podlegającej ocenie)]],KategorieUczelni[],2,0)</f>
        <v>Publiczna</v>
      </c>
      <c r="AN32">
        <v>1985</v>
      </c>
      <c r="AO32" t="s">
        <v>126</v>
      </c>
      <c r="AP32" t="s">
        <v>2017</v>
      </c>
      <c r="AQ32" t="s">
        <v>150</v>
      </c>
      <c r="AR32" t="s">
        <v>150</v>
      </c>
      <c r="AS32" t="s">
        <v>151</v>
      </c>
      <c r="AT32" t="s">
        <v>236</v>
      </c>
      <c r="AU32" t="s">
        <v>150</v>
      </c>
      <c r="AV32" t="s">
        <v>237</v>
      </c>
      <c r="AW32" t="s">
        <v>152</v>
      </c>
      <c r="AX32" t="s">
        <v>759</v>
      </c>
      <c r="AY32" t="s">
        <v>2048</v>
      </c>
      <c r="AZ32" t="s">
        <v>1229</v>
      </c>
      <c r="BA32" t="s">
        <v>1229</v>
      </c>
      <c r="BB32" t="s">
        <v>157</v>
      </c>
      <c r="BC32" t="s">
        <v>2032</v>
      </c>
      <c r="BD32" s="56" t="s">
        <v>159</v>
      </c>
      <c r="BE32">
        <v>1</v>
      </c>
      <c r="BF32" t="s">
        <v>191</v>
      </c>
      <c r="BG32">
        <v>2018</v>
      </c>
      <c r="BH32" t="s">
        <v>126</v>
      </c>
      <c r="BI32" t="s">
        <v>2049</v>
      </c>
      <c r="BJ32" t="s">
        <v>151</v>
      </c>
      <c r="BK32" t="s">
        <v>151</v>
      </c>
      <c r="BL32" t="s">
        <v>128</v>
      </c>
      <c r="BM32" t="s">
        <v>162</v>
      </c>
      <c r="BN32" t="s">
        <v>132</v>
      </c>
      <c r="BO32">
        <v>12</v>
      </c>
      <c r="BP32" t="s">
        <v>2050</v>
      </c>
      <c r="BQ32" t="s">
        <v>157</v>
      </c>
      <c r="BT32" t="s">
        <v>173</v>
      </c>
      <c r="CX32" s="1" t="s">
        <v>123</v>
      </c>
      <c r="DH32" s="1" t="s">
        <v>123</v>
      </c>
      <c r="DR32" s="1" t="s">
        <v>123</v>
      </c>
      <c r="EU32" s="56" t="s">
        <v>177</v>
      </c>
      <c r="EV32" t="s">
        <v>178</v>
      </c>
      <c r="EW32">
        <v>2</v>
      </c>
      <c r="EX32" t="s">
        <v>191</v>
      </c>
      <c r="EY32" t="s">
        <v>151</v>
      </c>
      <c r="EZ32" t="s">
        <v>162</v>
      </c>
      <c r="FA32" t="s">
        <v>151</v>
      </c>
      <c r="FB32" t="s">
        <v>178</v>
      </c>
      <c r="FC32" t="s">
        <v>2051</v>
      </c>
      <c r="FD32" t="s">
        <v>2052</v>
      </c>
      <c r="FE32" t="s">
        <v>1206</v>
      </c>
      <c r="FF32" t="s">
        <v>223</v>
      </c>
      <c r="FG32" t="s">
        <v>162</v>
      </c>
      <c r="FH32" t="s">
        <v>162</v>
      </c>
      <c r="FI32" t="s">
        <v>151</v>
      </c>
      <c r="FJ32" t="s">
        <v>178</v>
      </c>
      <c r="FK32" t="s">
        <v>2053</v>
      </c>
      <c r="FL32" t="s">
        <v>2054</v>
      </c>
      <c r="FM32" t="s">
        <v>173</v>
      </c>
      <c r="FU32" s="1" t="s">
        <v>123</v>
      </c>
      <c r="HC32" t="s">
        <v>1229</v>
      </c>
      <c r="HD32" t="s">
        <v>1229</v>
      </c>
      <c r="HE32" t="s">
        <v>1229</v>
      </c>
      <c r="HF32" t="s">
        <v>186</v>
      </c>
      <c r="HG32">
        <v>1959</v>
      </c>
      <c r="HH32" t="str">
        <f>VLOOKUP(AnalizaCzyste[[#This Row],[Rok urodzenia]],KategorieWiekowe[],2,1)</f>
        <v>56–65 lat</v>
      </c>
      <c r="HI32" t="s">
        <v>141</v>
      </c>
      <c r="HK32" t="s">
        <v>2055</v>
      </c>
      <c r="HM32" t="s">
        <v>2056</v>
      </c>
    </row>
    <row r="33" spans="1:221" x14ac:dyDescent="0.45">
      <c r="A33">
        <v>261</v>
      </c>
      <c r="B33">
        <f>_xlfn.IFNA(VLOOKUP(AnalizaCzyste[[#This Row],[Zakończono wypełnianie]],Zakończone[],2,0),"BRAK")</f>
        <v>138</v>
      </c>
      <c r="C33">
        <f>COUNTA(U33:HM33)</f>
        <v>62</v>
      </c>
      <c r="D33" t="s">
        <v>2057</v>
      </c>
      <c r="E33" t="s">
        <v>2058</v>
      </c>
      <c r="F33">
        <v>616</v>
      </c>
      <c r="G33" s="20" t="s">
        <v>2292</v>
      </c>
      <c r="H33" s="20" t="s">
        <v>2465</v>
      </c>
      <c r="I33" s="55"/>
      <c r="J33" s="55"/>
      <c r="K33" s="55"/>
      <c r="L33" s="55"/>
      <c r="M33" s="55"/>
      <c r="N33" s="55"/>
      <c r="O33" s="55"/>
      <c r="P33" s="55"/>
      <c r="Q33" s="55"/>
      <c r="R33" s="55"/>
      <c r="S33" s="55"/>
      <c r="T33" s="55"/>
      <c r="U33" s="1" t="s">
        <v>123</v>
      </c>
      <c r="AK33" s="56" t="s">
        <v>124</v>
      </c>
      <c r="AL33" t="s">
        <v>223</v>
      </c>
      <c r="AM33" t="str">
        <f>VLOOKUP(AnalizaCzyste[[#This Row],[Jak się nazywa uczelnia którą ukończyłeś? (proszę o wybranie jednej uczelni podlegającej ocenie)]],KategorieUczelni[],2,0)</f>
        <v>Publiczna</v>
      </c>
      <c r="AN33">
        <v>1992</v>
      </c>
      <c r="AO33" t="s">
        <v>148</v>
      </c>
      <c r="AP33" t="s">
        <v>2059</v>
      </c>
      <c r="AQ33" t="s">
        <v>150</v>
      </c>
      <c r="AR33" t="s">
        <v>169</v>
      </c>
      <c r="AS33" t="s">
        <v>150</v>
      </c>
      <c r="AT33" t="s">
        <v>151</v>
      </c>
      <c r="AU33" t="s">
        <v>162</v>
      </c>
      <c r="AV33">
        <v>0</v>
      </c>
      <c r="AW33" t="s">
        <v>131</v>
      </c>
      <c r="AX33" t="s">
        <v>302</v>
      </c>
      <c r="AY33" t="s">
        <v>2060</v>
      </c>
      <c r="AZ33" t="s">
        <v>1229</v>
      </c>
      <c r="BA33" t="s">
        <v>1229</v>
      </c>
      <c r="BB33" t="s">
        <v>157</v>
      </c>
      <c r="BC33" t="s">
        <v>2032</v>
      </c>
      <c r="BD33" s="56" t="s">
        <v>159</v>
      </c>
      <c r="BE33">
        <v>1</v>
      </c>
      <c r="BF33" t="s">
        <v>445</v>
      </c>
      <c r="BG33">
        <v>2019</v>
      </c>
      <c r="BH33" t="s">
        <v>148</v>
      </c>
      <c r="BI33" t="s">
        <v>461</v>
      </c>
      <c r="BJ33" t="s">
        <v>169</v>
      </c>
      <c r="BK33" t="s">
        <v>169</v>
      </c>
      <c r="BL33" t="s">
        <v>169</v>
      </c>
      <c r="BM33" t="s">
        <v>169</v>
      </c>
      <c r="BN33" t="s">
        <v>132</v>
      </c>
      <c r="BO33" t="s">
        <v>2020</v>
      </c>
      <c r="BP33" t="s">
        <v>2061</v>
      </c>
      <c r="BQ33" t="s">
        <v>157</v>
      </c>
      <c r="BS33" t="s">
        <v>2062</v>
      </c>
      <c r="BT33" t="s">
        <v>173</v>
      </c>
      <c r="CX33" s="1" t="s">
        <v>123</v>
      </c>
      <c r="DH33" s="1" t="s">
        <v>123</v>
      </c>
      <c r="DR33" s="1" t="s">
        <v>123</v>
      </c>
      <c r="EU33" s="1" t="s">
        <v>123</v>
      </c>
      <c r="FU33" s="56" t="s">
        <v>2022</v>
      </c>
      <c r="FV33" t="s">
        <v>2023</v>
      </c>
      <c r="FW33" t="s">
        <v>2063</v>
      </c>
      <c r="FX33">
        <v>1</v>
      </c>
      <c r="FY33" t="s">
        <v>191</v>
      </c>
      <c r="FZ33" t="s">
        <v>150</v>
      </c>
      <c r="GA33" t="s">
        <v>150</v>
      </c>
      <c r="GB33" t="s">
        <v>169</v>
      </c>
      <c r="GC33" t="s">
        <v>169</v>
      </c>
      <c r="GD33" t="s">
        <v>132</v>
      </c>
      <c r="GE33" t="s">
        <v>132</v>
      </c>
      <c r="GF33" t="s">
        <v>169</v>
      </c>
      <c r="GI33" t="s">
        <v>173</v>
      </c>
      <c r="HC33" t="s">
        <v>1229</v>
      </c>
      <c r="HD33" t="s">
        <v>1229</v>
      </c>
      <c r="HE33" t="s">
        <v>1229</v>
      </c>
      <c r="HF33" t="s">
        <v>186</v>
      </c>
      <c r="HG33">
        <v>1968</v>
      </c>
      <c r="HH33" t="str">
        <f>VLOOKUP(AnalizaCzyste[[#This Row],[Rok urodzenia]],KategorieWiekowe[],2,1)</f>
        <v>46–55 lat</v>
      </c>
      <c r="HI33" t="s">
        <v>220</v>
      </c>
      <c r="HK33" t="s">
        <v>2055</v>
      </c>
      <c r="HM33" t="s">
        <v>2064</v>
      </c>
    </row>
    <row r="34" spans="1:221" x14ac:dyDescent="0.45">
      <c r="B34" t="str">
        <f>_xlfn.IFNA(VLOOKUP(AnalizaCzyste[[#This Row],[Zakończono wypełnianie]],Zakończone[],2,0),"BRAK")</f>
        <v>BRAK</v>
      </c>
      <c r="C34">
        <f>COUNTA(U34:HM34)</f>
        <v>12</v>
      </c>
      <c r="G34" s="20" t="s">
        <v>2292</v>
      </c>
      <c r="H34" s="20" t="s">
        <v>2485</v>
      </c>
      <c r="I34" s="55"/>
      <c r="J34" s="55"/>
      <c r="K34" s="55"/>
      <c r="L34" s="55"/>
      <c r="M34" s="55"/>
      <c r="N34" s="55"/>
      <c r="O34" s="55"/>
      <c r="P34" s="55"/>
      <c r="Q34" s="55"/>
      <c r="R34" s="55"/>
      <c r="S34" s="55"/>
      <c r="T34" s="55"/>
      <c r="U34" s="1" t="s">
        <v>123</v>
      </c>
      <c r="AK34" s="56" t="s">
        <v>124</v>
      </c>
      <c r="AM34" t="e">
        <f>VLOOKUP(AnalizaCzyste[[#This Row],[Jak się nazywa uczelnia którą ukończyłeś? (proszę o wybranie jednej uczelni podlegającej ocenie)]],KategorieUczelni[],2,0)</f>
        <v>#N/A</v>
      </c>
      <c r="BD34" s="1" t="s">
        <v>123</v>
      </c>
      <c r="CX34" s="1" t="s">
        <v>123</v>
      </c>
      <c r="DH34" s="56" t="s">
        <v>214</v>
      </c>
      <c r="DR34" s="1" t="s">
        <v>123</v>
      </c>
      <c r="EU34" s="1" t="s">
        <v>123</v>
      </c>
      <c r="FU34" s="1" t="s">
        <v>123</v>
      </c>
      <c r="HF34" t="s">
        <v>186</v>
      </c>
      <c r="HG34" s="42">
        <v>1972</v>
      </c>
      <c r="HH34" t="str">
        <f>VLOOKUP(AnalizaCzyste[[#This Row],[Rok urodzenia]],KategorieWiekowe[],2,1)</f>
        <v>46–55 lat</v>
      </c>
    </row>
    <row r="35" spans="1:221" x14ac:dyDescent="0.45">
      <c r="B35" t="str">
        <f>_xlfn.IFNA(VLOOKUP(AnalizaCzyste[[#This Row],[Zakończono wypełnianie]],Zakończone[],2,0),"BRAK")</f>
        <v>BRAK</v>
      </c>
      <c r="C35">
        <f>COUNTA(U35:HM35)</f>
        <v>12</v>
      </c>
      <c r="G35" s="20" t="s">
        <v>2292</v>
      </c>
      <c r="H35" s="20" t="s">
        <v>2486</v>
      </c>
      <c r="I35" s="55"/>
      <c r="J35" s="55"/>
      <c r="K35" s="55"/>
      <c r="L35" s="55"/>
      <c r="M35" s="55"/>
      <c r="N35" s="55"/>
      <c r="O35" s="55"/>
      <c r="P35" s="55"/>
      <c r="Q35" s="55"/>
      <c r="R35" s="55"/>
      <c r="S35" s="55"/>
      <c r="T35" s="55"/>
      <c r="U35" s="1" t="s">
        <v>123</v>
      </c>
      <c r="AK35" s="56" t="s">
        <v>124</v>
      </c>
      <c r="AM35" t="e">
        <f>VLOOKUP(AnalizaCzyste[[#This Row],[Jak się nazywa uczelnia którą ukończyłeś? (proszę o wybranie jednej uczelni podlegającej ocenie)]],KategorieUczelni[],2,0)</f>
        <v>#N/A</v>
      </c>
      <c r="BD35" s="1" t="s">
        <v>123</v>
      </c>
      <c r="CX35" s="1" t="s">
        <v>123</v>
      </c>
      <c r="DH35" s="56" t="s">
        <v>214</v>
      </c>
      <c r="DR35" s="1" t="s">
        <v>123</v>
      </c>
      <c r="EU35" s="1" t="s">
        <v>123</v>
      </c>
      <c r="FU35" s="1" t="s">
        <v>123</v>
      </c>
      <c r="HF35" t="s">
        <v>140</v>
      </c>
      <c r="HG35">
        <v>1985</v>
      </c>
      <c r="HH35" t="str">
        <f>VLOOKUP(AnalizaCzyste[[#This Row],[Rok urodzenia]],KategorieWiekowe[],2,1)</f>
        <v>26–35 lat</v>
      </c>
    </row>
    <row r="36" spans="1:221" ht="14.65" thickBot="1" x14ac:dyDescent="0.5">
      <c r="U36" s="6">
        <f>COUNTA((U3:U35))</f>
        <v>33</v>
      </c>
      <c r="V36" s="1">
        <f>COUNTA((V3:V35))</f>
        <v>2</v>
      </c>
      <c r="W36" s="1">
        <f>COUNTA((W3:W35))</f>
        <v>2</v>
      </c>
      <c r="X36" s="1">
        <f>COUNTA((X3:X35))</f>
        <v>2</v>
      </c>
      <c r="Y36" s="1">
        <f>COUNTA((Y3:Y35))</f>
        <v>2</v>
      </c>
      <c r="Z36" s="1">
        <f>COUNTA((Z3:Z35))</f>
        <v>2</v>
      </c>
      <c r="AA36" s="1">
        <f>COUNTA((AA3:AA35))</f>
        <v>2</v>
      </c>
      <c r="AB36" s="1">
        <f>COUNTA((AB3:AB35))</f>
        <v>2</v>
      </c>
      <c r="AC36" s="1">
        <f>COUNTA((AC3:AC35))</f>
        <v>2</v>
      </c>
      <c r="AD36" s="1">
        <f>COUNTA((AD3:AD35))</f>
        <v>2</v>
      </c>
      <c r="AE36" s="1">
        <f>COUNTA((AE3:AE35))</f>
        <v>2</v>
      </c>
      <c r="AF36" s="1">
        <f>COUNTA((AF3:AF35))</f>
        <v>2</v>
      </c>
      <c r="AG36" s="1">
        <f>COUNTA((AG3:AG35))</f>
        <v>2</v>
      </c>
      <c r="AH36" s="1">
        <f>COUNTA((AH3:AH35))</f>
        <v>1</v>
      </c>
      <c r="AI36" s="1">
        <f>COUNTA((AI3:AI35))</f>
        <v>1</v>
      </c>
      <c r="AJ36" s="1">
        <f>COUNTA((AJ3:AJ35))</f>
        <v>2</v>
      </c>
      <c r="AK36" s="6">
        <f>COUNTA((AK3:AK35))</f>
        <v>33</v>
      </c>
      <c r="AL36" s="1">
        <f>COUNTA((AL3:AL35))</f>
        <v>29</v>
      </c>
      <c r="AM36" s="1"/>
      <c r="AN36" s="1">
        <f>COUNTA((AN3:AN35))</f>
        <v>29</v>
      </c>
      <c r="AO36" s="1">
        <f>COUNTA((AO3:AO35))</f>
        <v>29</v>
      </c>
      <c r="AP36" s="1">
        <f>COUNTA((AP3:AP35))</f>
        <v>29</v>
      </c>
      <c r="AQ36" s="1">
        <f>COUNTA((AQ3:AQ35))</f>
        <v>29</v>
      </c>
      <c r="AR36" s="1">
        <f>COUNTA((AR3:AR35))</f>
        <v>29</v>
      </c>
      <c r="AS36" s="1">
        <f>COUNTA((AS3:AS35))</f>
        <v>29</v>
      </c>
      <c r="AT36" s="1">
        <f>COUNTA((AT3:AT35))</f>
        <v>29</v>
      </c>
      <c r="AU36" s="1">
        <f>COUNTA((AU3:AU35))</f>
        <v>29</v>
      </c>
      <c r="AV36" s="1">
        <f>COUNTA((AV3:AV35))</f>
        <v>29</v>
      </c>
      <c r="AW36" s="1">
        <f>COUNTA((AW3:AW35))</f>
        <v>29</v>
      </c>
      <c r="AX36" s="1">
        <f>COUNTA((AX3:AX35))</f>
        <v>29</v>
      </c>
      <c r="AY36" s="1">
        <f>COUNTA((AY3:AY35))</f>
        <v>28</v>
      </c>
      <c r="AZ36" s="1">
        <f>COUNTA((AZ3:AZ35))</f>
        <v>29</v>
      </c>
      <c r="BA36" s="1">
        <f>COUNTA((BA3:BA35))</f>
        <v>29</v>
      </c>
      <c r="BB36" s="1">
        <f>COUNTA((BB3:BB35))</f>
        <v>26</v>
      </c>
      <c r="BC36" s="1">
        <f>COUNTA((BC3:BC35))</f>
        <v>13</v>
      </c>
      <c r="BD36" s="6">
        <f>COUNTA((BD3:BD35))</f>
        <v>33</v>
      </c>
      <c r="BE36" s="1">
        <f>COUNTA((BE3:BE35))</f>
        <v>12</v>
      </c>
      <c r="BF36" s="1">
        <f>COUNTA((BF3:BF35))</f>
        <v>12</v>
      </c>
      <c r="BG36" s="1">
        <f>COUNTA((BG3:BG35))</f>
        <v>12</v>
      </c>
      <c r="BH36" s="1">
        <f>COUNTA((BH3:BH35))</f>
        <v>12</v>
      </c>
      <c r="BI36" s="1">
        <f>COUNTA((BI3:BI35))</f>
        <v>12</v>
      </c>
      <c r="BJ36" s="1">
        <f>COUNTA((BJ3:BJ35))</f>
        <v>12</v>
      </c>
      <c r="BK36" s="1">
        <f>COUNTA((BK3:BK35))</f>
        <v>12</v>
      </c>
      <c r="BL36" s="1">
        <f>COUNTA((BL3:BL35))</f>
        <v>12</v>
      </c>
      <c r="BM36" s="1">
        <f>COUNTA((BM3:BM35))</f>
        <v>12</v>
      </c>
      <c r="BN36" s="1">
        <f>COUNTA((BN3:BN35))</f>
        <v>12</v>
      </c>
      <c r="BO36" s="1">
        <f>COUNTA((BO3:BO35))</f>
        <v>12</v>
      </c>
      <c r="BP36" s="1">
        <f>COUNTA((BP3:BP35))</f>
        <v>12</v>
      </c>
      <c r="BQ36" s="1">
        <f>COUNTA((BQ3:BQ35))</f>
        <v>12</v>
      </c>
      <c r="BR36" s="1">
        <f>COUNTA((BR3:BR35))</f>
        <v>0</v>
      </c>
      <c r="BS36" s="1">
        <f>COUNTA((BS3:BS35))</f>
        <v>8</v>
      </c>
      <c r="BT36" s="1">
        <f>COUNTA((BT3:BT35))</f>
        <v>12</v>
      </c>
      <c r="BU36" s="1">
        <f>COUNTA((BU3:BU35))</f>
        <v>5</v>
      </c>
      <c r="BV36" s="1">
        <f>COUNTA((BV3:BV35))</f>
        <v>5</v>
      </c>
      <c r="BW36" s="1">
        <f>COUNTA((BW3:BW35))</f>
        <v>5</v>
      </c>
      <c r="BX36" s="1">
        <f>COUNTA((BX3:BX35))</f>
        <v>5</v>
      </c>
      <c r="BY36" s="1">
        <f>COUNTA((BY3:BY35))</f>
        <v>5</v>
      </c>
      <c r="BZ36" s="1">
        <f>COUNTA((BZ3:BZ35))</f>
        <v>5</v>
      </c>
      <c r="CA36" s="1">
        <f>COUNTA((CA3:CA35))</f>
        <v>5</v>
      </c>
      <c r="CB36" s="1">
        <f>COUNTA((CB3:CB35))</f>
        <v>5</v>
      </c>
      <c r="CC36" s="1">
        <f>COUNTA((CC3:CC35))</f>
        <v>5</v>
      </c>
      <c r="CD36" s="1">
        <f>COUNTA((CD3:CD35))</f>
        <v>5</v>
      </c>
      <c r="CE36" s="1">
        <f>COUNTA((CE3:CE35))</f>
        <v>3</v>
      </c>
      <c r="CF36" s="1">
        <f>COUNTA((CF3:CF35))</f>
        <v>5</v>
      </c>
      <c r="CG36" s="1">
        <f>COUNTA((CG3:CG35))</f>
        <v>0</v>
      </c>
      <c r="CH36" s="1">
        <f>COUNTA((CH3:CH35))</f>
        <v>3</v>
      </c>
      <c r="CI36" s="1">
        <f>COUNTA((CI3:CI35))</f>
        <v>5</v>
      </c>
      <c r="CJ36" s="1">
        <f>COUNTA((CJ3:CJ35))</f>
        <v>2</v>
      </c>
      <c r="CK36" s="1">
        <f>COUNTA((CK3:CK35))</f>
        <v>2</v>
      </c>
      <c r="CL36" s="1">
        <f>COUNTA((CL3:CL35))</f>
        <v>2</v>
      </c>
      <c r="CM36" s="1">
        <f>COUNTA((CM3:CM35))</f>
        <v>2</v>
      </c>
      <c r="CN36" s="1">
        <f>COUNTA((CN3:CN35))</f>
        <v>2</v>
      </c>
      <c r="CO36" s="1">
        <f>COUNTA((CO3:CO35))</f>
        <v>2</v>
      </c>
      <c r="CP36" s="1">
        <f>COUNTA((CP3:CP35))</f>
        <v>2</v>
      </c>
      <c r="CQ36" s="1">
        <f>COUNTA((CQ3:CQ35))</f>
        <v>2</v>
      </c>
      <c r="CR36" s="1">
        <f>COUNTA((CR3:CR35))</f>
        <v>2</v>
      </c>
      <c r="CS36" s="1">
        <f>COUNTA((CS3:CS35))</f>
        <v>2</v>
      </c>
      <c r="CT36" s="1">
        <f>COUNTA((CT3:CT35))</f>
        <v>2</v>
      </c>
      <c r="CU36" s="1">
        <f>COUNTA((CU3:CU35))</f>
        <v>2</v>
      </c>
      <c r="CV36" s="1">
        <f>COUNTA((CV3:CV35))</f>
        <v>0</v>
      </c>
      <c r="CW36" s="1">
        <f>COUNTA((CW3:CW35))</f>
        <v>1</v>
      </c>
      <c r="CX36" s="6">
        <f>COUNTA((CX3:CX35))</f>
        <v>33</v>
      </c>
      <c r="DH36" s="6">
        <f>COUNTA((DH3:DH35))</f>
        <v>33</v>
      </c>
      <c r="DR36" s="6">
        <f>COUNTA((DR3:DR35))</f>
        <v>33</v>
      </c>
      <c r="EU36" s="6">
        <f>COUNTA((EU3:EU35))</f>
        <v>33</v>
      </c>
      <c r="FU36" s="6">
        <f>COUNTA((FU3:FU35))</f>
        <v>33</v>
      </c>
      <c r="HF36" s="6">
        <f>COUNTA((HF3:HF35))</f>
        <v>33</v>
      </c>
      <c r="HG36" s="6">
        <f>COUNTA((HG3:HG35))</f>
        <v>33</v>
      </c>
      <c r="HH36" s="6"/>
      <c r="HI36" s="6">
        <f>COUNTA((HI3:HI35))</f>
        <v>31</v>
      </c>
      <c r="HJ36" s="6">
        <f>COUNTA((HJ3:HJ35))</f>
        <v>3</v>
      </c>
      <c r="HK36" s="6">
        <f>COUNTA((HK3:HK35))</f>
        <v>22</v>
      </c>
      <c r="HL36" s="6">
        <f>COUNTA((HL3:HL35))</f>
        <v>11</v>
      </c>
      <c r="HM36" s="6">
        <f>COUNTA((HM3:HM35))</f>
        <v>5</v>
      </c>
    </row>
    <row r="37" spans="1:221" ht="15" thickTop="1" thickBot="1" x14ac:dyDescent="0.5">
      <c r="B37" s="20" t="s">
        <v>2292</v>
      </c>
      <c r="G37" s="7">
        <f>COUNTIF(AnalizaCzyste[Wywiad (tak)],"*"&amp;"Tak"&amp;"*")</f>
        <v>33</v>
      </c>
      <c r="U37" s="7">
        <f>COUNTIF(AnalizaCzyste[Czy jesteś studentem uczelni wyższej?],"*"&amp;"Tak"&amp;"*")</f>
        <v>2</v>
      </c>
      <c r="V37" s="8"/>
      <c r="W37" s="8"/>
      <c r="X37" s="8"/>
      <c r="Y37" s="8"/>
      <c r="Z37" s="8"/>
      <c r="AA37" s="8"/>
      <c r="AB37" s="8"/>
      <c r="AC37" s="8"/>
      <c r="AD37" s="8"/>
      <c r="AE37" s="8"/>
      <c r="AF37" s="8"/>
      <c r="AG37" s="8"/>
      <c r="AH37" s="8"/>
      <c r="AI37" s="8"/>
      <c r="AJ37" s="8"/>
      <c r="AK37" s="7">
        <f>COUNTIF(AnalizaCzyste[Czy jesteś absolwentem uczelni wyższej?],"*"&amp;"Tak"&amp;"*")</f>
        <v>33</v>
      </c>
      <c r="AL37" s="8"/>
      <c r="AM37" s="8"/>
      <c r="AN37" s="8"/>
      <c r="AO37" s="8"/>
      <c r="AP37" s="8"/>
      <c r="AQ37" s="8"/>
      <c r="AR37" s="8"/>
      <c r="AS37" s="8"/>
      <c r="AT37" s="8"/>
      <c r="AU37" s="8"/>
      <c r="AV37" s="8"/>
      <c r="AW37" s="8"/>
      <c r="AX37" s="8"/>
      <c r="AY37" s="8"/>
      <c r="AZ37" s="8"/>
      <c r="BA37" s="8"/>
      <c r="BB37" s="8"/>
      <c r="BC37" s="8"/>
      <c r="BD37" s="7">
        <f>COUNTIF(AnalizaCzyste[Czy jesteś rodzicem / opiekunem absolwenta uczelni wyższej?],"*"&amp;"Tak"&amp;"*")</f>
        <v>12</v>
      </c>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7">
        <f>COUNTIF(AnalizaCzyste[Czy jesteś aktualnie pracownikiem administracyjnym uczelni wyższej?],"*"&amp;"Tak"&amp;"*")</f>
        <v>4</v>
      </c>
      <c r="CY37" s="8"/>
      <c r="CZ37" s="8"/>
      <c r="DA37" s="8"/>
      <c r="DB37" s="8"/>
      <c r="DC37" s="8"/>
      <c r="DD37" s="8"/>
      <c r="DE37" s="8"/>
      <c r="DF37" s="8"/>
      <c r="DG37" s="8"/>
      <c r="DH37" s="7">
        <f>COUNTIF(AnalizaCzyste[Czy jesteś aktualnie pracownikiem naukowym lub dydaktycznym uczelni wyższej?],"*"&amp;"Tak"&amp;"*")</f>
        <v>12</v>
      </c>
      <c r="DI37" s="8"/>
      <c r="DJ37" s="8"/>
      <c r="DK37" s="8"/>
      <c r="DL37" s="8"/>
      <c r="DM37" s="8"/>
      <c r="DN37" s="8"/>
      <c r="DO37" s="8"/>
      <c r="DP37" s="8"/>
      <c r="DQ37" s="8"/>
      <c r="DR37" s="7">
        <f>COUNTIF(AnalizaCzyste[Czy jesteś przedstawicielem władz uczelni z grupy rektorów, prorektorów, dziekanów, prodziekanów, członków senatu lub członków rady uczelni?],"*"&amp;"Tak"&amp;"*")</f>
        <v>6</v>
      </c>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7">
        <f>COUNTIF(AnalizaCzyste[Czy jesteś przedstawicielem firmy, w której są zatrudniani absolwenci uczelni wyższych (tytuł licencjata, magistra lub wyższy)?],"*"&amp;"Tak"&amp;"*")</f>
        <v>9</v>
      </c>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7">
        <f>COUNTIF(AnalizaCzyste[Czy jesteś przedstawicielem władz samorządowych lub centralnych Rzeczypospolitej Polskiej?],"*"&amp;"Tak"&amp;"*")</f>
        <v>3</v>
      </c>
      <c r="FV37" s="7">
        <f>COUNTIF(AnalizaCzyste[Proszę wskaż jaki poziom władzy samorządowej lub centralnej reprezentujesz.],"*"&amp;"Tak"&amp;"*")</f>
        <v>0</v>
      </c>
      <c r="FW37" s="7">
        <f>COUNTIF(AnalizaCzyste[Proszę o podanie nazwy organu władzy jaki reprezentujesz.],"*"&amp;"Tak"&amp;"*")</f>
        <v>0</v>
      </c>
      <c r="FX37" s="7">
        <f>COUNTIF(AnalizaCzyste[Ile uczelni będziesz oceniać?26],"*"&amp;"Tak"&amp;"*")</f>
        <v>0</v>
      </c>
      <c r="FY37" s="7">
        <f>COUNTIF(AnalizaCzyste[Jak się nazywa uczelnia, którą ocenisz?],"*"&amp;"Tak"&amp;"*")</f>
        <v>0</v>
      </c>
      <c r="FZ37" s="7">
        <f>COUNTIF(AnalizaCzyste[Efekty działań ocenianej uczelni na rzesz jakości edukacji są zgodne ze strategią rozwoju w regionie.],"*"&amp;"Tak"&amp;"*")</f>
        <v>0</v>
      </c>
      <c r="GA37" s="7">
        <f>COUNTIF(AnalizaCzyste[Wartość wykształcenia zdobywanego przez studentów na ocenianej uczelni jest wysoka.27],"*"&amp;"Tak"&amp;"*")</f>
        <v>0</v>
      </c>
      <c r="GB37" s="7">
        <f>COUNTIF(AnalizaCzyste[Zdobyte przez studentów ocenianej uczelni wykształcenie miało/ma pozytywny wpływ na ich zarobki.28],"*"&amp;"Tak"&amp;"*")</f>
        <v>0</v>
      </c>
      <c r="GC37" s="7">
        <f>COUNTIF(AnalizaCzyste[Efekty działań ocenianej uczelni na rzecz jakości edukacji mają dobry wpływ na rozwój regionu.29],"*"&amp;"Tak"&amp;"*")</f>
        <v>0</v>
      </c>
      <c r="GD37" s="7">
        <f>COUNTIF(AnalizaCzyste[Efekty działań ocenianej uczelni na rzecz jakości edukacji mają dobry wpływ na rozwój Polski.30],"*"&amp;"Tak"&amp;"*")</f>
        <v>0</v>
      </c>
      <c r="GE37" s="7">
        <f>COUNTIF(AnalizaCzyste[Współpraca ocenianej uczelni z biznesem ma pozytywne efekty dla rozwoju regionu / kraju.31],"*"&amp;"Tak"&amp;"*")</f>
        <v>0</v>
      </c>
      <c r="GF37" s="7">
        <f>COUNTIF(AnalizaCzyste[Ogólny poziom mojej satysfakcji z jakości usług edukacyjnych ocenianej uczelni jest wysoki.32],"*"&amp;"Tak"&amp;"*")</f>
        <v>0</v>
      </c>
      <c r="GG37" s="7">
        <f>COUNTIF(AnalizaCzyste[Pole dodatkowe33],"*"&amp;"Tak"&amp;"*")</f>
        <v>0</v>
      </c>
      <c r="GH37" s="7">
        <f>COUNTIF(AnalizaCzyste[Jakie inne efekty pracy ocenianej uczelni technicznej dostrzegasz obecnie?],"*"&amp;"Tak"&amp;"*")</f>
        <v>0</v>
      </c>
      <c r="GI37" s="7">
        <f>COUNTIF(AnalizaCzyste[Czy będziesz oceniać drugą uczelnię?],"*"&amp;"Tak"&amp;"*")</f>
        <v>0</v>
      </c>
      <c r="GJ37" s="7">
        <f>COUNTIF(AnalizaCzyste[Jak się nazywa uczelnia, którą ocenisz?34],"*"&amp;"Tak"&amp;"*")</f>
        <v>0</v>
      </c>
      <c r="GK37" s="7">
        <f>COUNTIF(AnalizaCzyste[Efekty działań ocenianej uczelni na rzesz jakości edukacji są zgodne ze strategią rozwoju w regionie.35],"*"&amp;"Tak"&amp;"*")</f>
        <v>0</v>
      </c>
      <c r="GL37" s="7">
        <f>COUNTIF(AnalizaCzyste[Wartość wykształcenia zdobywanego przez studentów na ocenianej uczelni jest wysoka.36],"*"&amp;"Tak"&amp;"*")</f>
        <v>0</v>
      </c>
      <c r="GM37" s="7">
        <f>COUNTIF(AnalizaCzyste[Zdobyte przez studentów ocenianej uczelni wykształcenie miało/ma pozytywny wpływ na ich zarobki.37],"*"&amp;"Tak"&amp;"*")</f>
        <v>0</v>
      </c>
      <c r="GN37" s="7">
        <f>COUNTIF(AnalizaCzyste[Efekty działań ocenianej uczelni na rzecz jakości edukacji mają dobry wpływ na rozwój regionu.38],"*"&amp;"Tak"&amp;"*")</f>
        <v>0</v>
      </c>
      <c r="GO37" s="7">
        <f>COUNTIF(AnalizaCzyste[Efekty działań ocenianej uczelni na rzecz jakości edukacji mają dobry wpływ na rozwój Polski.39],"*"&amp;"Tak"&amp;"*")</f>
        <v>0</v>
      </c>
      <c r="GP37" s="7">
        <f>COUNTIF(AnalizaCzyste[Współpraca ocenianej uczelni z biznesem ma pozytywne efekty dla rozwoju regionu / kraju.40],"*"&amp;"Tak"&amp;"*")</f>
        <v>0</v>
      </c>
      <c r="GQ37" s="7">
        <f>COUNTIF(AnalizaCzyste[Ogólny poziom mojej satysfakcji z jakości usług edukacyjnych ocenianej uczelni jest wysoki.41],"*"&amp;"Tak"&amp;"*")</f>
        <v>0</v>
      </c>
      <c r="GR37" s="7">
        <f>COUNTIF(AnalizaCzyste[Jakie inne efekty pracy ocenianej uczelni dostrzegasz obecnie?],"*"&amp;"Tak"&amp;"*")</f>
        <v>0</v>
      </c>
      <c r="GS37" s="7">
        <f>COUNTIF(AnalizaCzyste[Czy będziesz oceniać trzecią uczelnię?],"*"&amp;"Tak"&amp;"*")</f>
        <v>0</v>
      </c>
      <c r="GT37" s="7">
        <f>COUNTIF(AnalizaCzyste[Jak się nazywa uczelnia, którą ocenisz?42],"*"&amp;"Tak"&amp;"*")</f>
        <v>0</v>
      </c>
      <c r="GU37" s="7">
        <f>COUNTIF(AnalizaCzyste[Efekty działań ocenianej uczelni na rzesz jakości edukacji są zgodne ze strategią rozwoju w regionie.43],"*"&amp;"Tak"&amp;"*")</f>
        <v>0</v>
      </c>
      <c r="GV37" s="7">
        <f>COUNTIF(AnalizaCzyste[Wartość wykształcenia zdobywanego przez studentów na ocenianej uczelni jest wysoka.44],"*"&amp;"Tak"&amp;"*")</f>
        <v>0</v>
      </c>
      <c r="GW37" s="7">
        <f>COUNTIF(AnalizaCzyste[Zdobyte przez studentów ocenianej uczelni wykształcenie miało/ma pozytywny wpływ na ich zarobki.45],"*"&amp;"Tak"&amp;"*")</f>
        <v>0</v>
      </c>
      <c r="GX37" s="7">
        <f>COUNTIF(AnalizaCzyste[Efekty działań ocenianej uczelni na rzecz jakości edukacji mają dobry wpływ na rozwój regionu.46],"*"&amp;"Tak"&amp;"*")</f>
        <v>0</v>
      </c>
      <c r="GY37" s="7">
        <f>COUNTIF(AnalizaCzyste[Efekty działań ocenianej uczelni na rzecz jakości edukacji mają dobry wpływ na rozwój Polski.47],"*"&amp;"Tak"&amp;"*")</f>
        <v>0</v>
      </c>
      <c r="GZ37" s="7">
        <f>COUNTIF(AnalizaCzyste[Współpraca ocenianej uczelni z biznesem ma pozytywne efekty dla rozwoju regionu / kraju.48],"*"&amp;"Tak"&amp;"*")</f>
        <v>0</v>
      </c>
      <c r="HA37" s="7">
        <f>COUNTIF(AnalizaCzyste[Ogólny poziom mojej satysfakcji z jakości usług edukacyjnych ocenianej uczelni jest wysoki.49],"*"&amp;"Tak"&amp;"*")</f>
        <v>0</v>
      </c>
      <c r="HB37" s="7">
        <f>COUNTIF(AnalizaCzyste[Jakie inne efekty pracy ocenianej uczelni dostrzegasz obecnie?50],"*"&amp;"Tak"&amp;"*")</f>
        <v>0</v>
      </c>
      <c r="HC37" s="7">
        <f>COUNTIF(AnalizaCzyste[Jakie, Twoim zdaniem, elementy decydują o tym, że uczelnie są lepsze lub gorsze.],"*"&amp;"Tak"&amp;"*")</f>
        <v>1</v>
      </c>
      <c r="HD37" s="7">
        <f>COUNTIF(AnalizaCzyste[Kolumna51],"*"&amp;"Tak"&amp;"*")</f>
        <v>2</v>
      </c>
      <c r="HE37" s="7">
        <f>COUNTIF(AnalizaCzyste[Kolumna52],"*"&amp;"Tak"&amp;"*")</f>
        <v>1</v>
      </c>
      <c r="HF37" s="7">
        <f>COUNTIF(AnalizaCzyste[Płeć],"*"&amp;"Mężczyzna"&amp;"*")</f>
        <v>27</v>
      </c>
      <c r="HG37" s="7">
        <f>COUNTIF(AnalizaCzyste[Rok urodzenia],"*"&amp;"Tak"&amp;"*")</f>
        <v>0</v>
      </c>
      <c r="HH37" s="7"/>
      <c r="HI37" s="7">
        <f>COUNTIF(AnalizaCzyste[Z jakiej wielkości miejscowości pochodzisz? (dotyczy miejscowości, w której się wychowałaś/eś],"*"&amp;"Tak"&amp;"*")</f>
        <v>0</v>
      </c>
    </row>
    <row r="38" spans="1:221" ht="15" thickTop="1" thickBot="1" x14ac:dyDescent="0.5">
      <c r="B38" s="20" t="s">
        <v>2293</v>
      </c>
      <c r="U38" s="7">
        <f>COUNTIF(AnalizaCzyste[Czy jesteś studentem uczelni wyższej?],"*"&amp;"Nie (przejście"&amp;"*")</f>
        <v>31</v>
      </c>
      <c r="V38" s="8"/>
      <c r="W38" s="8"/>
      <c r="X38" s="8"/>
      <c r="Y38" s="8"/>
      <c r="Z38" s="8"/>
      <c r="AA38" s="8"/>
      <c r="AB38" s="8"/>
      <c r="AC38" s="8"/>
      <c r="AD38" s="8"/>
      <c r="AE38" s="8"/>
      <c r="AF38" s="8"/>
      <c r="AG38" s="8"/>
      <c r="AH38" s="8"/>
      <c r="AI38" s="8"/>
      <c r="AJ38" s="8"/>
      <c r="AK38" s="7">
        <f>COUNTIF(AnalizaCzyste[Czy jesteś absolwentem uczelni wyższej?],"*"&amp;"Nie (przejście"&amp;"*")</f>
        <v>0</v>
      </c>
      <c r="AL38" s="8"/>
      <c r="AM38" s="8"/>
      <c r="AN38" s="8"/>
      <c r="AO38" s="8"/>
      <c r="AP38" s="8"/>
      <c r="AQ38" s="8"/>
      <c r="AR38" s="8"/>
      <c r="AS38" s="8"/>
      <c r="AT38" s="8"/>
      <c r="AU38" s="8"/>
      <c r="AV38" s="8"/>
      <c r="AW38" s="8"/>
      <c r="AX38" s="8"/>
      <c r="AY38" s="8"/>
      <c r="AZ38" s="8"/>
      <c r="BA38" s="8"/>
      <c r="BB38" s="8"/>
      <c r="BC38" s="8"/>
      <c r="BD38" s="7">
        <f>COUNTIF(AnalizaCzyste[Czy jesteś rodzicem / opiekunem absolwenta uczelni wyższej?],"*"&amp;"Nie (przejście"&amp;"*")</f>
        <v>21</v>
      </c>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7">
        <f>COUNTIF(AnalizaCzyste[Czy jesteś aktualnie pracownikiem administracyjnym uczelni wyższej?],"*"&amp;"Nie (przejście"&amp;"*")</f>
        <v>29</v>
      </c>
      <c r="CY38" s="8"/>
      <c r="CZ38" s="8"/>
      <c r="DA38" s="8"/>
      <c r="DB38" s="8"/>
      <c r="DC38" s="8"/>
      <c r="DD38" s="8"/>
      <c r="DE38" s="8"/>
      <c r="DF38" s="8"/>
      <c r="DG38" s="8"/>
      <c r="DH38" s="7">
        <f>COUNTIF(AnalizaCzyste[Czy jesteś aktualnie pracownikiem naukowym lub dydaktycznym uczelni wyższej?],"*"&amp;"Nie (przejście"&amp;"*")</f>
        <v>21</v>
      </c>
      <c r="DI38" s="8"/>
      <c r="DJ38" s="8"/>
      <c r="DK38" s="8"/>
      <c r="DL38" s="8"/>
      <c r="DM38" s="8"/>
      <c r="DN38" s="8"/>
      <c r="DO38" s="8"/>
      <c r="DP38" s="8"/>
      <c r="DQ38" s="8"/>
      <c r="DR38" s="7">
        <f>COUNTIF(AnalizaCzyste[Czy jesteś przedstawicielem władz uczelni z grupy rektorów, prorektorów, dziekanów, prodziekanów, członków senatu lub członków rady uczelni?],"*"&amp;"Nie (przejście"&amp;"*")</f>
        <v>27</v>
      </c>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7">
        <f>COUNTIF(AnalizaCzyste[Czy jesteś przedstawicielem firmy, w której są zatrudniani absolwenci uczelni wyższych (tytuł licencjata, magistra lub wyższy)?],"*"&amp;"Nie (przejście"&amp;"*")</f>
        <v>24</v>
      </c>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7">
        <f>COUNTIF(AnalizaCzyste[Czy jesteś przedstawicielem władz samorządowych lub centralnych Rzeczypospolitej Polskiej?],"*"&amp;"Nie (przejście"&amp;"*")</f>
        <v>30</v>
      </c>
      <c r="FV38" s="7">
        <f>COUNTIF(AnalizaCzyste[Proszę wskaż jaki poziom władzy samorządowej lub centralnej reprezentujesz.],"*"&amp;"Nie (przejście"&amp;"*")</f>
        <v>0</v>
      </c>
      <c r="FW38" s="7">
        <f>COUNTIF(AnalizaCzyste[Proszę o podanie nazwy organu władzy jaki reprezentujesz.],"*"&amp;"Nie (przejście"&amp;"*")</f>
        <v>0</v>
      </c>
      <c r="FX38" s="7">
        <f>COUNTIF(AnalizaCzyste[Ile uczelni będziesz oceniać?26],"*"&amp;"Nie (przejście"&amp;"*")</f>
        <v>0</v>
      </c>
      <c r="FY38" s="7">
        <f>COUNTIF(AnalizaCzyste[Jak się nazywa uczelnia, którą ocenisz?],"*"&amp;"Nie (przejście"&amp;"*")</f>
        <v>0</v>
      </c>
      <c r="FZ38" s="7">
        <f>COUNTIF(AnalizaCzyste[Efekty działań ocenianej uczelni na rzesz jakości edukacji są zgodne ze strategią rozwoju w regionie.],"*"&amp;"Nie (przejście"&amp;"*")</f>
        <v>0</v>
      </c>
      <c r="GA38" s="7">
        <f>COUNTIF(AnalizaCzyste[Wartość wykształcenia zdobywanego przez studentów na ocenianej uczelni jest wysoka.27],"*"&amp;"Nie (przejście"&amp;"*")</f>
        <v>0</v>
      </c>
      <c r="GB38" s="7">
        <f>COUNTIF(AnalizaCzyste[Zdobyte przez studentów ocenianej uczelni wykształcenie miało/ma pozytywny wpływ na ich zarobki.28],"*"&amp;"Nie (przejście"&amp;"*")</f>
        <v>0</v>
      </c>
      <c r="GC38" s="7">
        <f>COUNTIF(AnalizaCzyste[Efekty działań ocenianej uczelni na rzecz jakości edukacji mają dobry wpływ na rozwój regionu.29],"*"&amp;"Nie (przejście"&amp;"*")</f>
        <v>0</v>
      </c>
      <c r="GD38" s="7">
        <f>COUNTIF(AnalizaCzyste[Efekty działań ocenianej uczelni na rzecz jakości edukacji mają dobry wpływ na rozwój Polski.30],"*"&amp;"Nie (przejście"&amp;"*")</f>
        <v>0</v>
      </c>
      <c r="GE38" s="7">
        <f>COUNTIF(AnalizaCzyste[Współpraca ocenianej uczelni z biznesem ma pozytywne efekty dla rozwoju regionu / kraju.31],"*"&amp;"Nie (przejście"&amp;"*")</f>
        <v>0</v>
      </c>
      <c r="GF38" s="7">
        <f>COUNTIF(AnalizaCzyste[Ogólny poziom mojej satysfakcji z jakości usług edukacyjnych ocenianej uczelni jest wysoki.32],"*"&amp;"Nie (przejście"&amp;"*")</f>
        <v>0</v>
      </c>
      <c r="GG38" s="7">
        <f>COUNTIF(AnalizaCzyste[Pole dodatkowe33],"*"&amp;"Nie (przejście"&amp;"*")</f>
        <v>0</v>
      </c>
      <c r="GH38" s="7">
        <f>COUNTIF(AnalizaCzyste[Jakie inne efekty pracy ocenianej uczelni technicznej dostrzegasz obecnie?],"*"&amp;"Nie (przejście"&amp;"*")</f>
        <v>0</v>
      </c>
      <c r="GI38" s="7">
        <f>COUNTIF(AnalizaCzyste[Czy będziesz oceniać drugą uczelnię?],"*"&amp;"Nie (przejście"&amp;"*")</f>
        <v>2</v>
      </c>
      <c r="GJ38" s="7">
        <f>COUNTIF(AnalizaCzyste[Jak się nazywa uczelnia, którą ocenisz?34],"*"&amp;"Nie (przejście"&amp;"*")</f>
        <v>0</v>
      </c>
      <c r="GK38" s="7">
        <f>COUNTIF(AnalizaCzyste[Efekty działań ocenianej uczelni na rzesz jakości edukacji są zgodne ze strategią rozwoju w regionie.35],"*"&amp;"Nie (przejście"&amp;"*")</f>
        <v>0</v>
      </c>
      <c r="GL38" s="7">
        <f>COUNTIF(AnalizaCzyste[Wartość wykształcenia zdobywanego przez studentów na ocenianej uczelni jest wysoka.36],"*"&amp;"Nie (przejście"&amp;"*")</f>
        <v>0</v>
      </c>
      <c r="GM38" s="7">
        <f>COUNTIF(AnalizaCzyste[Zdobyte przez studentów ocenianej uczelni wykształcenie miało/ma pozytywny wpływ na ich zarobki.37],"*"&amp;"Nie (przejście"&amp;"*")</f>
        <v>0</v>
      </c>
      <c r="GN38" s="7">
        <f>COUNTIF(AnalizaCzyste[Efekty działań ocenianej uczelni na rzecz jakości edukacji mają dobry wpływ na rozwój regionu.38],"*"&amp;"Nie (przejście"&amp;"*")</f>
        <v>0</v>
      </c>
      <c r="GO38" s="7">
        <f>COUNTIF(AnalizaCzyste[Efekty działań ocenianej uczelni na rzecz jakości edukacji mają dobry wpływ na rozwój Polski.39],"*"&amp;"Nie (przejście"&amp;"*")</f>
        <v>0</v>
      </c>
      <c r="GP38" s="7">
        <f>COUNTIF(AnalizaCzyste[Współpraca ocenianej uczelni z biznesem ma pozytywne efekty dla rozwoju regionu / kraju.40],"*"&amp;"Nie (przejście"&amp;"*")</f>
        <v>0</v>
      </c>
      <c r="GQ38" s="7">
        <f>COUNTIF(AnalizaCzyste[Ogólny poziom mojej satysfakcji z jakości usług edukacyjnych ocenianej uczelni jest wysoki.41],"*"&amp;"Nie (przejście"&amp;"*")</f>
        <v>0</v>
      </c>
      <c r="GR38" s="7">
        <f>COUNTIF(AnalizaCzyste[Jakie inne efekty pracy ocenianej uczelni dostrzegasz obecnie?],"*"&amp;"Nie (przejście"&amp;"*")</f>
        <v>0</v>
      </c>
      <c r="GS38" s="7">
        <f>COUNTIF(AnalizaCzyste[Czy będziesz oceniać trzecią uczelnię?],"*"&amp;"Nie (przejście"&amp;"*")</f>
        <v>0</v>
      </c>
      <c r="GT38" s="7">
        <f>COUNTIF(AnalizaCzyste[Jak się nazywa uczelnia, którą ocenisz?42],"*"&amp;"Nie (przejście"&amp;"*")</f>
        <v>0</v>
      </c>
      <c r="GU38" s="7">
        <f>COUNTIF(AnalizaCzyste[Efekty działań ocenianej uczelni na rzesz jakości edukacji są zgodne ze strategią rozwoju w regionie.43],"*"&amp;"Nie (przejście"&amp;"*")</f>
        <v>0</v>
      </c>
      <c r="GV38" s="7">
        <f>COUNTIF(AnalizaCzyste[Wartość wykształcenia zdobywanego przez studentów na ocenianej uczelni jest wysoka.44],"*"&amp;"Nie (przejście"&amp;"*")</f>
        <v>0</v>
      </c>
      <c r="GW38" s="7">
        <f>COUNTIF(AnalizaCzyste[Zdobyte przez studentów ocenianej uczelni wykształcenie miało/ma pozytywny wpływ na ich zarobki.45],"*"&amp;"Nie (przejście"&amp;"*")</f>
        <v>0</v>
      </c>
      <c r="GX38" s="7">
        <f>COUNTIF(AnalizaCzyste[Efekty działań ocenianej uczelni na rzecz jakości edukacji mają dobry wpływ na rozwój regionu.46],"*"&amp;"Nie (przejście"&amp;"*")</f>
        <v>0</v>
      </c>
      <c r="GY38" s="7">
        <f>COUNTIF(AnalizaCzyste[Efekty działań ocenianej uczelni na rzecz jakości edukacji mają dobry wpływ na rozwój Polski.47],"*"&amp;"Nie (przejście"&amp;"*")</f>
        <v>0</v>
      </c>
      <c r="GZ38" s="7">
        <f>COUNTIF(AnalizaCzyste[Współpraca ocenianej uczelni z biznesem ma pozytywne efekty dla rozwoju regionu / kraju.48],"*"&amp;"Nie (przejście"&amp;"*")</f>
        <v>0</v>
      </c>
      <c r="HA38" s="7">
        <f>COUNTIF(AnalizaCzyste[Ogólny poziom mojej satysfakcji z jakości usług edukacyjnych ocenianej uczelni jest wysoki.49],"*"&amp;"Nie (przejście"&amp;"*")</f>
        <v>0</v>
      </c>
      <c r="HB38" s="7">
        <f>COUNTIF(AnalizaCzyste[Jakie inne efekty pracy ocenianej uczelni dostrzegasz obecnie?50],"*"&amp;"Nie (przejście"&amp;"*")</f>
        <v>0</v>
      </c>
      <c r="HC38" s="7">
        <f>COUNTIF(AnalizaCzyste[Jakie, Twoim zdaniem, elementy decydują o tym, że uczelnie są lepsze lub gorsze.],"*"&amp;"Nie (przejście"&amp;"*")</f>
        <v>0</v>
      </c>
      <c r="HD38" s="7">
        <f>COUNTIF(AnalizaCzyste[Kolumna51],"*"&amp;"Nie (przejście"&amp;"*")</f>
        <v>0</v>
      </c>
      <c r="HE38" s="7">
        <f>COUNTIF(AnalizaCzyste[Kolumna52],"*"&amp;"Nie (przejście"&amp;"*")</f>
        <v>0</v>
      </c>
      <c r="HF38" s="7">
        <f>COUNTIF(AnalizaCzyste[Płeć],"*"&amp;"Kobieta"&amp;"*")</f>
        <v>6</v>
      </c>
      <c r="HG38" s="7">
        <f>COUNTIF(AnalizaCzyste[Rok urodzenia],"*"&amp;"Nie (przejście"&amp;"*")</f>
        <v>0</v>
      </c>
      <c r="HH38" s="7"/>
      <c r="HI38" s="7">
        <f>COUNTIF(AnalizaCzyste[Z jakiej wielkości miejscowości pochodzisz? (dotyczy miejscowości, w której się wychowałaś/eś],"*"&amp;"Nie (przejście"&amp;"*")</f>
        <v>0</v>
      </c>
    </row>
    <row r="39" spans="1:221" ht="14.65" thickTop="1" x14ac:dyDescent="0.45">
      <c r="B39" s="20" t="s">
        <v>2294</v>
      </c>
      <c r="U39" s="7">
        <f>COUNTBLANK(AnalizaCzyste[Czy jesteś studentem uczelni wyższej?])</f>
        <v>0</v>
      </c>
      <c r="V39" s="8"/>
      <c r="W39" s="8"/>
      <c r="X39" s="8"/>
      <c r="Y39" s="8"/>
      <c r="Z39" s="8"/>
      <c r="AA39" s="8"/>
      <c r="AB39" s="8"/>
      <c r="AC39" s="8"/>
      <c r="AD39" s="8"/>
      <c r="AE39" s="8"/>
      <c r="AF39" s="8"/>
      <c r="AG39" s="8"/>
      <c r="AH39" s="8"/>
      <c r="AI39" s="8"/>
      <c r="AJ39" s="8"/>
      <c r="AK39" s="7">
        <f>COUNTBLANK(AnalizaCzyste[Czy jesteś absolwentem uczelni wyższej?])</f>
        <v>0</v>
      </c>
      <c r="AL39" s="8"/>
      <c r="AM39" s="8"/>
      <c r="AN39" s="8"/>
      <c r="AO39" s="8"/>
      <c r="AP39" s="8"/>
      <c r="AQ39" s="8"/>
      <c r="AR39" s="8"/>
      <c r="AS39" s="8"/>
      <c r="AT39" s="8"/>
      <c r="AU39" s="8"/>
      <c r="AV39" s="8"/>
      <c r="AW39" s="8"/>
      <c r="AX39" s="8"/>
      <c r="AY39" s="8"/>
      <c r="AZ39" s="8"/>
      <c r="BA39" s="8"/>
      <c r="BB39" s="8"/>
      <c r="BC39" s="8"/>
      <c r="BD39" s="7">
        <f>COUNTBLANK(AnalizaCzyste[Czy jesteś rodzicem / opiekunem absolwenta uczelni wyższej?])</f>
        <v>0</v>
      </c>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7">
        <f>COUNTBLANK(AnalizaCzyste[Czy jesteś aktualnie pracownikiem administracyjnym uczelni wyższej?])</f>
        <v>0</v>
      </c>
      <c r="CY39" s="8"/>
      <c r="CZ39" s="8"/>
      <c r="DA39" s="8"/>
      <c r="DB39" s="8"/>
      <c r="DC39" s="8"/>
      <c r="DD39" s="8"/>
      <c r="DE39" s="8"/>
      <c r="DF39" s="8"/>
      <c r="DG39" s="8"/>
      <c r="DH39" s="7">
        <f>COUNTBLANK(AnalizaCzyste[Czy jesteś aktualnie pracownikiem naukowym lub dydaktycznym uczelni wyższej?])</f>
        <v>0</v>
      </c>
      <c r="DI39" s="8"/>
      <c r="DJ39" s="8"/>
      <c r="DK39" s="8"/>
      <c r="DL39" s="8"/>
      <c r="DM39" s="8"/>
      <c r="DN39" s="8"/>
      <c r="DO39" s="8"/>
      <c r="DP39" s="8"/>
      <c r="DQ39" s="8"/>
      <c r="DR39" s="7">
        <f>COUNTBLANK(AnalizaCzyste[Czy jesteś przedstawicielem władz uczelni z grupy rektorów, prorektorów, dziekanów, prodziekanów, członków senatu lub członków rady uczelni?])</f>
        <v>0</v>
      </c>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7">
        <f>COUNTBLANK(AnalizaCzyste[Czy jesteś przedstawicielem firmy, w której są zatrudniani absolwenci uczelni wyższych (tytuł licencjata, magistra lub wyższy)?])</f>
        <v>0</v>
      </c>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7">
        <f>COUNTBLANK(AnalizaCzyste[Czy jesteś przedstawicielem władz samorządowych lub centralnych Rzeczypospolitej Polskiej?])</f>
        <v>0</v>
      </c>
      <c r="FV39" s="7">
        <f>COUNTBLANK(AnalizaCzyste[Proszę wskaż jaki poziom władzy samorządowej lub centralnej reprezentujesz.])</f>
        <v>17</v>
      </c>
      <c r="FW39" s="7">
        <f>COUNTBLANK(AnalizaCzyste[Proszę o podanie nazwy organu władzy jaki reprezentujesz.])</f>
        <v>31</v>
      </c>
      <c r="FX39" s="7">
        <f>COUNTBLANK(AnalizaCzyste[Ile uczelni będziesz oceniać?26])</f>
        <v>21</v>
      </c>
      <c r="FY39" s="7">
        <f>COUNTBLANK(AnalizaCzyste[Jak się nazywa uczelnia, którą ocenisz?])</f>
        <v>31</v>
      </c>
      <c r="FZ39" s="7">
        <f>COUNTBLANK(AnalizaCzyste[Efekty działań ocenianej uczelni na rzesz jakości edukacji są zgodne ze strategią rozwoju w regionie.])</f>
        <v>31</v>
      </c>
      <c r="GA39" s="7">
        <f>COUNTBLANK(AnalizaCzyste[Wartość wykształcenia zdobywanego przez studentów na ocenianej uczelni jest wysoka.27])</f>
        <v>31</v>
      </c>
      <c r="GB39" s="7">
        <f>COUNTBLANK(AnalizaCzyste[Zdobyte przez studentów ocenianej uczelni wykształcenie miało/ma pozytywny wpływ na ich zarobki.28])</f>
        <v>31</v>
      </c>
      <c r="GC39" s="7">
        <f>COUNTBLANK(AnalizaCzyste[Efekty działań ocenianej uczelni na rzecz jakości edukacji mają dobry wpływ na rozwój regionu.29])</f>
        <v>31</v>
      </c>
      <c r="GD39" s="7">
        <f>COUNTBLANK(AnalizaCzyste[Efekty działań ocenianej uczelni na rzecz jakości edukacji mają dobry wpływ na rozwój Polski.30])</f>
        <v>31</v>
      </c>
      <c r="GE39" s="7">
        <f>COUNTBLANK(AnalizaCzyste[Współpraca ocenianej uczelni z biznesem ma pozytywne efekty dla rozwoju regionu / kraju.31])</f>
        <v>31</v>
      </c>
      <c r="GF39" s="7">
        <f>COUNTBLANK(AnalizaCzyste[Ogólny poziom mojej satysfakcji z jakości usług edukacyjnych ocenianej uczelni jest wysoki.32])</f>
        <v>31</v>
      </c>
      <c r="GG39" s="7">
        <f>COUNTBLANK(AnalizaCzyste[Pole dodatkowe33])</f>
        <v>33</v>
      </c>
      <c r="GH39" s="7">
        <f>COUNTBLANK(AnalizaCzyste[Jakie inne efekty pracy ocenianej uczelni technicznej dostrzegasz obecnie?])</f>
        <v>32</v>
      </c>
      <c r="GI39" s="7">
        <f>COUNTBLANK(AnalizaCzyste[Czy będziesz oceniać drugą uczelnię?])</f>
        <v>31</v>
      </c>
      <c r="GJ39" s="7">
        <f>COUNTBLANK(AnalizaCzyste[Jak się nazywa uczelnia, którą ocenisz?34])</f>
        <v>33</v>
      </c>
      <c r="GK39" s="7">
        <f>COUNTBLANK(AnalizaCzyste[Efekty działań ocenianej uczelni na rzesz jakości edukacji są zgodne ze strategią rozwoju w regionie.35])</f>
        <v>33</v>
      </c>
      <c r="GL39" s="7">
        <f>COUNTBLANK(AnalizaCzyste[Wartość wykształcenia zdobywanego przez studentów na ocenianej uczelni jest wysoka.36])</f>
        <v>33</v>
      </c>
      <c r="GM39" s="7">
        <f>COUNTBLANK(AnalizaCzyste[Zdobyte przez studentów ocenianej uczelni wykształcenie miało/ma pozytywny wpływ na ich zarobki.37])</f>
        <v>33</v>
      </c>
      <c r="GN39" s="7">
        <f>COUNTBLANK(AnalizaCzyste[Efekty działań ocenianej uczelni na rzecz jakości edukacji mają dobry wpływ na rozwój regionu.38])</f>
        <v>33</v>
      </c>
      <c r="GO39" s="7">
        <f>COUNTBLANK(AnalizaCzyste[Efekty działań ocenianej uczelni na rzecz jakości edukacji mają dobry wpływ na rozwój Polski.39])</f>
        <v>33</v>
      </c>
      <c r="GP39" s="7">
        <f>COUNTBLANK(AnalizaCzyste[Współpraca ocenianej uczelni z biznesem ma pozytywne efekty dla rozwoju regionu / kraju.40])</f>
        <v>33</v>
      </c>
      <c r="GQ39" s="7">
        <f>COUNTBLANK(AnalizaCzyste[Ogólny poziom mojej satysfakcji z jakości usług edukacyjnych ocenianej uczelni jest wysoki.41])</f>
        <v>33</v>
      </c>
      <c r="GR39" s="7">
        <f>COUNTBLANK(AnalizaCzyste[Jakie inne efekty pracy ocenianej uczelni dostrzegasz obecnie?])</f>
        <v>33</v>
      </c>
      <c r="GS39" s="7">
        <f>COUNTBLANK(AnalizaCzyste[Czy będziesz oceniać trzecią uczelnię?])</f>
        <v>33</v>
      </c>
      <c r="GT39" s="7">
        <f>COUNTBLANK(AnalizaCzyste[Jak się nazywa uczelnia, którą ocenisz?42])</f>
        <v>33</v>
      </c>
      <c r="GU39" s="7">
        <f>COUNTBLANK(AnalizaCzyste[Efekty działań ocenianej uczelni na rzesz jakości edukacji są zgodne ze strategią rozwoju w regionie.43])</f>
        <v>33</v>
      </c>
      <c r="GV39" s="7">
        <f>COUNTBLANK(AnalizaCzyste[Wartość wykształcenia zdobywanego przez studentów na ocenianej uczelni jest wysoka.44])</f>
        <v>33</v>
      </c>
      <c r="GW39" s="7">
        <f>COUNTBLANK(AnalizaCzyste[Zdobyte przez studentów ocenianej uczelni wykształcenie miało/ma pozytywny wpływ na ich zarobki.45])</f>
        <v>33</v>
      </c>
      <c r="GX39" s="7">
        <f>COUNTBLANK(AnalizaCzyste[Efekty działań ocenianej uczelni na rzecz jakości edukacji mają dobry wpływ na rozwój regionu.46])</f>
        <v>33</v>
      </c>
      <c r="GY39" s="7">
        <f>COUNTBLANK(AnalizaCzyste[Efekty działań ocenianej uczelni na rzecz jakości edukacji mają dobry wpływ na rozwój Polski.47])</f>
        <v>33</v>
      </c>
      <c r="GZ39" s="7">
        <f>COUNTBLANK(AnalizaCzyste[Współpraca ocenianej uczelni z biznesem ma pozytywne efekty dla rozwoju regionu / kraju.48])</f>
        <v>33</v>
      </c>
      <c r="HA39" s="7">
        <f>COUNTBLANK(AnalizaCzyste[Ogólny poziom mojej satysfakcji z jakości usług edukacyjnych ocenianej uczelni jest wysoki.49])</f>
        <v>33</v>
      </c>
      <c r="HB39" s="7">
        <f>COUNTBLANK(AnalizaCzyste[Jakie inne efekty pracy ocenianej uczelni dostrzegasz obecnie?50])</f>
        <v>33</v>
      </c>
      <c r="HC39" s="7">
        <f>COUNTBLANK(AnalizaCzyste[Jakie, Twoim zdaniem, elementy decydują o tym, że uczelnie są lepsze lub gorsze.])</f>
        <v>2</v>
      </c>
      <c r="HD39" s="7">
        <f>COUNTBLANK(AnalizaCzyste[Kolumna51])</f>
        <v>2</v>
      </c>
      <c r="HE39" s="7">
        <f>COUNTBLANK(AnalizaCzyste[Kolumna52])</f>
        <v>2</v>
      </c>
      <c r="HF39" s="7">
        <f>COUNTBLANK(AnalizaCzyste[Płeć])</f>
        <v>0</v>
      </c>
      <c r="HG39" s="7">
        <f>COUNTBLANK(AnalizaCzyste[Rok urodzenia])</f>
        <v>0</v>
      </c>
      <c r="HH39" s="7"/>
      <c r="HI39" s="7">
        <f>COUNTBLANK(AnalizaCzyste[Z jakiej wielkości miejscowości pochodzisz? (dotyczy miejscowości, w której się wychowałaś/eś])</f>
        <v>2</v>
      </c>
    </row>
    <row r="40" spans="1:221" ht="14.65" thickBot="1" x14ac:dyDescent="0.5">
      <c r="U40">
        <f t="shared" ref="U40:CG40" si="0">SUM(U37:U39)</f>
        <v>33</v>
      </c>
      <c r="V40">
        <f t="shared" si="0"/>
        <v>0</v>
      </c>
      <c r="W40">
        <f t="shared" si="0"/>
        <v>0</v>
      </c>
      <c r="X40">
        <f t="shared" si="0"/>
        <v>0</v>
      </c>
      <c r="Y40">
        <f t="shared" si="0"/>
        <v>0</v>
      </c>
      <c r="Z40">
        <f t="shared" si="0"/>
        <v>0</v>
      </c>
      <c r="AA40">
        <f t="shared" si="0"/>
        <v>0</v>
      </c>
      <c r="AB40">
        <f t="shared" si="0"/>
        <v>0</v>
      </c>
      <c r="AC40">
        <f t="shared" si="0"/>
        <v>0</v>
      </c>
      <c r="AD40">
        <f t="shared" si="0"/>
        <v>0</v>
      </c>
      <c r="AE40">
        <f t="shared" si="0"/>
        <v>0</v>
      </c>
      <c r="AF40">
        <f t="shared" si="0"/>
        <v>0</v>
      </c>
      <c r="AG40">
        <f t="shared" si="0"/>
        <v>0</v>
      </c>
      <c r="AH40">
        <f t="shared" si="0"/>
        <v>0</v>
      </c>
      <c r="AI40">
        <f t="shared" si="0"/>
        <v>0</v>
      </c>
      <c r="AJ40">
        <f t="shared" si="0"/>
        <v>0</v>
      </c>
      <c r="AK40">
        <f t="shared" si="0"/>
        <v>33</v>
      </c>
      <c r="AL40">
        <f t="shared" si="0"/>
        <v>0</v>
      </c>
      <c r="AN40">
        <f t="shared" si="0"/>
        <v>0</v>
      </c>
      <c r="AO40">
        <f t="shared" si="0"/>
        <v>0</v>
      </c>
      <c r="AP40">
        <f t="shared" si="0"/>
        <v>0</v>
      </c>
      <c r="AQ40">
        <f t="shared" si="0"/>
        <v>0</v>
      </c>
      <c r="AR40">
        <f t="shared" si="0"/>
        <v>0</v>
      </c>
      <c r="AS40">
        <f t="shared" si="0"/>
        <v>0</v>
      </c>
      <c r="AT40">
        <f t="shared" si="0"/>
        <v>0</v>
      </c>
      <c r="AU40">
        <f t="shared" si="0"/>
        <v>0</v>
      </c>
      <c r="AV40">
        <f t="shared" si="0"/>
        <v>0</v>
      </c>
      <c r="AW40">
        <f t="shared" si="0"/>
        <v>0</v>
      </c>
      <c r="AX40">
        <f t="shared" si="0"/>
        <v>0</v>
      </c>
      <c r="AY40">
        <f t="shared" si="0"/>
        <v>0</v>
      </c>
      <c r="AZ40">
        <f t="shared" si="0"/>
        <v>0</v>
      </c>
      <c r="BA40">
        <f t="shared" si="0"/>
        <v>0</v>
      </c>
      <c r="BB40">
        <f t="shared" si="0"/>
        <v>0</v>
      </c>
      <c r="BC40">
        <f t="shared" si="0"/>
        <v>0</v>
      </c>
      <c r="BD40">
        <f t="shared" si="0"/>
        <v>33</v>
      </c>
      <c r="BE40">
        <f t="shared" si="0"/>
        <v>0</v>
      </c>
      <c r="BF40">
        <f t="shared" si="0"/>
        <v>0</v>
      </c>
      <c r="BG40">
        <f t="shared" si="0"/>
        <v>0</v>
      </c>
      <c r="BH40">
        <f t="shared" si="0"/>
        <v>0</v>
      </c>
      <c r="BI40">
        <f t="shared" si="0"/>
        <v>0</v>
      </c>
      <c r="BJ40">
        <f t="shared" si="0"/>
        <v>0</v>
      </c>
      <c r="BK40">
        <f t="shared" si="0"/>
        <v>0</v>
      </c>
      <c r="BL40">
        <f t="shared" si="0"/>
        <v>0</v>
      </c>
      <c r="BM40">
        <f t="shared" si="0"/>
        <v>0</v>
      </c>
      <c r="BN40">
        <f t="shared" si="0"/>
        <v>0</v>
      </c>
      <c r="BO40">
        <f t="shared" si="0"/>
        <v>0</v>
      </c>
      <c r="BP40">
        <f t="shared" si="0"/>
        <v>0</v>
      </c>
      <c r="BQ40">
        <f t="shared" si="0"/>
        <v>0</v>
      </c>
      <c r="BR40">
        <f t="shared" si="0"/>
        <v>0</v>
      </c>
      <c r="BS40">
        <f t="shared" si="0"/>
        <v>0</v>
      </c>
      <c r="BT40">
        <f t="shared" si="0"/>
        <v>0</v>
      </c>
      <c r="BU40">
        <f t="shared" si="0"/>
        <v>0</v>
      </c>
      <c r="BV40">
        <f t="shared" si="0"/>
        <v>0</v>
      </c>
      <c r="BW40">
        <f t="shared" si="0"/>
        <v>0</v>
      </c>
      <c r="BX40">
        <f t="shared" si="0"/>
        <v>0</v>
      </c>
      <c r="BY40">
        <f t="shared" si="0"/>
        <v>0</v>
      </c>
      <c r="BZ40">
        <f t="shared" si="0"/>
        <v>0</v>
      </c>
      <c r="CA40">
        <f t="shared" si="0"/>
        <v>0</v>
      </c>
      <c r="CB40">
        <f t="shared" si="0"/>
        <v>0</v>
      </c>
      <c r="CC40">
        <f t="shared" si="0"/>
        <v>0</v>
      </c>
      <c r="CD40">
        <f t="shared" si="0"/>
        <v>0</v>
      </c>
      <c r="CE40">
        <f t="shared" si="0"/>
        <v>0</v>
      </c>
      <c r="CF40">
        <f t="shared" si="0"/>
        <v>0</v>
      </c>
      <c r="CG40">
        <f t="shared" si="0"/>
        <v>0</v>
      </c>
      <c r="CH40">
        <f t="shared" ref="CH40:DR40" si="1">SUM(CH37:CH39)</f>
        <v>0</v>
      </c>
      <c r="CI40">
        <f t="shared" si="1"/>
        <v>0</v>
      </c>
      <c r="CJ40">
        <f t="shared" si="1"/>
        <v>0</v>
      </c>
      <c r="CK40">
        <f t="shared" si="1"/>
        <v>0</v>
      </c>
      <c r="CL40">
        <f t="shared" si="1"/>
        <v>0</v>
      </c>
      <c r="CM40">
        <f t="shared" si="1"/>
        <v>0</v>
      </c>
      <c r="CN40">
        <f t="shared" si="1"/>
        <v>0</v>
      </c>
      <c r="CO40">
        <f t="shared" si="1"/>
        <v>0</v>
      </c>
      <c r="CP40">
        <f t="shared" si="1"/>
        <v>0</v>
      </c>
      <c r="CQ40">
        <f t="shared" si="1"/>
        <v>0</v>
      </c>
      <c r="CR40">
        <f t="shared" si="1"/>
        <v>0</v>
      </c>
      <c r="CS40">
        <f t="shared" si="1"/>
        <v>0</v>
      </c>
      <c r="CT40">
        <f t="shared" si="1"/>
        <v>0</v>
      </c>
      <c r="CU40">
        <f t="shared" si="1"/>
        <v>0</v>
      </c>
      <c r="CV40">
        <f t="shared" si="1"/>
        <v>0</v>
      </c>
      <c r="CW40">
        <f t="shared" si="1"/>
        <v>0</v>
      </c>
      <c r="CX40">
        <f t="shared" si="1"/>
        <v>33</v>
      </c>
      <c r="CY40">
        <f t="shared" si="1"/>
        <v>0</v>
      </c>
      <c r="CZ40">
        <f t="shared" si="1"/>
        <v>0</v>
      </c>
      <c r="DA40">
        <f t="shared" si="1"/>
        <v>0</v>
      </c>
      <c r="DB40">
        <f t="shared" si="1"/>
        <v>0</v>
      </c>
      <c r="DC40">
        <f t="shared" si="1"/>
        <v>0</v>
      </c>
      <c r="DD40">
        <f t="shared" si="1"/>
        <v>0</v>
      </c>
      <c r="DE40">
        <f t="shared" si="1"/>
        <v>0</v>
      </c>
      <c r="DF40">
        <f t="shared" si="1"/>
        <v>0</v>
      </c>
      <c r="DG40">
        <f t="shared" si="1"/>
        <v>0</v>
      </c>
      <c r="DH40">
        <f t="shared" si="1"/>
        <v>33</v>
      </c>
      <c r="DI40">
        <f t="shared" si="1"/>
        <v>0</v>
      </c>
      <c r="DJ40">
        <f t="shared" si="1"/>
        <v>0</v>
      </c>
      <c r="DK40">
        <f t="shared" si="1"/>
        <v>0</v>
      </c>
      <c r="DL40">
        <f t="shared" si="1"/>
        <v>0</v>
      </c>
      <c r="DM40">
        <f t="shared" si="1"/>
        <v>0</v>
      </c>
      <c r="DN40">
        <f t="shared" si="1"/>
        <v>0</v>
      </c>
      <c r="DO40">
        <f t="shared" si="1"/>
        <v>0</v>
      </c>
      <c r="DP40">
        <f t="shared" si="1"/>
        <v>0</v>
      </c>
      <c r="DQ40">
        <f t="shared" si="1"/>
        <v>0</v>
      </c>
      <c r="DR40">
        <f t="shared" si="1"/>
        <v>33</v>
      </c>
      <c r="DS40">
        <f>SUM(DS37:DS39)</f>
        <v>0</v>
      </c>
      <c r="DT40">
        <f t="shared" ref="DT40:GE40" si="2">SUM(DT37:DT39)</f>
        <v>0</v>
      </c>
      <c r="DU40">
        <f t="shared" si="2"/>
        <v>0</v>
      </c>
      <c r="DV40">
        <f t="shared" si="2"/>
        <v>0</v>
      </c>
      <c r="DW40">
        <f t="shared" si="2"/>
        <v>0</v>
      </c>
      <c r="DX40">
        <f t="shared" si="2"/>
        <v>0</v>
      </c>
      <c r="DY40">
        <f t="shared" si="2"/>
        <v>0</v>
      </c>
      <c r="DZ40">
        <f t="shared" si="2"/>
        <v>0</v>
      </c>
      <c r="EA40">
        <f t="shared" si="2"/>
        <v>0</v>
      </c>
      <c r="EB40">
        <f t="shared" si="2"/>
        <v>0</v>
      </c>
      <c r="EC40">
        <f t="shared" si="2"/>
        <v>0</v>
      </c>
      <c r="ED40">
        <f t="shared" si="2"/>
        <v>0</v>
      </c>
      <c r="EE40">
        <f t="shared" si="2"/>
        <v>0</v>
      </c>
      <c r="EF40">
        <f t="shared" si="2"/>
        <v>0</v>
      </c>
      <c r="EG40">
        <f t="shared" si="2"/>
        <v>0</v>
      </c>
      <c r="EH40">
        <f t="shared" si="2"/>
        <v>0</v>
      </c>
      <c r="EI40">
        <f t="shared" si="2"/>
        <v>0</v>
      </c>
      <c r="EJ40">
        <f t="shared" si="2"/>
        <v>0</v>
      </c>
      <c r="EK40">
        <f t="shared" si="2"/>
        <v>0</v>
      </c>
      <c r="EL40">
        <f t="shared" si="2"/>
        <v>0</v>
      </c>
      <c r="EM40">
        <f t="shared" si="2"/>
        <v>0</v>
      </c>
      <c r="EN40">
        <f t="shared" si="2"/>
        <v>0</v>
      </c>
      <c r="EO40">
        <f t="shared" si="2"/>
        <v>0</v>
      </c>
      <c r="EP40">
        <f t="shared" si="2"/>
        <v>0</v>
      </c>
      <c r="EQ40">
        <f t="shared" si="2"/>
        <v>0</v>
      </c>
      <c r="ER40">
        <f t="shared" si="2"/>
        <v>0</v>
      </c>
      <c r="ES40">
        <f t="shared" si="2"/>
        <v>0</v>
      </c>
      <c r="ET40">
        <f t="shared" si="2"/>
        <v>0</v>
      </c>
      <c r="EU40">
        <f t="shared" si="2"/>
        <v>33</v>
      </c>
      <c r="EV40">
        <f t="shared" si="2"/>
        <v>0</v>
      </c>
      <c r="EW40">
        <f t="shared" si="2"/>
        <v>0</v>
      </c>
      <c r="EX40">
        <f t="shared" si="2"/>
        <v>0</v>
      </c>
      <c r="EY40">
        <f t="shared" si="2"/>
        <v>0</v>
      </c>
      <c r="EZ40">
        <f t="shared" si="2"/>
        <v>0</v>
      </c>
      <c r="FA40">
        <f t="shared" si="2"/>
        <v>0</v>
      </c>
      <c r="FB40">
        <f t="shared" si="2"/>
        <v>0</v>
      </c>
      <c r="FC40">
        <f t="shared" si="2"/>
        <v>0</v>
      </c>
      <c r="FD40">
        <f t="shared" si="2"/>
        <v>0</v>
      </c>
      <c r="FE40">
        <f t="shared" si="2"/>
        <v>0</v>
      </c>
      <c r="FF40">
        <f t="shared" si="2"/>
        <v>0</v>
      </c>
      <c r="FG40">
        <f t="shared" si="2"/>
        <v>0</v>
      </c>
      <c r="FH40">
        <f t="shared" si="2"/>
        <v>0</v>
      </c>
      <c r="FI40">
        <f t="shared" si="2"/>
        <v>0</v>
      </c>
      <c r="FJ40">
        <f t="shared" si="2"/>
        <v>0</v>
      </c>
      <c r="FK40">
        <f t="shared" si="2"/>
        <v>0</v>
      </c>
      <c r="FL40">
        <f t="shared" si="2"/>
        <v>0</v>
      </c>
      <c r="FM40">
        <f t="shared" si="2"/>
        <v>0</v>
      </c>
      <c r="FN40">
        <f t="shared" si="2"/>
        <v>0</v>
      </c>
      <c r="FO40">
        <f t="shared" si="2"/>
        <v>0</v>
      </c>
      <c r="FP40">
        <f t="shared" si="2"/>
        <v>0</v>
      </c>
      <c r="FQ40">
        <f t="shared" si="2"/>
        <v>0</v>
      </c>
      <c r="FR40">
        <f t="shared" si="2"/>
        <v>0</v>
      </c>
      <c r="FS40">
        <f t="shared" si="2"/>
        <v>0</v>
      </c>
      <c r="FT40">
        <f t="shared" si="2"/>
        <v>0</v>
      </c>
      <c r="FU40">
        <f t="shared" si="2"/>
        <v>33</v>
      </c>
      <c r="FV40">
        <f t="shared" si="2"/>
        <v>17</v>
      </c>
      <c r="FW40">
        <f t="shared" si="2"/>
        <v>31</v>
      </c>
      <c r="FX40">
        <f t="shared" si="2"/>
        <v>21</v>
      </c>
      <c r="FY40">
        <f t="shared" si="2"/>
        <v>31</v>
      </c>
      <c r="FZ40">
        <f t="shared" si="2"/>
        <v>31</v>
      </c>
      <c r="GA40">
        <f t="shared" si="2"/>
        <v>31</v>
      </c>
      <c r="GB40">
        <f t="shared" si="2"/>
        <v>31</v>
      </c>
      <c r="GC40">
        <f t="shared" si="2"/>
        <v>31</v>
      </c>
      <c r="GD40">
        <f t="shared" si="2"/>
        <v>31</v>
      </c>
      <c r="GE40">
        <f t="shared" si="2"/>
        <v>31</v>
      </c>
      <c r="GF40">
        <f t="shared" ref="GF40:HF40" si="3">SUM(GF37:GF39)</f>
        <v>31</v>
      </c>
      <c r="GG40">
        <f t="shared" si="3"/>
        <v>33</v>
      </c>
      <c r="GH40">
        <f t="shared" si="3"/>
        <v>32</v>
      </c>
      <c r="GI40">
        <f t="shared" si="3"/>
        <v>33</v>
      </c>
      <c r="GJ40">
        <f t="shared" si="3"/>
        <v>33</v>
      </c>
      <c r="GK40">
        <f t="shared" si="3"/>
        <v>33</v>
      </c>
      <c r="GL40">
        <f t="shared" si="3"/>
        <v>33</v>
      </c>
      <c r="GM40">
        <f t="shared" si="3"/>
        <v>33</v>
      </c>
      <c r="GN40">
        <f t="shared" si="3"/>
        <v>33</v>
      </c>
      <c r="GO40">
        <f t="shared" si="3"/>
        <v>33</v>
      </c>
      <c r="GP40">
        <f t="shared" si="3"/>
        <v>33</v>
      </c>
      <c r="GQ40">
        <f t="shared" si="3"/>
        <v>33</v>
      </c>
      <c r="GR40">
        <f t="shared" si="3"/>
        <v>33</v>
      </c>
      <c r="GS40">
        <f t="shared" si="3"/>
        <v>33</v>
      </c>
      <c r="GT40">
        <f t="shared" si="3"/>
        <v>33</v>
      </c>
      <c r="GU40">
        <f t="shared" si="3"/>
        <v>33</v>
      </c>
      <c r="GV40">
        <f t="shared" si="3"/>
        <v>33</v>
      </c>
      <c r="GW40">
        <f t="shared" si="3"/>
        <v>33</v>
      </c>
      <c r="GX40">
        <f t="shared" si="3"/>
        <v>33</v>
      </c>
      <c r="GY40">
        <f t="shared" si="3"/>
        <v>33</v>
      </c>
      <c r="GZ40">
        <f t="shared" si="3"/>
        <v>33</v>
      </c>
      <c r="HA40">
        <f t="shared" si="3"/>
        <v>33</v>
      </c>
      <c r="HB40">
        <f t="shared" si="3"/>
        <v>33</v>
      </c>
      <c r="HC40">
        <f t="shared" si="3"/>
        <v>3</v>
      </c>
      <c r="HD40">
        <f t="shared" si="3"/>
        <v>4</v>
      </c>
      <c r="HE40">
        <f t="shared" si="3"/>
        <v>3</v>
      </c>
      <c r="HF40">
        <f t="shared" si="3"/>
        <v>33</v>
      </c>
      <c r="HG40">
        <f>SUM(HG36,HG39)</f>
        <v>33</v>
      </c>
      <c r="HI40">
        <f>SUM(HI36,HI39)</f>
        <v>33</v>
      </c>
    </row>
    <row r="41" spans="1:221" ht="14.65" thickTop="1" x14ac:dyDescent="0.45">
      <c r="U41" s="7"/>
      <c r="EE41" t="e">
        <f>SUM(#REF!,#REF!,#REF!,#REF!,#REF!)</f>
        <v>#REF!</v>
      </c>
      <c r="EF41" t="e">
        <f>SUM(#REF!,#REF!,#REF!,#REF!,#REF!)</f>
        <v>#REF!</v>
      </c>
      <c r="EG41" t="e">
        <f>SUM(#REF!,#REF!,#REF!,#REF!,#REF!)</f>
        <v>#REF!</v>
      </c>
      <c r="EH41" t="e">
        <f>SUM(#REF!,#REF!,#REF!,#REF!,#REF!)</f>
        <v>#REF!</v>
      </c>
      <c r="EI41" t="e">
        <f>SUM(#REF!,#REF!,#REF!,#REF!,#REF!)</f>
        <v>#REF!</v>
      </c>
      <c r="EJ41" t="e">
        <f>SUM(#REF!,#REF!,#REF!,#REF!,#REF!)</f>
        <v>#REF!</v>
      </c>
      <c r="EK41" t="e">
        <f>SUM(#REF!,#REF!,#REF!,#REF!,#REF!)</f>
        <v>#REF!</v>
      </c>
      <c r="EL41" t="e">
        <f>SUM(EE41:EK41)</f>
        <v>#REF!</v>
      </c>
      <c r="EM41" t="e">
        <f>SUM(#REF!,#REF!,#REF!,#REF!,#REF!)</f>
        <v>#REF!</v>
      </c>
      <c r="EN41" t="e">
        <f>SUM(#REF!,#REF!,#REF!,#REF!,#REF!)</f>
        <v>#REF!</v>
      </c>
      <c r="EO41" t="e">
        <f>SUM(#REF!,#REF!,#REF!,#REF!,#REF!)</f>
        <v>#REF!</v>
      </c>
      <c r="EP41" t="e">
        <f>SUM(#REF!,#REF!,#REF!,#REF!,#REF!)</f>
        <v>#REF!</v>
      </c>
      <c r="EQ41" t="e">
        <f>SUM(#REF!,#REF!,#REF!,#REF!,#REF!)</f>
        <v>#REF!</v>
      </c>
      <c r="ER41" t="e">
        <f>SUM(#REF!,#REF!,#REF!,#REF!,#REF!)</f>
        <v>#REF!</v>
      </c>
      <c r="ES41" t="e">
        <f>SUM(#REF!,#REF!,#REF!,#REF!,#REF!)</f>
        <v>#REF!</v>
      </c>
      <c r="ET41" t="e">
        <f>SUM(EM41:ES41)</f>
        <v>#REF!</v>
      </c>
    </row>
    <row r="42" spans="1:221" x14ac:dyDescent="0.45">
      <c r="EE42" s="33" t="e">
        <f t="shared" ref="EE42:EK42" si="4">EE41/$EL$41</f>
        <v>#REF!</v>
      </c>
      <c r="EF42" s="33" t="e">
        <f t="shared" si="4"/>
        <v>#REF!</v>
      </c>
      <c r="EG42" s="33" t="e">
        <f t="shared" si="4"/>
        <v>#REF!</v>
      </c>
      <c r="EH42" s="33" t="e">
        <f t="shared" si="4"/>
        <v>#REF!</v>
      </c>
      <c r="EI42" s="33" t="e">
        <f t="shared" si="4"/>
        <v>#REF!</v>
      </c>
      <c r="EJ42" s="33" t="e">
        <f t="shared" si="4"/>
        <v>#REF!</v>
      </c>
      <c r="EK42" s="33" t="e">
        <f t="shared" si="4"/>
        <v>#REF!</v>
      </c>
      <c r="EL42" s="33" t="e">
        <f>SUM(EE42:EK42)</f>
        <v>#REF!</v>
      </c>
      <c r="EM42" s="33" t="e">
        <f t="shared" ref="EM42:ES42" si="5">EM41/$EL$41</f>
        <v>#REF!</v>
      </c>
      <c r="EN42" s="33" t="e">
        <f t="shared" si="5"/>
        <v>#REF!</v>
      </c>
      <c r="EO42" s="33" t="e">
        <f t="shared" si="5"/>
        <v>#REF!</v>
      </c>
      <c r="EP42" s="33" t="e">
        <f t="shared" si="5"/>
        <v>#REF!</v>
      </c>
      <c r="EQ42" s="33" t="e">
        <f t="shared" si="5"/>
        <v>#REF!</v>
      </c>
      <c r="ER42" s="33" t="e">
        <f t="shared" si="5"/>
        <v>#REF!</v>
      </c>
      <c r="ES42" s="33" t="e">
        <f t="shared" si="5"/>
        <v>#REF!</v>
      </c>
      <c r="ET42" s="33" t="e">
        <f>SUM(EM42:ES42)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01"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workbookViewId="0">
      <selection activeCell="H13" sqref="H13"/>
    </sheetView>
  </sheetViews>
  <sheetFormatPr defaultRowHeight="14.25" x14ac:dyDescent="0.45"/>
  <cols>
    <col min="1" max="1" width="18.33203125" customWidth="1"/>
    <col min="2" max="2" width="29.46484375" customWidth="1"/>
    <col min="3" max="3" width="23.6640625" customWidth="1"/>
    <col min="6" max="6" width="17.73046875" customWidth="1"/>
    <col min="7" max="7" width="20.6640625" customWidth="1"/>
  </cols>
  <sheetData>
    <row r="1" spans="2:3" x14ac:dyDescent="0.45">
      <c r="C1" s="20" t="s">
        <v>2487</v>
      </c>
    </row>
    <row r="2" spans="2:3" x14ac:dyDescent="0.45">
      <c r="B2" s="20" t="s">
        <v>2315</v>
      </c>
      <c r="C2" s="20" t="s">
        <v>2312</v>
      </c>
    </row>
    <row r="3" spans="2:3" x14ac:dyDescent="0.45">
      <c r="B3">
        <v>1930</v>
      </c>
      <c r="C3" s="20" t="s">
        <v>2314</v>
      </c>
    </row>
    <row r="4" spans="2:3" x14ac:dyDescent="0.45">
      <c r="B4">
        <v>1955</v>
      </c>
      <c r="C4" s="20" t="s">
        <v>2449</v>
      </c>
    </row>
    <row r="5" spans="2:3" x14ac:dyDescent="0.45">
      <c r="B5">
        <v>1965</v>
      </c>
      <c r="C5" s="20" t="s">
        <v>2450</v>
      </c>
    </row>
    <row r="6" spans="2:3" x14ac:dyDescent="0.45">
      <c r="B6">
        <v>1975</v>
      </c>
      <c r="C6" s="20" t="s">
        <v>2451</v>
      </c>
    </row>
    <row r="7" spans="2:3" x14ac:dyDescent="0.45">
      <c r="B7">
        <v>1985</v>
      </c>
      <c r="C7" s="20" t="s">
        <v>2452</v>
      </c>
    </row>
    <row r="8" spans="2:3" x14ac:dyDescent="0.45">
      <c r="B8">
        <v>1995</v>
      </c>
      <c r="C8" s="20" t="s">
        <v>2313</v>
      </c>
    </row>
    <row r="9" spans="2:3" x14ac:dyDescent="0.45">
      <c r="C9" s="20"/>
    </row>
    <row r="10" spans="2:3" x14ac:dyDescent="0.45">
      <c r="C10" s="20"/>
    </row>
    <row r="11" spans="2:3" x14ac:dyDescent="0.45">
      <c r="B11" s="20" t="s">
        <v>2319</v>
      </c>
      <c r="C11" s="20" t="s">
        <v>2324</v>
      </c>
    </row>
    <row r="12" spans="2:3" x14ac:dyDescent="0.45">
      <c r="B12" s="28" t="s">
        <v>987</v>
      </c>
      <c r="C12" s="20" t="s">
        <v>2323</v>
      </c>
    </row>
    <row r="13" spans="2:3" x14ac:dyDescent="0.45">
      <c r="B13" s="28" t="s">
        <v>1503</v>
      </c>
      <c r="C13" s="20" t="s">
        <v>2321</v>
      </c>
    </row>
    <row r="14" spans="2:3" x14ac:dyDescent="0.45">
      <c r="B14" s="28" t="s">
        <v>234</v>
      </c>
      <c r="C14" s="20" t="s">
        <v>2321</v>
      </c>
    </row>
    <row r="15" spans="2:3" ht="28.5" x14ac:dyDescent="0.45">
      <c r="B15" s="28" t="s">
        <v>2270</v>
      </c>
      <c r="C15" s="20" t="s">
        <v>2321</v>
      </c>
    </row>
    <row r="16" spans="2:3" x14ac:dyDescent="0.45">
      <c r="B16" s="28" t="s">
        <v>2269</v>
      </c>
      <c r="C16" s="20" t="s">
        <v>2321</v>
      </c>
    </row>
    <row r="17" spans="2:3" ht="28.5" x14ac:dyDescent="0.45">
      <c r="B17" s="28" t="s">
        <v>2268</v>
      </c>
      <c r="C17" s="20" t="s">
        <v>2321</v>
      </c>
    </row>
    <row r="18" spans="2:3" x14ac:dyDescent="0.45">
      <c r="B18" s="28" t="s">
        <v>995</v>
      </c>
      <c r="C18" s="20" t="s">
        <v>2321</v>
      </c>
    </row>
    <row r="19" spans="2:3" x14ac:dyDescent="0.45">
      <c r="B19" s="28" t="s">
        <v>1461</v>
      </c>
      <c r="C19" s="20" t="s">
        <v>2321</v>
      </c>
    </row>
    <row r="20" spans="2:3" x14ac:dyDescent="0.45">
      <c r="B20" s="28" t="s">
        <v>428</v>
      </c>
      <c r="C20" s="20" t="s">
        <v>2321</v>
      </c>
    </row>
    <row r="21" spans="2:3" x14ac:dyDescent="0.45">
      <c r="B21" s="28" t="s">
        <v>191</v>
      </c>
      <c r="C21" s="20" t="s">
        <v>2321</v>
      </c>
    </row>
    <row r="22" spans="2:3" x14ac:dyDescent="0.45">
      <c r="B22" s="28" t="s">
        <v>2318</v>
      </c>
      <c r="C22" s="20" t="s">
        <v>2321</v>
      </c>
    </row>
    <row r="23" spans="2:3" x14ac:dyDescent="0.45">
      <c r="B23" s="28" t="s">
        <v>1415</v>
      </c>
      <c r="C23" s="20" t="s">
        <v>2321</v>
      </c>
    </row>
    <row r="24" spans="2:3" x14ac:dyDescent="0.45">
      <c r="B24" s="28" t="s">
        <v>1090</v>
      </c>
      <c r="C24" s="20" t="s">
        <v>2321</v>
      </c>
    </row>
    <row r="25" spans="2:3" x14ac:dyDescent="0.45">
      <c r="B25" s="28" t="s">
        <v>862</v>
      </c>
      <c r="C25" s="20" t="s">
        <v>2321</v>
      </c>
    </row>
    <row r="26" spans="2:3" x14ac:dyDescent="0.45">
      <c r="B26" s="28" t="s">
        <v>1290</v>
      </c>
      <c r="C26" s="20" t="s">
        <v>2323</v>
      </c>
    </row>
    <row r="27" spans="2:3" x14ac:dyDescent="0.45">
      <c r="B27" s="28" t="s">
        <v>1514</v>
      </c>
      <c r="C27" s="20" t="s">
        <v>2322</v>
      </c>
    </row>
    <row r="28" spans="2:3" ht="28.5" x14ac:dyDescent="0.45">
      <c r="B28" s="28" t="s">
        <v>2271</v>
      </c>
      <c r="C28" s="20" t="s">
        <v>2321</v>
      </c>
    </row>
    <row r="29" spans="2:3" ht="28.5" x14ac:dyDescent="0.45">
      <c r="B29" s="28" t="s">
        <v>553</v>
      </c>
      <c r="C29" s="20" t="s">
        <v>2321</v>
      </c>
    </row>
    <row r="30" spans="2:3" ht="28.5" x14ac:dyDescent="0.45">
      <c r="B30" s="28" t="s">
        <v>1472</v>
      </c>
      <c r="C30" s="20" t="s">
        <v>2321</v>
      </c>
    </row>
    <row r="31" spans="2:3" x14ac:dyDescent="0.45">
      <c r="B31" s="28" t="s">
        <v>223</v>
      </c>
      <c r="C31" s="20" t="s">
        <v>2321</v>
      </c>
    </row>
    <row r="32" spans="2:3" x14ac:dyDescent="0.45">
      <c r="B32" s="28" t="s">
        <v>445</v>
      </c>
      <c r="C32" s="20" t="s">
        <v>2321</v>
      </c>
    </row>
    <row r="33" spans="2:7" ht="28.5" x14ac:dyDescent="0.45">
      <c r="B33" s="28" t="s">
        <v>2272</v>
      </c>
      <c r="C33" s="20" t="s">
        <v>2321</v>
      </c>
    </row>
    <row r="34" spans="2:7" x14ac:dyDescent="0.45">
      <c r="B34" s="28" t="s">
        <v>813</v>
      </c>
      <c r="C34" s="20" t="s">
        <v>2321</v>
      </c>
    </row>
    <row r="35" spans="2:7" x14ac:dyDescent="0.45">
      <c r="B35" s="28" t="s">
        <v>1712</v>
      </c>
      <c r="C35" s="20" t="s">
        <v>2321</v>
      </c>
    </row>
    <row r="36" spans="2:7" ht="28.5" x14ac:dyDescent="0.45">
      <c r="B36" s="28" t="s">
        <v>1636</v>
      </c>
      <c r="C36" s="20" t="s">
        <v>2321</v>
      </c>
    </row>
    <row r="37" spans="2:7" x14ac:dyDescent="0.45">
      <c r="B37" s="28" t="s">
        <v>975</v>
      </c>
      <c r="C37" s="20" t="s">
        <v>2321</v>
      </c>
    </row>
    <row r="38" spans="2:7" x14ac:dyDescent="0.45">
      <c r="B38" s="28" t="s">
        <v>701</v>
      </c>
      <c r="C38" s="20" t="s">
        <v>2321</v>
      </c>
    </row>
    <row r="39" spans="2:7" x14ac:dyDescent="0.45">
      <c r="B39" s="28" t="s">
        <v>800</v>
      </c>
      <c r="C39" s="20" t="s">
        <v>2321</v>
      </c>
    </row>
    <row r="40" spans="2:7" x14ac:dyDescent="0.45">
      <c r="B40" s="28" t="s">
        <v>160</v>
      </c>
      <c r="C40" s="20" t="s">
        <v>2321</v>
      </c>
    </row>
    <row r="41" spans="2:7" x14ac:dyDescent="0.45">
      <c r="B41" s="28" t="s">
        <v>1439</v>
      </c>
      <c r="C41" s="20" t="s">
        <v>2323</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00"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99"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56"/>
  <sheetViews>
    <sheetView topLeftCell="A67" workbookViewId="0">
      <selection activeCell="I111" sqref="I111"/>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9</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7.4999999999999997E-2</v>
      </c>
      <c r="B65" s="34">
        <f>COUNTIFS(AnalizaCzyste[Czy jesteś przedstawicielem firmy, w której są zatrudniani absolwenci uczelni wyższych (tytuł licencjata, magistra lub wyższy)?],"*"&amp;"Tak"&amp;"*",AnalizaCzyste[Czy jesteś absolwentem uczelni wyższej?],"*"&amp;"Tak"&amp;"*")</f>
        <v>9</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12</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0</v>
      </c>
      <c r="B105" s="28" t="s">
        <v>1472</v>
      </c>
    </row>
    <row r="106" spans="1:2" x14ac:dyDescent="0.45">
      <c r="A106">
        <f>COUNTIFS(AnalizaCzyste[Jak się nazywa uczelnia którą ukończyłeś? (proszę o wybranie jednej uczelni podlegającej ocenie)],B106,AnalizaCzyste[Czy jesteś absolwentem uczelni wyższej?],"*"&amp;"Tak"&amp;"*")</f>
        <v>9</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29</v>
      </c>
    </row>
    <row r="119" spans="1:3" x14ac:dyDescent="0.45">
      <c r="A119" s="29" t="s">
        <v>2327</v>
      </c>
      <c r="B119" s="29" t="s">
        <v>2326</v>
      </c>
      <c r="C119" s="29" t="s">
        <v>2333</v>
      </c>
    </row>
    <row r="120" spans="1:3" x14ac:dyDescent="0.45">
      <c r="A120">
        <f>COUNTIFS(AnalizaCzyste[KategoriaUczelni],B120,AnalizaCzyste[Czy jesteś absolwentem uczelni wyższej?],"*"&amp;"Tak"&amp;"*")</f>
        <v>28</v>
      </c>
      <c r="B120" s="20" t="s">
        <v>2321</v>
      </c>
      <c r="C120" s="30">
        <f>A120/$A$123</f>
        <v>0.96551724137931039</v>
      </c>
    </row>
    <row r="121" spans="1:3" x14ac:dyDescent="0.45">
      <c r="A121">
        <f>COUNTIFS(AnalizaCzyste[KategoriaUczelni],B121,AnalizaCzyste[Czy jesteś absolwentem uczelni wyższej?],"*"&amp;"Tak"&amp;"*")</f>
        <v>1</v>
      </c>
      <c r="B121" s="20" t="s">
        <v>2323</v>
      </c>
      <c r="C121" s="30">
        <f>A121/$A$123</f>
        <v>3.4482758620689655E-2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29</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sheetData>
  <conditionalFormatting sqref="N141">
    <cfRule type="cellIs" dxfId="98" priority="6" operator="lessThan">
      <formula>O141</formula>
    </cfRule>
  </conditionalFormatting>
  <conditionalFormatting sqref="N180">
    <cfRule type="cellIs" dxfId="97" priority="5" operator="lessThan">
      <formula>O180</formula>
    </cfRule>
  </conditionalFormatting>
  <conditionalFormatting sqref="N330">
    <cfRule type="cellIs" dxfId="96" priority="2" operator="lessThan">
      <formula>O330</formula>
    </cfRule>
  </conditionalFormatting>
  <conditionalFormatting sqref="T217">
    <cfRule type="cellIs" dxfId="95" priority="3" operator="lessThan">
      <formula>U217</formula>
    </cfRule>
  </conditionalFormatting>
  <conditionalFormatting sqref="T500">
    <cfRule type="cellIs" dxfId="94"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2023-05-27T15:46:23Z</dcterms:modified>
  <cp:category>wyniki indywidualne</cp:category>
</cp:coreProperties>
</file>