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E96883E5-5BB8-4D96-85F7-6661E50DE5EB}" xr6:coauthVersionLast="47" xr6:coauthVersionMax="47" xr10:uidLastSave="{00000000-0000-0000-0000-000000000000}"/>
  <bookViews>
    <workbookView xWindow="833" yWindow="-98" windowWidth="23265" windowHeight="13695" xr2:uid="{5CDD05D1-B91C-47AD-9058-2B6F85536433}"/>
  </bookViews>
  <sheets>
    <sheet name="Zestawienia" sheetId="7" r:id="rId1"/>
    <sheet name="PivotCzyste" sheetId="6" r:id="rId2"/>
    <sheet name="Ankiety_analiza(czyszczone)" sheetId="5" r:id="rId3"/>
    <sheet name="PivotNieCzyszczone" sheetId="4" r:id="rId4"/>
    <sheet name="AnkietyNieOczyszczone" sheetId="3" r:id="rId5"/>
    <sheet name="Ankiety_wszystkie" sheetId="1" r:id="rId6"/>
    <sheet name="Ankiety_zakończone" sheetId="2" r:id="rId7"/>
    <sheet name="TabeleGrup" sheetId="8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E219" i="7" l="1"/>
  <c r="E220" i="7"/>
  <c r="E221" i="7"/>
  <c r="E222" i="7"/>
  <c r="E223" i="7"/>
  <c r="F223" i="7" s="1"/>
  <c r="E224" i="7"/>
  <c r="F224" i="7" s="1"/>
  <c r="E218" i="7"/>
  <c r="C219" i="7"/>
  <c r="C220" i="7"/>
  <c r="C221" i="7"/>
  <c r="C222" i="7"/>
  <c r="C223" i="7"/>
  <c r="C224" i="7"/>
  <c r="C225" i="7"/>
  <c r="C218" i="7"/>
  <c r="D218" i="7" s="1"/>
  <c r="D225" i="7"/>
  <c r="D224" i="7"/>
  <c r="D222" i="7"/>
  <c r="F221" i="7"/>
  <c r="D220" i="7"/>
  <c r="F219" i="7"/>
  <c r="E207" i="7"/>
  <c r="E208" i="7"/>
  <c r="E209" i="7"/>
  <c r="E210" i="7"/>
  <c r="E211" i="7"/>
  <c r="E212" i="7"/>
  <c r="E206" i="7"/>
  <c r="C207" i="7"/>
  <c r="F207" i="7" s="1"/>
  <c r="C208" i="7"/>
  <c r="C209" i="7"/>
  <c r="C210" i="7"/>
  <c r="D210" i="7" s="1"/>
  <c r="C211" i="7"/>
  <c r="C212" i="7"/>
  <c r="C213" i="7"/>
  <c r="D213" i="7" s="1"/>
  <c r="C206" i="7"/>
  <c r="F206" i="7" s="1"/>
  <c r="F211" i="7"/>
  <c r="F210" i="7"/>
  <c r="F209" i="7"/>
  <c r="D208" i="7"/>
  <c r="E195" i="7"/>
  <c r="E196" i="7"/>
  <c r="E197" i="7"/>
  <c r="E198" i="7"/>
  <c r="E199" i="7"/>
  <c r="E200" i="7"/>
  <c r="F200" i="7" s="1"/>
  <c r="E194" i="7"/>
  <c r="C195" i="7"/>
  <c r="C196" i="7"/>
  <c r="C197" i="7"/>
  <c r="C198" i="7"/>
  <c r="C199" i="7"/>
  <c r="C200" i="7"/>
  <c r="C201" i="7"/>
  <c r="C194" i="7"/>
  <c r="F194" i="7" s="1"/>
  <c r="D201" i="7"/>
  <c r="D200" i="7"/>
  <c r="F199" i="7"/>
  <c r="F198" i="7"/>
  <c r="D198" i="7"/>
  <c r="F197" i="7"/>
  <c r="F196" i="7"/>
  <c r="D196" i="7"/>
  <c r="F195" i="7"/>
  <c r="F190" i="7"/>
  <c r="E183" i="7"/>
  <c r="E184" i="7"/>
  <c r="E185" i="7"/>
  <c r="E186" i="7"/>
  <c r="E187" i="7"/>
  <c r="E188" i="7"/>
  <c r="E182" i="7"/>
  <c r="C183" i="7"/>
  <c r="F183" i="7" s="1"/>
  <c r="C184" i="7"/>
  <c r="C185" i="7"/>
  <c r="C186" i="7"/>
  <c r="C187" i="7"/>
  <c r="C188" i="7"/>
  <c r="C189" i="7"/>
  <c r="D189" i="7" s="1"/>
  <c r="C182" i="7"/>
  <c r="F182" i="7" s="1"/>
  <c r="F188" i="7"/>
  <c r="D188" i="7"/>
  <c r="F187" i="7"/>
  <c r="F186" i="7"/>
  <c r="D186" i="7"/>
  <c r="F185" i="7"/>
  <c r="F184" i="7"/>
  <c r="D184" i="7"/>
  <c r="E171" i="7"/>
  <c r="E172" i="7"/>
  <c r="F172" i="7" s="1"/>
  <c r="E173" i="7"/>
  <c r="E174" i="7"/>
  <c r="E175" i="7"/>
  <c r="E176" i="7"/>
  <c r="E170" i="7"/>
  <c r="C171" i="7"/>
  <c r="F171" i="7" s="1"/>
  <c r="C172" i="7"/>
  <c r="C173" i="7"/>
  <c r="C174" i="7"/>
  <c r="D174" i="7" s="1"/>
  <c r="C175" i="7"/>
  <c r="C176" i="7"/>
  <c r="C177" i="7"/>
  <c r="D177" i="7" s="1"/>
  <c r="C170" i="7"/>
  <c r="F170" i="7" s="1"/>
  <c r="F176" i="7"/>
  <c r="D176" i="7"/>
  <c r="F175" i="7"/>
  <c r="F173" i="7"/>
  <c r="D172" i="7"/>
  <c r="E159" i="7"/>
  <c r="E160" i="7"/>
  <c r="E161" i="7"/>
  <c r="E162" i="7"/>
  <c r="E163" i="7"/>
  <c r="E164" i="7"/>
  <c r="E158" i="7"/>
  <c r="C159" i="7"/>
  <c r="C160" i="7"/>
  <c r="C161" i="7"/>
  <c r="C162" i="7"/>
  <c r="C163" i="7"/>
  <c r="C164" i="7"/>
  <c r="C165" i="7"/>
  <c r="D165" i="7" s="1"/>
  <c r="C158" i="7"/>
  <c r="D158" i="7" s="1"/>
  <c r="F164" i="7"/>
  <c r="D164" i="7"/>
  <c r="F163" i="7"/>
  <c r="F162" i="7"/>
  <c r="D162" i="7"/>
  <c r="F161" i="7"/>
  <c r="D160" i="7"/>
  <c r="F159" i="7"/>
  <c r="F154" i="7"/>
  <c r="E147" i="7"/>
  <c r="E148" i="7"/>
  <c r="E149" i="7"/>
  <c r="F149" i="7" s="1"/>
  <c r="E150" i="7"/>
  <c r="E151" i="7"/>
  <c r="E152" i="7"/>
  <c r="E146" i="7"/>
  <c r="D154" i="7"/>
  <c r="C155" i="7"/>
  <c r="C154" i="7"/>
  <c r="F142" i="7"/>
  <c r="D142" i="7"/>
  <c r="C143" i="7"/>
  <c r="C147" i="7"/>
  <c r="C148" i="7"/>
  <c r="D148" i="7" s="1"/>
  <c r="C149" i="7"/>
  <c r="C150" i="7"/>
  <c r="D150" i="7" s="1"/>
  <c r="C151" i="7"/>
  <c r="C152" i="7"/>
  <c r="C153" i="7"/>
  <c r="C146" i="7"/>
  <c r="D146" i="7" s="1"/>
  <c r="D153" i="7"/>
  <c r="D152" i="7"/>
  <c r="F151" i="7"/>
  <c r="F134" i="7"/>
  <c r="E140" i="7"/>
  <c r="F140" i="7" s="1"/>
  <c r="E135" i="7"/>
  <c r="F135" i="7" s="1"/>
  <c r="E136" i="7"/>
  <c r="F136" i="7" s="1"/>
  <c r="E137" i="7"/>
  <c r="F137" i="7" s="1"/>
  <c r="E138" i="7"/>
  <c r="F138" i="7" s="1"/>
  <c r="E139" i="7"/>
  <c r="F139" i="7" s="1"/>
  <c r="E134" i="7"/>
  <c r="D143" i="7"/>
  <c r="D135" i="7"/>
  <c r="D136" i="7"/>
  <c r="D137" i="7"/>
  <c r="D138" i="7"/>
  <c r="D139" i="7"/>
  <c r="D140" i="7"/>
  <c r="D141" i="7"/>
  <c r="D134" i="7"/>
  <c r="C142" i="7"/>
  <c r="C135" i="7"/>
  <c r="C136" i="7"/>
  <c r="C137" i="7"/>
  <c r="C138" i="7"/>
  <c r="C139" i="7"/>
  <c r="C140" i="7"/>
  <c r="C141" i="7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H65" i="5"/>
  <c r="AH82" i="5"/>
  <c r="C82" i="5" s="1"/>
  <c r="AH83" i="5"/>
  <c r="AH84" i="5"/>
  <c r="AH66" i="5"/>
  <c r="AH86" i="5"/>
  <c r="AH30" i="5"/>
  <c r="AH87" i="5"/>
  <c r="AH67" i="5"/>
  <c r="AH68" i="5"/>
  <c r="AH31" i="5"/>
  <c r="AH18" i="5"/>
  <c r="AH88" i="5"/>
  <c r="AH32" i="5"/>
  <c r="AH89" i="5"/>
  <c r="AH90" i="5"/>
  <c r="AH69" i="5"/>
  <c r="AH70" i="5"/>
  <c r="AH91" i="5"/>
  <c r="AH92" i="5"/>
  <c r="AH93" i="5"/>
  <c r="AH94" i="5"/>
  <c r="AH95" i="5"/>
  <c r="AH3" i="5"/>
  <c r="AH98" i="5"/>
  <c r="AH64" i="5"/>
  <c r="AH99" i="5"/>
  <c r="AH33" i="5"/>
  <c r="AH34" i="5"/>
  <c r="AH36" i="5"/>
  <c r="AH4" i="5"/>
  <c r="AH71" i="5"/>
  <c r="AH35" i="5"/>
  <c r="AH37" i="5"/>
  <c r="AH12" i="5"/>
  <c r="AH38" i="5"/>
  <c r="AH39" i="5"/>
  <c r="AH100" i="5"/>
  <c r="AH72" i="5"/>
  <c r="AH101" i="5"/>
  <c r="AH73" i="5"/>
  <c r="AH102" i="5"/>
  <c r="AH40" i="5"/>
  <c r="AH13" i="5"/>
  <c r="AH41" i="5"/>
  <c r="AH103" i="5"/>
  <c r="AH104" i="5"/>
  <c r="AH105" i="5"/>
  <c r="AH51" i="5"/>
  <c r="AH19" i="5"/>
  <c r="AH5" i="5"/>
  <c r="AH42" i="5"/>
  <c r="AH106" i="5"/>
  <c r="AH43" i="5"/>
  <c r="AH44" i="5"/>
  <c r="AH107" i="5"/>
  <c r="AH14" i="5"/>
  <c r="AH74" i="5"/>
  <c r="AH108" i="5"/>
  <c r="AH75" i="5"/>
  <c r="AH20" i="5"/>
  <c r="AH21" i="5"/>
  <c r="AH109" i="5"/>
  <c r="AH76" i="5"/>
  <c r="AH45" i="5"/>
  <c r="AH110" i="5"/>
  <c r="AH111" i="5"/>
  <c r="AH112" i="5"/>
  <c r="AH46" i="5"/>
  <c r="AH47" i="5"/>
  <c r="AH116" i="5"/>
  <c r="AH48" i="5"/>
  <c r="AH77" i="5"/>
  <c r="AH78" i="5"/>
  <c r="AH49" i="5"/>
  <c r="AH11" i="5"/>
  <c r="AH117" i="5"/>
  <c r="AH50" i="5"/>
  <c r="AH22" i="5"/>
  <c r="AH23" i="5"/>
  <c r="AH52" i="5"/>
  <c r="AH118" i="5"/>
  <c r="AH85" i="5"/>
  <c r="AH6" i="5"/>
  <c r="AH53" i="5"/>
  <c r="AH54" i="5"/>
  <c r="AH15" i="5"/>
  <c r="AH55" i="5"/>
  <c r="AH119" i="5"/>
  <c r="AH24" i="5"/>
  <c r="AH25" i="5"/>
  <c r="AH56" i="5"/>
  <c r="AH120" i="5"/>
  <c r="AH96" i="5"/>
  <c r="AH97" i="5"/>
  <c r="AH26" i="5"/>
  <c r="AH121" i="5"/>
  <c r="AH7" i="5"/>
  <c r="AH8" i="5"/>
  <c r="AH122" i="5"/>
  <c r="AH16" i="5"/>
  <c r="AH9" i="5"/>
  <c r="AH57" i="5"/>
  <c r="AH123" i="5"/>
  <c r="AH79" i="5"/>
  <c r="AH124" i="5"/>
  <c r="AH125" i="5"/>
  <c r="AH58" i="5"/>
  <c r="AH59" i="5"/>
  <c r="AH127" i="5"/>
  <c r="AH113" i="5"/>
  <c r="AH114" i="5"/>
  <c r="AH115" i="5"/>
  <c r="AH60" i="5"/>
  <c r="AH80" i="5"/>
  <c r="AH10" i="5"/>
  <c r="AH61" i="5"/>
  <c r="AH128" i="5"/>
  <c r="AH62" i="5"/>
  <c r="AH129" i="5"/>
  <c r="AH27" i="5"/>
  <c r="AH63" i="5"/>
  <c r="AH130" i="5"/>
  <c r="AH126" i="5"/>
  <c r="AH81" i="5"/>
  <c r="AH17" i="5"/>
  <c r="AH132" i="5"/>
  <c r="AH28" i="5"/>
  <c r="AH131" i="5"/>
  <c r="AH29" i="5"/>
  <c r="AH133" i="5"/>
  <c r="AH134" i="5"/>
  <c r="AH135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C61" i="5"/>
  <c r="HC128" i="5"/>
  <c r="HC82" i="5"/>
  <c r="HC81" i="5"/>
  <c r="HC89" i="5"/>
  <c r="HC90" i="5"/>
  <c r="HC69" i="5"/>
  <c r="HC70" i="5"/>
  <c r="HC78" i="5"/>
  <c r="HC87" i="5"/>
  <c r="HC91" i="5"/>
  <c r="C91" i="5" s="1"/>
  <c r="HC92" i="5"/>
  <c r="C92" i="5" s="1"/>
  <c r="HC67" i="5"/>
  <c r="HC84" i="5"/>
  <c r="HC49" i="5"/>
  <c r="HC66" i="5"/>
  <c r="HC86" i="5"/>
  <c r="HC11" i="5"/>
  <c r="HC27" i="5"/>
  <c r="HC93" i="5"/>
  <c r="HC94" i="5"/>
  <c r="C94" i="5" s="1"/>
  <c r="HC95" i="5"/>
  <c r="HC116" i="5"/>
  <c r="HC117" i="5"/>
  <c r="HC3" i="5"/>
  <c r="HC98" i="5"/>
  <c r="HC88" i="5"/>
  <c r="HC50" i="5"/>
  <c r="C50" i="5" s="1"/>
  <c r="HC47" i="5"/>
  <c r="C47" i="5" s="1"/>
  <c r="HC22" i="5"/>
  <c r="HC108" i="5"/>
  <c r="HC45" i="5"/>
  <c r="HC35" i="5"/>
  <c r="HC129" i="5"/>
  <c r="HC64" i="5"/>
  <c r="HC112" i="5"/>
  <c r="HC130" i="5"/>
  <c r="HC99" i="5"/>
  <c r="HC23" i="5"/>
  <c r="HC33" i="5"/>
  <c r="HC52" i="5"/>
  <c r="HC118" i="5"/>
  <c r="HC123" i="5"/>
  <c r="HC34" i="5"/>
  <c r="HC6" i="5"/>
  <c r="C6" i="5" s="1"/>
  <c r="HC53" i="5"/>
  <c r="HC21" i="5"/>
  <c r="C21" i="5" s="1"/>
  <c r="HC54" i="5"/>
  <c r="HC51" i="5"/>
  <c r="HC31" i="5"/>
  <c r="C31" i="5" s="1"/>
  <c r="HC109" i="5"/>
  <c r="HC36" i="5"/>
  <c r="C36" i="5" s="1"/>
  <c r="HC15" i="5"/>
  <c r="HC4" i="5"/>
  <c r="HC55" i="5"/>
  <c r="HC76" i="5"/>
  <c r="HC119" i="5"/>
  <c r="HC24" i="5"/>
  <c r="HC25" i="5"/>
  <c r="HC71" i="5"/>
  <c r="C71" i="5" s="1"/>
  <c r="HC37" i="5"/>
  <c r="HC10" i="5"/>
  <c r="HC12" i="5"/>
  <c r="HC38" i="5"/>
  <c r="HC62" i="5"/>
  <c r="HC56" i="5"/>
  <c r="HC39" i="5"/>
  <c r="HC68" i="5"/>
  <c r="HC100" i="5"/>
  <c r="C100" i="5" s="1"/>
  <c r="HC120" i="5"/>
  <c r="HC26" i="5"/>
  <c r="HC132" i="5"/>
  <c r="HC17" i="5"/>
  <c r="HC121" i="5"/>
  <c r="HC75" i="5"/>
  <c r="C75" i="5" s="1"/>
  <c r="HC46" i="5"/>
  <c r="HC72" i="5"/>
  <c r="HC32" i="5"/>
  <c r="C32" i="5" s="1"/>
  <c r="HC20" i="5"/>
  <c r="HC101" i="5"/>
  <c r="HC7" i="5"/>
  <c r="HC8" i="5"/>
  <c r="HC85" i="5"/>
  <c r="HC18" i="5"/>
  <c r="C18" i="5" s="1"/>
  <c r="HC73" i="5"/>
  <c r="HC122" i="5"/>
  <c r="HC102" i="5"/>
  <c r="C102" i="5" s="1"/>
  <c r="HC40" i="5"/>
  <c r="C40" i="5" s="1"/>
  <c r="HC79" i="5"/>
  <c r="HC13" i="5"/>
  <c r="C13" i="5" s="1"/>
  <c r="HC16" i="5"/>
  <c r="HC28" i="5"/>
  <c r="HC41" i="5"/>
  <c r="HC96" i="5"/>
  <c r="C96" i="5" s="1"/>
  <c r="HC97" i="5"/>
  <c r="HC111" i="5"/>
  <c r="HC103" i="5"/>
  <c r="HC104" i="5"/>
  <c r="HC105" i="5"/>
  <c r="C105" i="5" s="1"/>
  <c r="HC29" i="5"/>
  <c r="HC19" i="5"/>
  <c r="HC65" i="5"/>
  <c r="HC5" i="5"/>
  <c r="HC83" i="5"/>
  <c r="HC42" i="5"/>
  <c r="C42" i="5" s="1"/>
  <c r="HC110" i="5"/>
  <c r="HC9" i="5"/>
  <c r="C9" i="5" s="1"/>
  <c r="HC106" i="5"/>
  <c r="HC43" i="5"/>
  <c r="C43" i="5" s="1"/>
  <c r="HC44" i="5"/>
  <c r="HC113" i="5"/>
  <c r="HC114" i="5"/>
  <c r="HC115" i="5"/>
  <c r="HC124" i="5"/>
  <c r="HC125" i="5"/>
  <c r="HC58" i="5"/>
  <c r="C58" i="5" s="1"/>
  <c r="HC80" i="5"/>
  <c r="HC59" i="5"/>
  <c r="HC127" i="5"/>
  <c r="C127" i="5" s="1"/>
  <c r="HC60" i="5"/>
  <c r="HC63" i="5"/>
  <c r="HC48" i="5"/>
  <c r="HC57" i="5"/>
  <c r="HC126" i="5"/>
  <c r="C126" i="5" s="1"/>
  <c r="HC107" i="5"/>
  <c r="HC14" i="5"/>
  <c r="HC30" i="5"/>
  <c r="HC74" i="5"/>
  <c r="HC131" i="5"/>
  <c r="HC77" i="5"/>
  <c r="C77" i="5" s="1"/>
  <c r="HC133" i="5"/>
  <c r="HC134" i="5"/>
  <c r="C134" i="5" s="1"/>
  <c r="HC135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Q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N140" i="5"/>
  <c r="DL140" i="5"/>
  <c r="DK140" i="5"/>
  <c r="DJ140" i="5"/>
  <c r="DI140" i="5"/>
  <c r="DH140" i="5"/>
  <c r="DG140" i="5"/>
  <c r="DF140" i="5"/>
  <c r="DE140" i="5"/>
  <c r="DD140" i="5"/>
  <c r="DB140" i="5"/>
  <c r="DA140" i="5"/>
  <c r="CZ140" i="5"/>
  <c r="CY140" i="5"/>
  <c r="CX140" i="5"/>
  <c r="CW140" i="5"/>
  <c r="CV140" i="5"/>
  <c r="CU140" i="5"/>
  <c r="CT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B140" i="5"/>
  <c r="BA140" i="5"/>
  <c r="AZ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I140" i="5"/>
  <c r="AG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HD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FP139" i="5"/>
  <c r="EP139" i="5"/>
  <c r="DM139" i="5"/>
  <c r="DC139" i="5"/>
  <c r="CS139" i="5"/>
  <c r="AY139" i="5"/>
  <c r="AF139" i="5"/>
  <c r="P139" i="5"/>
  <c r="O139" i="5"/>
  <c r="HD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FP138" i="5"/>
  <c r="EP138" i="5"/>
  <c r="DM138" i="5"/>
  <c r="DC138" i="5"/>
  <c r="CS138" i="5"/>
  <c r="AY138" i="5"/>
  <c r="AF138" i="5"/>
  <c r="P138" i="5"/>
  <c r="O138" i="5"/>
  <c r="HD137" i="5"/>
  <c r="HB137" i="5"/>
  <c r="HA137" i="5"/>
  <c r="HA140" i="5" s="1"/>
  <c r="GZ137" i="5"/>
  <c r="GY137" i="5"/>
  <c r="GX137" i="5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O137" i="5"/>
  <c r="GO140" i="5" s="1"/>
  <c r="GN137" i="5"/>
  <c r="GN140" i="5" s="1"/>
  <c r="GM137" i="5"/>
  <c r="GM140" i="5" s="1"/>
  <c r="GL137" i="5"/>
  <c r="GL140" i="5" s="1"/>
  <c r="GK137" i="5"/>
  <c r="GK140" i="5" s="1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B140" i="5" s="1"/>
  <c r="GA137" i="5"/>
  <c r="FZ137" i="5"/>
  <c r="FZ140" i="5" s="1"/>
  <c r="FY137" i="5"/>
  <c r="FY140" i="5" s="1"/>
  <c r="FX137" i="5"/>
  <c r="FX140" i="5" s="1"/>
  <c r="FW137" i="5"/>
  <c r="FW140" i="5" s="1"/>
  <c r="FV137" i="5"/>
  <c r="FU137" i="5"/>
  <c r="FU140" i="5" s="1"/>
  <c r="FT137" i="5"/>
  <c r="FT140" i="5" s="1"/>
  <c r="FS137" i="5"/>
  <c r="FS140" i="5" s="1"/>
  <c r="FR137" i="5"/>
  <c r="FR140" i="5" s="1"/>
  <c r="FQ137" i="5"/>
  <c r="FQ140" i="5" s="1"/>
  <c r="FP137" i="5"/>
  <c r="FP140" i="5" s="1"/>
  <c r="EP137" i="5"/>
  <c r="EP140" i="5" s="1"/>
  <c r="DM137" i="5"/>
  <c r="DM140" i="5" s="1"/>
  <c r="DC137" i="5"/>
  <c r="DC140" i="5" s="1"/>
  <c r="CS137" i="5"/>
  <c r="CS140" i="5" s="1"/>
  <c r="AY137" i="5"/>
  <c r="AY140" i="5" s="1"/>
  <c r="AF137" i="5"/>
  <c r="P137" i="5"/>
  <c r="O137" i="5"/>
  <c r="HH136" i="5"/>
  <c r="HG136" i="5"/>
  <c r="HF136" i="5"/>
  <c r="HE136" i="5"/>
  <c r="HD136" i="5"/>
  <c r="HB136" i="5"/>
  <c r="HA136" i="5"/>
  <c r="FP136" i="5"/>
  <c r="EP136" i="5"/>
  <c r="DM136" i="5"/>
  <c r="DC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I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B29" i="5"/>
  <c r="B132" i="5"/>
  <c r="B28" i="5"/>
  <c r="B17" i="5"/>
  <c r="B130" i="5"/>
  <c r="B63" i="5"/>
  <c r="B27" i="5"/>
  <c r="B129" i="5"/>
  <c r="B62" i="5"/>
  <c r="B128" i="5"/>
  <c r="C61" i="5"/>
  <c r="B61" i="5"/>
  <c r="B10" i="5"/>
  <c r="B80" i="5"/>
  <c r="B127" i="5"/>
  <c r="B60" i="5"/>
  <c r="B79" i="5"/>
  <c r="B125" i="5"/>
  <c r="B58" i="5"/>
  <c r="B59" i="5"/>
  <c r="B26" i="5"/>
  <c r="B123" i="5"/>
  <c r="B57" i="5"/>
  <c r="B52" i="5"/>
  <c r="B120" i="5"/>
  <c r="B121" i="5"/>
  <c r="B55" i="5"/>
  <c r="B118" i="5"/>
  <c r="B9" i="5"/>
  <c r="B24" i="5"/>
  <c r="B54" i="5"/>
  <c r="B53" i="5"/>
  <c r="B22" i="5"/>
  <c r="B50" i="5"/>
  <c r="B35" i="5"/>
  <c r="B6" i="5"/>
  <c r="B122" i="5"/>
  <c r="B16" i="5"/>
  <c r="B7" i="5"/>
  <c r="B90" i="5"/>
  <c r="B119" i="5"/>
  <c r="B56" i="5"/>
  <c r="B25" i="5"/>
  <c r="B23" i="5"/>
  <c r="B8" i="5"/>
  <c r="B124" i="5"/>
  <c r="B77" i="5"/>
  <c r="B48" i="5"/>
  <c r="B116" i="5"/>
  <c r="B47" i="5"/>
  <c r="B112" i="5"/>
  <c r="B46" i="5"/>
  <c r="B111" i="5"/>
  <c r="B81" i="5"/>
  <c r="B84" i="5"/>
  <c r="B110" i="5"/>
  <c r="B45" i="5"/>
  <c r="B109" i="5"/>
  <c r="B76" i="5"/>
  <c r="B21" i="5"/>
  <c r="B78" i="5"/>
  <c r="B72" i="5"/>
  <c r="B75" i="5"/>
  <c r="B108" i="5"/>
  <c r="B20" i="5"/>
  <c r="B117" i="5"/>
  <c r="B15" i="5"/>
  <c r="B99" i="5"/>
  <c r="B93" i="5"/>
  <c r="B101" i="5"/>
  <c r="B135" i="5"/>
  <c r="B106" i="5"/>
  <c r="B42" i="5"/>
  <c r="B74" i="5"/>
  <c r="B14" i="5"/>
  <c r="B41" i="5"/>
  <c r="B37" i="5"/>
  <c r="B71" i="5"/>
  <c r="B70" i="5"/>
  <c r="B44" i="5"/>
  <c r="B107" i="5"/>
  <c r="B98" i="5"/>
  <c r="B38" i="5"/>
  <c r="B39" i="5"/>
  <c r="B34" i="5"/>
  <c r="B104" i="5"/>
  <c r="B5" i="5"/>
  <c r="B11" i="5"/>
  <c r="B85" i="5"/>
  <c r="B134" i="5"/>
  <c r="B103" i="5"/>
  <c r="B131" i="5"/>
  <c r="B115" i="5"/>
  <c r="B114" i="5"/>
  <c r="B126" i="5"/>
  <c r="B96" i="5"/>
  <c r="B19" i="5"/>
  <c r="B133" i="5"/>
  <c r="B113" i="5"/>
  <c r="B3" i="5"/>
  <c r="B4" i="5"/>
  <c r="B49" i="5"/>
  <c r="B51" i="5"/>
  <c r="B92" i="5"/>
  <c r="B33" i="5"/>
  <c r="B36" i="5"/>
  <c r="B100" i="5"/>
  <c r="B12" i="5"/>
  <c r="B97" i="5"/>
  <c r="B94" i="5"/>
  <c r="B102" i="5"/>
  <c r="B95" i="5"/>
  <c r="B73" i="5"/>
  <c r="B40" i="5"/>
  <c r="B105" i="5"/>
  <c r="B43" i="5"/>
  <c r="B89" i="5"/>
  <c r="B13" i="5"/>
  <c r="B64" i="5"/>
  <c r="B69" i="5"/>
  <c r="B91" i="5"/>
  <c r="B32" i="5"/>
  <c r="B88" i="5"/>
  <c r="B31" i="5"/>
  <c r="B18" i="5"/>
  <c r="B68" i="5"/>
  <c r="B67" i="5"/>
  <c r="B30" i="5"/>
  <c r="B66" i="5"/>
  <c r="B87" i="5"/>
  <c r="C86" i="5"/>
  <c r="B86" i="5"/>
  <c r="B83" i="5"/>
  <c r="B82" i="5"/>
  <c r="B65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F218" i="7" l="1"/>
  <c r="F220" i="7"/>
  <c r="F222" i="7"/>
  <c r="D219" i="7"/>
  <c r="D221" i="7"/>
  <c r="D223" i="7"/>
  <c r="C226" i="7"/>
  <c r="C227" i="7" s="1"/>
  <c r="F212" i="7"/>
  <c r="F208" i="7"/>
  <c r="D212" i="7"/>
  <c r="D206" i="7"/>
  <c r="D207" i="7"/>
  <c r="D209" i="7"/>
  <c r="D211" i="7"/>
  <c r="C214" i="7"/>
  <c r="C215" i="7" s="1"/>
  <c r="D194" i="7"/>
  <c r="D195" i="7"/>
  <c r="D197" i="7"/>
  <c r="D199" i="7"/>
  <c r="C202" i="7"/>
  <c r="C203" i="7" s="1"/>
  <c r="D182" i="7"/>
  <c r="D183" i="7"/>
  <c r="D185" i="7"/>
  <c r="D187" i="7"/>
  <c r="C190" i="7"/>
  <c r="C191" i="7" s="1"/>
  <c r="F174" i="7"/>
  <c r="D170" i="7"/>
  <c r="D171" i="7"/>
  <c r="D173" i="7"/>
  <c r="D175" i="7"/>
  <c r="C178" i="7"/>
  <c r="C179" i="7" s="1"/>
  <c r="D159" i="7"/>
  <c r="D161" i="7"/>
  <c r="D163" i="7"/>
  <c r="F160" i="7"/>
  <c r="C166" i="7"/>
  <c r="C167" i="7" s="1"/>
  <c r="F158" i="7"/>
  <c r="F147" i="7"/>
  <c r="F152" i="7"/>
  <c r="F146" i="7"/>
  <c r="D147" i="7"/>
  <c r="D149" i="7"/>
  <c r="D151" i="7"/>
  <c r="F148" i="7"/>
  <c r="F150" i="7"/>
  <c r="C124" i="5"/>
  <c r="C117" i="5"/>
  <c r="C88" i="5"/>
  <c r="C103" i="5"/>
  <c r="C74" i="5"/>
  <c r="C30" i="5"/>
  <c r="C99" i="5"/>
  <c r="C66" i="5"/>
  <c r="C8" i="5"/>
  <c r="C20" i="5"/>
  <c r="C24" i="5"/>
  <c r="C78" i="5"/>
  <c r="C59" i="5"/>
  <c r="C120" i="5"/>
  <c r="C53" i="5"/>
  <c r="C135" i="5"/>
  <c r="C41" i="5"/>
  <c r="C106" i="5"/>
  <c r="C46" i="5"/>
  <c r="C34" i="5"/>
  <c r="C93" i="5"/>
  <c r="C125" i="5"/>
  <c r="C16" i="5"/>
  <c r="C85" i="5"/>
  <c r="C39" i="5"/>
  <c r="C128" i="5"/>
  <c r="GN164" i="3"/>
  <c r="GF164" i="3"/>
  <c r="FX164" i="3"/>
  <c r="FP164" i="3"/>
  <c r="HB164" i="3"/>
  <c r="A52" i="7"/>
  <c r="C46" i="7" s="1"/>
  <c r="C28" i="5"/>
  <c r="C81" i="5"/>
  <c r="C64" i="5"/>
  <c r="C7" i="5"/>
  <c r="C60" i="5"/>
  <c r="C70" i="5"/>
  <c r="GP140" i="5"/>
  <c r="C19" i="5"/>
  <c r="C37" i="5"/>
  <c r="C68" i="5"/>
  <c r="C110" i="5"/>
  <c r="C118" i="5"/>
  <c r="A35" i="7"/>
  <c r="A120" i="7"/>
  <c r="C112" i="5"/>
  <c r="A40" i="7"/>
  <c r="FV140" i="5"/>
  <c r="A39" i="7"/>
  <c r="C56" i="5"/>
  <c r="C11" i="5"/>
  <c r="A38" i="7"/>
  <c r="A37" i="7"/>
  <c r="C38" i="5"/>
  <c r="C54" i="5"/>
  <c r="C33" i="5"/>
  <c r="A31" i="7"/>
  <c r="C29" i="7" s="1"/>
  <c r="A36" i="7"/>
  <c r="A41" i="7"/>
  <c r="C84" i="5"/>
  <c r="C129" i="5"/>
  <c r="C123" i="5"/>
  <c r="C48" i="5"/>
  <c r="C101" i="5"/>
  <c r="C3" i="5"/>
  <c r="C87" i="5"/>
  <c r="GG164" i="3"/>
  <c r="DK268" i="1"/>
  <c r="C27" i="5"/>
  <c r="C121" i="5"/>
  <c r="C119" i="5"/>
  <c r="C51" i="5"/>
  <c r="C35" i="5"/>
  <c r="C98" i="5"/>
  <c r="C131" i="5"/>
  <c r="C115" i="5"/>
  <c r="C79" i="5"/>
  <c r="C52" i="5"/>
  <c r="C114" i="5"/>
  <c r="C76" i="5"/>
  <c r="C45" i="5"/>
  <c r="C113" i="5"/>
  <c r="C97" i="5"/>
  <c r="C26" i="5"/>
  <c r="C55" i="5"/>
  <c r="C23" i="5"/>
  <c r="C116" i="5"/>
  <c r="C69" i="5"/>
  <c r="C14" i="5"/>
  <c r="C65" i="5"/>
  <c r="C90" i="5"/>
  <c r="C107" i="5"/>
  <c r="C73" i="5"/>
  <c r="C67" i="5"/>
  <c r="C62" i="5"/>
  <c r="C57" i="5"/>
  <c r="C109" i="5"/>
  <c r="C104" i="5"/>
  <c r="A121" i="7"/>
  <c r="C132" i="5"/>
  <c r="A122" i="7"/>
  <c r="C44" i="5"/>
  <c r="C122" i="5"/>
  <c r="C10" i="5"/>
  <c r="C4" i="5"/>
  <c r="C22" i="5"/>
  <c r="C95" i="5"/>
  <c r="A117" i="7"/>
  <c r="C72" i="5"/>
  <c r="C15" i="5"/>
  <c r="C89" i="5"/>
  <c r="C63" i="5"/>
  <c r="C29" i="5"/>
  <c r="C17" i="5"/>
  <c r="C133" i="5"/>
  <c r="C25" i="5"/>
  <c r="C83" i="5"/>
  <c r="C111" i="5"/>
  <c r="C5" i="5"/>
  <c r="C12" i="5"/>
  <c r="C108" i="5"/>
  <c r="C49" i="5"/>
  <c r="C80" i="5"/>
  <c r="C130" i="5"/>
  <c r="A77" i="7"/>
  <c r="A82" i="7"/>
  <c r="A81" i="7"/>
  <c r="A80" i="7"/>
  <c r="A79" i="7"/>
  <c r="A78" i="7"/>
  <c r="GY140" i="5"/>
  <c r="HB140" i="5"/>
  <c r="HD140" i="5"/>
  <c r="GA140" i="5"/>
  <c r="C18" i="7"/>
  <c r="P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GZ140" i="5"/>
  <c r="O140" i="5"/>
  <c r="AF140" i="5"/>
  <c r="GX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F226" i="7" l="1"/>
  <c r="D226" i="7"/>
  <c r="D227" i="7" s="1"/>
  <c r="F214" i="7"/>
  <c r="D214" i="7"/>
  <c r="D215" i="7" s="1"/>
  <c r="F202" i="7"/>
  <c r="D202" i="7"/>
  <c r="D203" i="7" s="1"/>
  <c r="D190" i="7"/>
  <c r="D191" i="7" s="1"/>
  <c r="F178" i="7"/>
  <c r="D178" i="7"/>
  <c r="D179" i="7" s="1"/>
  <c r="F166" i="7"/>
  <c r="D166" i="7"/>
  <c r="D167" i="7" s="1"/>
  <c r="D155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C35" i="7" l="1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</calcChain>
</file>

<file path=xl/sharedStrings.xml><?xml version="1.0" encoding="utf-8"?>
<sst xmlns="http://schemas.openxmlformats.org/spreadsheetml/2006/main" count="26459" uniqueCount="2367">
  <si>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</si>
  <si>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</si>
  <si>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</si>
  <si>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</si>
  <si>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</si>
  <si>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</si>
  <si>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</si>
  <si>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</si>
  <si>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</si>
  <si>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</si>
  <si>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</si>
  <si>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</si>
  <si>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</si>
  <si>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</si>
  <si>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</si>
  <si>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</si>
  <si>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</si>
  <si>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</si>
  <si>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</si>
  <si>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</si>
  <si>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</si>
  <si>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</si>
  <si>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</si>
  <si>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</si>
  <si>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</si>
  <si>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</si>
  <si>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</si>
  <si>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</si>
  <si>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</si>
  <si>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</si>
  <si>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</si>
  <si>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</si>
  <si>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</si>
  <si>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</si>
  <si>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</si>
  <si>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</si>
  <si>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</si>
  <si>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</si>
  <si>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</si>
  <si>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</si>
  <si>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</si>
  <si>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</si>
  <si>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</si>
  <si>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</si>
  <si>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</si>
  <si>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</si>
  <si>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</si>
  <si>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</si>
  <si>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</si>
  <si>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</si>
  <si>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</si>
  <si>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</si>
  <si>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</si>
  <si>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</si>
  <si>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</si>
  <si>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</si>
  <si>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</si>
  <si>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</si>
  <si>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</si>
  <si>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</si>
  <si>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</si>
  <si>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</si>
  <si>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</si>
  <si>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</si>
  <si>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</si>
  <si>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</si>
  <si>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</si>
  <si>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</si>
  <si>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</si>
  <si>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</si>
  <si>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</si>
  <si>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</si>
  <si>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</si>
  <si>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</si>
  <si>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</si>
  <si>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</si>
  <si>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</si>
  <si>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</si>
  <si>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</si>
  <si>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</si>
  <si>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</si>
  <si>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</si>
  <si>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</si>
  <si>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</si>
  <si>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</si>
  <si>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</si>
  <si>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</si>
  <si>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</si>
  <si>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</si>
  <si>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</si>
  <si>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</si>
  <si>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</si>
  <si>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</si>
  <si>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</si>
  <si>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</si>
  <si>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</si>
  <si>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</si>
  <si>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</si>
  <si>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</si>
  <si>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</si>
  <si>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</si>
  <si>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</si>
  <si>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</si>
  <si>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</si>
  <si>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</si>
  <si>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</si>
  <si>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</si>
  <si>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</si>
  <si>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</si>
  <si>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</si>
  <si>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</si>
  <si>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</si>
  <si>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</si>
  <si>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</si>
  <si>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</si>
  <si>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</si>
  <si>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</si>
  <si>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</si>
  <si>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</si>
  <si>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</si>
  <si>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</si>
  <si>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</si>
  <si>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</si>
  <si>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</si>
  <si>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</si>
  <si>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</si>
  <si>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</si>
  <si>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</si>
  <si>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</si>
  <si>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</si>
  <si>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</si>
  <si>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</si>
  <si>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</si>
  <si>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</si>
  <si>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</si>
  <si>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</si>
  <si>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</si>
  <si>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</si>
  <si>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</si>
  <si>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</si>
  <si>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</si>
  <si>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</si>
  <si>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</si>
  <si>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</si>
  <si>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</si>
  <si>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</si>
  <si>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</si>
  <si>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</si>
  <si>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</si>
  <si>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</si>
  <si>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</si>
  <si>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</si>
  <si>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</si>
  <si>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</si>
  <si>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</si>
  <si>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</si>
  <si>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</si>
  <si>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</si>
  <si>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</si>
  <si>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</si>
  <si>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</si>
  <si>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</si>
  <si>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</si>
  <si>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</si>
  <si>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</si>
  <si>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</si>
  <si>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</si>
  <si>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</si>
  <si>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</si>
  <si>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</si>
  <si>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</si>
  <si>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</si>
  <si>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</si>
  <si>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</si>
  <si>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</si>
  <si>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</si>
  <si>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</si>
  <si>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</si>
  <si>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</si>
  <si>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</si>
  <si>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</si>
  <si>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</si>
  <si>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</si>
  <si>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</si>
  <si>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</si>
  <si>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</si>
  <si>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</si>
  <si>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</si>
  <si>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</si>
  <si>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</si>
  <si>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</si>
  <si>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</si>
  <si>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</si>
  <si>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</si>
  <si>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</si>
  <si>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</si>
  <si>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</si>
  <si>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</si>
  <si>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</si>
  <si>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</si>
  <si>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</si>
  <si>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</si>
  <si>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</si>
  <si>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</si>
  <si>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</si>
  <si>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</si>
  <si>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</si>
  <si>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</si>
  <si>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</si>
  <si>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</si>
  <si>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</si>
  <si>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</si>
  <si>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</si>
  <si>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</si>
  <si>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</si>
  <si>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</si>
  <si>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</si>
  <si>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</si>
  <si>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</si>
  <si>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</si>
  <si>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</si>
  <si>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</si>
  <si>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</si>
  <si>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</si>
  <si>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</si>
  <si>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</si>
  <si>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</si>
  <si>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</si>
  <si>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</si>
  <si>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</si>
  <si>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</si>
  <si>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</si>
  <si>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</si>
  <si>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</si>
  <si>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</si>
  <si>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</si>
  <si>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</si>
  <si>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</si>
  <si>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</si>
  <si>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</si>
  <si>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</si>
  <si>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</si>
  <si>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</si>
  <si>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</si>
  <si>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</si>
  <si>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</si>
  <si>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</si>
  <si>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</si>
  <si>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</si>
  <si>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</si>
  <si>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</si>
  <si>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</si>
  <si>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</si>
  <si>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</si>
  <si>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</si>
  <si>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</si>
  <si>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</si>
  <si>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</si>
  <si>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</si>
  <si>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</si>
  <si>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</si>
  <si>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</si>
  <si>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</si>
  <si>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</si>
  <si>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</si>
  <si>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</si>
  <si>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</si>
  <si>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</si>
  <si>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</si>
  <si>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</si>
  <si>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</si>
  <si>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</si>
  <si>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</si>
  <si>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</si>
  <si>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</si>
  <si>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</si>
  <si>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</si>
  <si>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</si>
  <si>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</si>
  <si>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</si>
  <si>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</si>
  <si>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</si>
  <si>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</si>
  <si>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</si>
  <si>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</si>
  <si>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</si>
  <si>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</si>
  <si>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</si>
  <si>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</si>
  <si>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</si>
  <si>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</si>
  <si>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</si>
  <si>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</si>
  <si>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</si>
  <si>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</si>
  <si>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</si>
  <si>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</si>
  <si>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</si>
  <si>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</si>
  <si>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</si>
  <si>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</si>
  <si>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</si>
  <si>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</si>
  <si>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</si>
  <si>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</si>
  <si>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</si>
  <si>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</si>
  <si>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</si>
  <si>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</si>
  <si>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</si>
  <si>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</si>
  <si>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</si>
  <si>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</si>
  <si>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</si>
  <si>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</si>
  <si>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</si>
  <si>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</si>
  <si>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</si>
  <si>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</si>
  <si>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</si>
  <si>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</si>
  <si>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</si>
  <si>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</si>
  <si>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</si>
  <si>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</si>
  <si>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</si>
  <si>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</si>
  <si>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</si>
  <si>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</si>
  <si>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</si>
  <si>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</si>
  <si>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</si>
  <si>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</si>
  <si>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</si>
  <si>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</si>
  <si>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</si>
  <si>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</si>
  <si>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</si>
  <si>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</si>
  <si>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</si>
  <si>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</si>
  <si>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</si>
  <si>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</si>
  <si>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</si>
  <si>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</si>
  <si>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</si>
  <si>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</si>
  <si>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</si>
  <si>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</si>
  <si>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</si>
  <si>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</si>
  <si>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</si>
  <si>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</si>
  <si>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</si>
  <si>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</si>
  <si>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</si>
  <si>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</si>
  <si>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</si>
  <si>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</si>
  <si>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</si>
  <si>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</si>
  <si>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</si>
  <si>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</si>
  <si>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</si>
  <si>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</si>
  <si>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</si>
  <si>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</si>
  <si>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</si>
  <si>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</si>
  <si>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</si>
  <si>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</si>
  <si>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</si>
  <si>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</si>
  <si>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</si>
  <si>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</si>
  <si>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</si>
  <si>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</si>
  <si>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</si>
  <si>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</si>
  <si>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</si>
  <si>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</si>
  <si>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</si>
  <si>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</si>
  <si>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</si>
  <si>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</si>
  <si>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</si>
  <si>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</si>
  <si>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</si>
  <si>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</si>
  <si>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</si>
  <si>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</si>
  <si>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</si>
  <si>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</si>
  <si>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</si>
  <si>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</si>
  <si>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</si>
  <si>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</si>
  <si>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</si>
  <si>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</si>
  <si>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</si>
  <si>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</si>
  <si>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</si>
  <si>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</si>
  <si>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</si>
  <si>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</si>
  <si>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</si>
  <si>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</si>
  <si>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</si>
  <si>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</si>
  <si>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</si>
  <si>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</si>
  <si>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</si>
  <si>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</si>
  <si>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</si>
  <si>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</si>
  <si>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</si>
  <si>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</si>
  <si>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</si>
  <si>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</si>
  <si>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</si>
  <si>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</si>
  <si>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</si>
  <si>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</si>
  <si>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</si>
  <si>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</si>
  <si>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</si>
  <si>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</si>
  <si>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</si>
  <si>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</si>
  <si>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</si>
  <si>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</si>
  <si>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</si>
  <si>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</si>
  <si>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</si>
  <si>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</si>
  <si>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</si>
  <si>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</si>
  <si>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</si>
  <si>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</si>
  <si>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</si>
  <si>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</si>
  <si>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</si>
  <si>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</si>
  <si>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</si>
  <si>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</si>
  <si>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</si>
  <si>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</si>
  <si>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</si>
  <si>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</si>
  <si>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</si>
  <si>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</si>
  <si>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</si>
  <si>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</si>
  <si>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</si>
  <si>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</si>
  <si>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</si>
  <si>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</si>
  <si>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</si>
  <si>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</si>
  <si>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</si>
  <si>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</si>
  <si>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</si>
  <si>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</si>
  <si>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</si>
  <si>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</si>
  <si>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</si>
  <si>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</si>
  <si>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</si>
  <si>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</si>
  <si>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</si>
  <si>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</si>
  <si>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</si>
  <si>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</si>
  <si>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</si>
  <si>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</si>
  <si>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</si>
  <si>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</si>
  <si>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</si>
  <si>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</si>
  <si>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</si>
  <si>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</si>
  <si>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</si>
  <si>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</si>
  <si>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</si>
  <si>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</si>
  <si>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</si>
  <si>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</si>
  <si>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</si>
  <si>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</si>
  <si>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</si>
  <si>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</si>
  <si>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</si>
  <si>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</si>
  <si>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</si>
  <si>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</si>
  <si>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</si>
  <si>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</si>
  <si>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</si>
  <si>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</si>
  <si>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</si>
  <si>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</si>
  <si>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</si>
  <si>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</si>
  <si>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</si>
  <si>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</si>
  <si>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</si>
  <si>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</si>
  <si>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</si>
  <si>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</si>
  <si>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</si>
  <si>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</si>
  <si>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</si>
  <si>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</si>
  <si>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</si>
  <si>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</si>
  <si>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</si>
  <si>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</si>
  <si>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</si>
  <si>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</si>
  <si>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</si>
  <si>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</si>
  <si>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</si>
  <si>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</si>
  <si>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</si>
  <si>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</si>
  <si>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</si>
  <si>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</si>
  <si>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</si>
  <si>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</si>
  <si>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</si>
  <si>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</si>
  <si>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</si>
  <si>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</si>
  <si>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</si>
  <si>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</si>
  <si>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</si>
  <si>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</si>
  <si>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</si>
  <si>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</si>
  <si>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</si>
  <si>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</si>
  <si>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</si>
  <si>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</si>
  <si>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</si>
  <si>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</si>
  <si>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</si>
  <si>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</si>
  <si>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</si>
  <si>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</si>
  <si>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</si>
  <si>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</si>
  <si>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</si>
  <si>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</si>
  <si>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</si>
  <si>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</si>
  <si>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</si>
  <si>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</si>
  <si>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</si>
  <si>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</si>
  <si>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</si>
  <si>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</si>
  <si>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</si>
  <si>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</si>
  <si>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</si>
  <si>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</si>
  <si>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</si>
  <si>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</si>
  <si>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</si>
  <si>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</si>
  <si>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</si>
  <si>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</si>
  <si>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</si>
  <si>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</si>
  <si>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</si>
  <si>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</si>
  <si>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</si>
  <si>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</si>
  <si>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</si>
  <si>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</si>
  <si>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</si>
  <si>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</si>
  <si>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</si>
  <si>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</si>
  <si>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</si>
  <si>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</si>
  <si>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</si>
  <si>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</si>
  <si>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</si>
  <si>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</si>
  <si>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</si>
  <si>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</si>
  <si>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</si>
  <si>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</si>
  <si>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</si>
  <si>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</si>
  <si>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</si>
  <si>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</si>
  <si>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</si>
  <si>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</si>
  <si>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</si>
  <si>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</si>
  <si>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</si>
  <si>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</si>
  <si>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</si>
  <si>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</si>
  <si>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</si>
  <si>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</si>
  <si>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</si>
  <si>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</si>
  <si>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</si>
  <si>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</si>
  <si>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</si>
  <si>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</si>
  <si>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</si>
  <si>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</si>
  <si>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</si>
  <si>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</si>
  <si>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</si>
  <si>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</si>
  <si>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</si>
  <si>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</si>
  <si>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</si>
  <si>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</si>
  <si>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</si>
  <si>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</si>
  <si>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</si>
  <si>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</si>
  <si>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</si>
  <si>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</si>
  <si>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</si>
  <si>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</si>
  <si>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</si>
  <si>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</si>
  <si>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</si>
  <si>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</si>
  <si>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</si>
  <si>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</si>
  <si>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</si>
  <si>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</si>
  <si>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</si>
  <si>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</si>
  <si>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</si>
  <si>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</si>
  <si>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</si>
  <si>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</si>
  <si>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</si>
  <si>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</si>
  <si>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</si>
  <si>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</si>
  <si>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</si>
  <si>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</si>
  <si>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</si>
  <si>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</si>
  <si>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</si>
  <si>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</si>
  <si>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</si>
  <si>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</si>
  <si>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</si>
  <si>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</si>
  <si>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</si>
  <si>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</si>
  <si>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</si>
  <si>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</si>
  <si>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</si>
  <si>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</si>
  <si>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</si>
  <si>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</si>
  <si>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</si>
  <si>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</si>
  <si>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</si>
  <si>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</si>
  <si>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</si>
  <si>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</si>
  <si>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</si>
  <si>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</si>
  <si>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</si>
  <si>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</si>
  <si>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</si>
  <si>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</si>
  <si>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</si>
  <si>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</si>
  <si>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</si>
  <si>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</si>
  <si>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</si>
  <si>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</si>
  <si>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</si>
  <si>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</si>
  <si>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</si>
  <si>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</si>
  <si>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</si>
  <si>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</si>
  <si>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</si>
  <si>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</si>
  <si>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</si>
  <si>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</si>
  <si>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</si>
  <si>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</si>
  <si>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</si>
  <si>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</si>
  <si>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</si>
  <si>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</si>
  <si>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</si>
  <si>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</si>
  <si>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</si>
  <si>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</si>
  <si>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</si>
  <si>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</si>
  <si>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</si>
  <si>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</si>
  <si>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</si>
  <si>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</si>
  <si>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</si>
  <si>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</si>
  <si>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</si>
  <si>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</si>
  <si>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</si>
  <si>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</si>
  <si>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</si>
  <si>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</si>
  <si>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</si>
  <si>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</si>
  <si>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</si>
  <si>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</si>
  <si>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</si>
  <si>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</si>
  <si>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</si>
  <si>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</si>
  <si>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</si>
  <si>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</si>
  <si>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</si>
  <si>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</si>
  <si>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</si>
  <si>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</si>
  <si>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</si>
  <si>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</si>
  <si>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</si>
  <si>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</si>
  <si>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</si>
  <si>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</si>
  <si>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</si>
  <si>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</si>
  <si>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</si>
  <si>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</si>
  <si>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</si>
  <si>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</si>
  <si>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</si>
  <si>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</si>
  <si>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</si>
  <si>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</si>
  <si>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</si>
  <si>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</si>
  <si>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</si>
  <si>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</si>
  <si>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</si>
  <si>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</si>
  <si>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</si>
  <si>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</si>
  <si>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</si>
  <si>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</si>
  <si>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</si>
  <si>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</si>
  <si>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</si>
  <si>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</si>
  <si>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</si>
  <si>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</si>
  <si>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</si>
  <si>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</si>
  <si>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</si>
  <si>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</si>
  <si>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</si>
  <si>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</si>
  <si>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</si>
  <si>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</si>
  <si>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</si>
  <si>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</si>
  <si>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</si>
  <si>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</si>
  <si>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</si>
  <si>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</si>
  <si>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</si>
  <si>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</si>
  <si>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</si>
  <si>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</si>
  <si>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</si>
  <si>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</si>
  <si>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</si>
  <si>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</si>
  <si>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</si>
  <si>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</si>
  <si>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</si>
  <si>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</si>
  <si>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</si>
  <si>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</si>
  <si>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</si>
  <si>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</si>
  <si>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</si>
  <si>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</si>
  <si>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</si>
  <si>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</si>
  <si>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</si>
  <si>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</si>
  <si>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</si>
  <si>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</si>
  <si>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</si>
  <si>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</si>
  <si>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</si>
  <si>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</si>
  <si>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</si>
  <si>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</si>
  <si>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</si>
  <si>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</si>
  <si>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</si>
  <si>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</si>
  <si>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</si>
  <si>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</si>
  <si>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</si>
  <si>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</si>
  <si>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</si>
  <si>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</si>
  <si>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</si>
  <si>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</si>
  <si>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</si>
  <si>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</si>
  <si>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</si>
  <si>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</si>
  <si>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</si>
  <si>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</si>
  <si>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</si>
  <si>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</si>
  <si>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</si>
  <si>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</si>
  <si>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</si>
  <si>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</si>
  <si>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</si>
  <si>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</si>
  <si>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</si>
  <si>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</si>
  <si>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</si>
  <si>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</si>
  <si>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</si>
  <si>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</si>
  <si>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</si>
  <si>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</si>
  <si>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</si>
  <si>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</si>
  <si>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</si>
  <si>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</si>
  <si>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</si>
  <si>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</si>
  <si>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</si>
  <si>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</si>
  <si>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</si>
  <si>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</si>
  <si>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</si>
  <si>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</si>
  <si>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</si>
  <si>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</si>
  <si>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</si>
  <si>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</si>
  <si>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</si>
  <si>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</si>
  <si>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</si>
  <si>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</si>
  <si>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</si>
  <si>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</si>
  <si>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</si>
  <si>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</si>
  <si>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</si>
  <si>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</si>
  <si>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</si>
  <si>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</si>
  <si>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</si>
  <si>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</si>
  <si>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</si>
  <si>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</si>
  <si>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</si>
  <si>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</si>
  <si>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</si>
  <si>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</si>
  <si>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</si>
  <si>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</si>
  <si>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</si>
  <si>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</si>
  <si>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</si>
  <si>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</si>
  <si>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</si>
  <si>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</si>
  <si>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</si>
  <si>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</si>
  <si>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</si>
  <si>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</si>
  <si>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</si>
  <si>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</si>
  <si>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</si>
  <si>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</si>
  <si>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</si>
  <si>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</si>
  <si>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</si>
  <si>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</si>
  <si>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</si>
  <si>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</si>
  <si>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</si>
  <si>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</si>
  <si>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</si>
  <si>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</si>
  <si>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</si>
  <si>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</si>
  <si>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</si>
  <si>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</si>
  <si>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</si>
  <si>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</si>
  <si>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</si>
  <si>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</si>
  <si>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</si>
  <si>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</si>
  <si>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</si>
  <si>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</si>
  <si>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</si>
  <si>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</si>
  <si>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</si>
  <si>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</si>
  <si>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</si>
  <si>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</si>
  <si>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</si>
  <si>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</si>
  <si>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</si>
  <si>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</si>
  <si>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</si>
  <si>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</si>
  <si>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</si>
  <si>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</si>
  <si>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</si>
  <si>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</si>
  <si>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</si>
  <si>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</si>
  <si>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</si>
  <si>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</si>
  <si>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</si>
  <si>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</si>
  <si>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</si>
  <si>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</si>
  <si>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</si>
  <si>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</si>
  <si>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</si>
  <si>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</si>
  <si>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</si>
  <si>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</si>
  <si>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</si>
  <si>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</si>
  <si>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</si>
  <si>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</si>
  <si>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</si>
  <si>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</si>
  <si>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</si>
  <si>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</si>
  <si>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</si>
  <si>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</si>
  <si>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</si>
  <si>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</si>
  <si>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</si>
  <si>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</si>
  <si>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</si>
  <si>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</si>
  <si>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</si>
  <si>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</si>
  <si>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</si>
  <si>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</si>
  <si>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</si>
  <si>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</si>
  <si>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</si>
  <si>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</si>
  <si>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</si>
  <si>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</si>
  <si>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</si>
  <si>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</si>
  <si>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</si>
  <si>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</si>
  <si>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</si>
  <si>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</si>
  <si>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</si>
  <si>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</si>
  <si>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</si>
  <si>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</si>
  <si>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</si>
  <si>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</si>
  <si>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</si>
  <si>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</si>
  <si>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</si>
  <si>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</si>
  <si>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</si>
  <si>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</si>
  <si>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</si>
  <si>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</si>
  <si>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</si>
  <si>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</si>
  <si>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</si>
  <si>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</si>
  <si>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</si>
  <si>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</si>
  <si>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</si>
  <si>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</si>
  <si>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</si>
  <si>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</si>
  <si>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</si>
  <si>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</si>
  <si>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</si>
  <si>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</si>
  <si>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</si>
  <si>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</si>
  <si>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</si>
  <si>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</si>
  <si>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</si>
  <si>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</si>
  <si>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</si>
  <si>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</si>
  <si>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</si>
  <si>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</si>
  <si>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</si>
  <si>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</si>
  <si>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</si>
  <si>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</si>
  <si>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</si>
  <si>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</si>
  <si>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</si>
  <si>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</si>
  <si>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</si>
  <si>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</si>
  <si>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</si>
  <si>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</si>
  <si>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</si>
  <si>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</si>
  <si>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</si>
  <si>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</si>
  <si>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</si>
  <si>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</si>
  <si>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</si>
  <si>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</si>
  <si>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</si>
  <si>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</si>
  <si>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</si>
  <si>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</si>
  <si>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</si>
  <si>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</si>
  <si>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</si>
  <si>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</si>
  <si>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</si>
  <si>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</si>
  <si>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</si>
  <si>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</si>
  <si>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</si>
  <si>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</si>
  <si>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</si>
  <si>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</si>
  <si>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</si>
  <si>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</si>
  <si>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</si>
  <si>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</si>
  <si>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</si>
  <si>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</si>
  <si>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</si>
  <si>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</si>
  <si>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</si>
  <si>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</si>
  <si>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</si>
  <si>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</si>
  <si>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</si>
  <si>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</si>
  <si>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</si>
  <si>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</si>
  <si>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</si>
  <si>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</si>
  <si>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</si>
  <si>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</si>
  <si>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</si>
  <si>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</si>
  <si>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</si>
  <si>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</si>
  <si>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</si>
  <si>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</si>
  <si>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</si>
  <si>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</si>
  <si>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</si>
  <si>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</si>
  <si>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</si>
  <si>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</si>
  <si>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</si>
  <si>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</si>
  <si>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</si>
  <si>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</si>
  <si>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</si>
  <si>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</si>
  <si>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</si>
  <si>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</si>
  <si>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</si>
  <si>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</si>
  <si>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</si>
  <si>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</si>
  <si>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</si>
  <si>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</si>
  <si>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</si>
  <si>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</si>
  <si>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</si>
  <si>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</si>
  <si>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</si>
  <si>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</si>
  <si>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</si>
  <si>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</si>
  <si>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</si>
  <si>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</si>
  <si>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</si>
  <si>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</si>
  <si>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</si>
  <si>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</si>
  <si>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</si>
  <si>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</si>
  <si>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</si>
  <si>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</si>
  <si>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</si>
  <si>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</si>
  <si>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</si>
  <si>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</si>
  <si>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</si>
  <si>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</si>
  <si>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</si>
  <si>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</si>
  <si>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</si>
  <si>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</si>
  <si>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</si>
  <si>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</si>
  <si>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</si>
  <si>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</si>
  <si>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</si>
  <si>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</si>
  <si>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</si>
  <si>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</si>
  <si>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</si>
  <si>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</si>
  <si>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</si>
  <si>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</si>
  <si>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</si>
  <si>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</si>
  <si>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</si>
  <si>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</si>
  <si>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</si>
  <si>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</si>
  <si>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</si>
  <si>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</si>
  <si>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</si>
  <si>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</si>
  <si>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</si>
  <si>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</si>
  <si>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</si>
  <si>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</si>
  <si>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</si>
  <si>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</si>
  <si>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</si>
  <si>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</si>
  <si>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</si>
  <si>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</si>
  <si>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</si>
  <si>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</si>
  <si>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</si>
  <si>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</si>
  <si>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</si>
  <si>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</si>
  <si>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</si>
  <si>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</si>
  <si>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</si>
  <si>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</si>
  <si>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</si>
  <si>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</si>
  <si>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</si>
  <si>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</si>
  <si>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</si>
  <si>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</si>
  <si>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</si>
  <si>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</si>
  <si>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</si>
  <si>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</si>
  <si>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</si>
  <si>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</si>
  <si>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</si>
  <si>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</si>
  <si>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</si>
  <si>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</si>
  <si>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</si>
  <si>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</si>
  <si>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</si>
  <si>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</si>
  <si>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</si>
  <si>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</si>
  <si>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</si>
  <si>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</si>
  <si>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</si>
  <si>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</si>
  <si>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</si>
  <si>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</si>
  <si>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</si>
  <si>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</si>
  <si>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</si>
  <si>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</si>
  <si>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</si>
  <si>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</si>
  <si>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</si>
  <si>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</si>
  <si>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</si>
  <si>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</si>
  <si>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</si>
  <si>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</si>
  <si>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</si>
  <si>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</si>
  <si>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</si>
  <si>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</si>
  <si>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</si>
  <si>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</si>
  <si>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</si>
  <si>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</si>
  <si>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</si>
  <si>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</si>
  <si>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</si>
  <si>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</si>
  <si>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</si>
  <si>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</si>
  <si>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</si>
  <si>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</si>
  <si>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</si>
  <si>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</si>
  <si>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</si>
  <si>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</si>
  <si>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</si>
  <si>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</si>
  <si>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</si>
  <si>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</si>
  <si>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</si>
  <si>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</si>
  <si>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</si>
  <si>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</si>
  <si>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</si>
  <si>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</si>
  <si>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</si>
  <si>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</si>
  <si>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</si>
  <si>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</si>
  <si>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</si>
  <si>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</si>
  <si>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</si>
  <si>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</si>
  <si>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</si>
  <si>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</si>
  <si>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</si>
  <si>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</si>
  <si>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</si>
  <si>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</si>
  <si>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</si>
  <si>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</si>
  <si>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</si>
  <si>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</si>
  <si>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</si>
  <si>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</si>
  <si>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</si>
  <si>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</si>
  <si>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</si>
  <si>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</si>
  <si>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</si>
  <si>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</si>
  <si>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</si>
  <si>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</si>
  <si>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</si>
  <si>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</si>
  <si>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</si>
  <si>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</si>
  <si>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</si>
  <si>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</si>
  <si>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</si>
  <si>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</si>
  <si>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</si>
  <si>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</si>
  <si>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</si>
  <si>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</si>
  <si>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</si>
  <si>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</si>
  <si>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</si>
  <si>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</si>
  <si>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</si>
  <si>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</si>
  <si>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</si>
  <si>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</si>
  <si>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</si>
  <si>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</si>
  <si>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</si>
  <si>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</si>
  <si>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</si>
  <si>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</si>
  <si>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</si>
  <si>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</si>
  <si>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</si>
  <si>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</si>
  <si>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</si>
  <si>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</si>
  <si>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</si>
  <si>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</si>
  <si>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</si>
  <si>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</si>
  <si>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</si>
  <si>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</si>
  <si>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</si>
  <si>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</si>
  <si>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</si>
  <si>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</si>
  <si>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</si>
  <si>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</si>
  <si>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</si>
  <si>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</si>
  <si>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</si>
  <si>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</si>
  <si>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</si>
  <si>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</si>
  <si>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</si>
  <si>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</si>
  <si>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</si>
  <si>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</si>
  <si>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</si>
  <si>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</si>
  <si>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</si>
  <si>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</si>
  <si>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</si>
  <si>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</si>
  <si>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</si>
  <si>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</si>
  <si>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</si>
  <si>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</si>
  <si>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</si>
  <si>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</si>
  <si>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</si>
  <si>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</si>
  <si>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</si>
  <si>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</si>
  <si>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</si>
  <si>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</si>
  <si>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</si>
  <si>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</si>
  <si>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</si>
  <si>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</si>
  <si>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</si>
  <si>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</si>
  <si>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</si>
  <si>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</si>
  <si>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</si>
  <si>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</si>
  <si>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</si>
  <si>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</si>
  <si>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</si>
  <si>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</si>
  <si>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</si>
  <si>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</si>
  <si>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</si>
  <si>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</si>
  <si>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</si>
  <si>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</si>
  <si>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</si>
  <si>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</si>
  <si>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</si>
  <si>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</si>
  <si>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</si>
  <si>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</si>
  <si>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</si>
  <si>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</si>
  <si>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</si>
  <si>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</si>
  <si>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</si>
  <si>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</si>
  <si>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</si>
  <si>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</si>
  <si>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</si>
  <si>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</si>
  <si>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</si>
  <si>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</si>
  <si>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</si>
  <si>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</si>
  <si>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</si>
  <si>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</si>
  <si>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</si>
  <si>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</si>
  <si>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</si>
  <si>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</si>
  <si>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</si>
  <si>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</si>
  <si>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</si>
  <si>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</si>
  <si>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</si>
  <si>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</si>
  <si>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</si>
  <si>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</si>
  <si>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</si>
  <si>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</si>
  <si>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</si>
  <si>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</si>
  <si>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</si>
  <si>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</si>
  <si>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</si>
  <si>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</si>
  <si>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</si>
  <si>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</si>
  <si>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</si>
  <si>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</si>
  <si>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</si>
  <si>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</si>
  <si>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</si>
  <si>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</si>
  <si>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</si>
  <si>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</si>
  <si>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</si>
  <si>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</si>
  <si>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</si>
  <si>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</si>
  <si>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</si>
  <si>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</si>
  <si>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</si>
  <si>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</si>
  <si>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</si>
  <si>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</si>
  <si>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</si>
  <si>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</si>
  <si>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</si>
  <si>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</si>
  <si>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</si>
  <si>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</si>
  <si>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</si>
  <si>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</si>
  <si>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</si>
  <si>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</si>
  <si>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</si>
  <si>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</si>
  <si>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</si>
  <si>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</si>
  <si>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</si>
  <si>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</si>
  <si>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</si>
  <si>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</si>
  <si>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</si>
  <si>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</si>
  <si>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</si>
  <si>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</si>
  <si>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</si>
  <si>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</si>
  <si>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</si>
  <si>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</si>
  <si>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</si>
  <si>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</si>
  <si>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</si>
  <si>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</si>
  <si>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</si>
  <si>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</si>
  <si>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</si>
  <si>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</si>
  <si>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</si>
  <si>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</si>
  <si>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</si>
  <si>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</si>
  <si>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</si>
  <si>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</si>
  <si>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</si>
  <si>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</si>
  <si>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</si>
  <si>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</si>
  <si>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</si>
  <si>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</si>
  <si>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</si>
  <si>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</si>
  <si>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</si>
  <si>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</si>
  <si>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</si>
  <si>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</si>
  <si>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</si>
  <si>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</si>
  <si>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</si>
  <si>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</si>
  <si>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</si>
  <si>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</si>
  <si>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</si>
  <si>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</si>
  <si>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</si>
  <si>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</si>
  <si>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</si>
  <si>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</si>
  <si>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</si>
  <si>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</si>
  <si>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</si>
  <si>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</si>
  <si>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</si>
  <si>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</si>
  <si>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</si>
  <si>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</si>
  <si>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</si>
  <si>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</si>
  <si>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</si>
  <si>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</si>
  <si>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</si>
  <si>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</si>
  <si>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</si>
  <si>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</si>
  <si>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</si>
  <si>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</si>
  <si>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</si>
  <si>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</si>
  <si>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</si>
  <si>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</si>
  <si>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</si>
  <si>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</si>
  <si>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</si>
  <si>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</si>
  <si>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</si>
  <si>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</si>
  <si>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</si>
  <si>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</si>
  <si>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</si>
  <si>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</si>
  <si>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</si>
  <si>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</si>
  <si>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</si>
  <si>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</si>
  <si>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</si>
  <si>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</si>
  <si>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</si>
  <si>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</si>
  <si>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</si>
  <si>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</si>
  <si>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</si>
  <si>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</si>
  <si>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</si>
  <si>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</si>
  <si>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</si>
  <si>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</si>
  <si>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</si>
  <si>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</si>
  <si>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</si>
  <si>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</si>
  <si>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</si>
  <si>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</si>
  <si>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</si>
  <si>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</si>
  <si>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</si>
  <si>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</si>
  <si>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</si>
  <si>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</si>
  <si>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</si>
  <si>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</si>
  <si>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</si>
  <si>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</si>
  <si>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</si>
  <si>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</si>
  <si>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</si>
  <si>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</si>
  <si>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</si>
  <si>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</si>
  <si>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</si>
  <si>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</si>
  <si>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</si>
  <si>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</si>
  <si>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</si>
  <si>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</si>
  <si>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</si>
  <si>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</si>
  <si>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</si>
  <si>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</si>
  <si>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</si>
  <si>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</si>
  <si>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</si>
  <si>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</si>
  <si>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</si>
  <si>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</si>
  <si>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</si>
  <si>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</si>
  <si>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</si>
  <si>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</si>
  <si>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</si>
  <si>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</si>
  <si>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</si>
  <si>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</si>
  <si>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</si>
  <si>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</si>
  <si>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</si>
  <si>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</si>
  <si>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</si>
  <si>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</si>
  <si>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</si>
  <si>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</si>
  <si>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</si>
  <si>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</si>
  <si>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</si>
  <si>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</si>
  <si>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</si>
  <si>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</si>
  <si>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</si>
  <si>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</si>
  <si>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</si>
  <si>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</si>
  <si>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</si>
  <si>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</si>
  <si>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</si>
  <si>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</si>
  <si>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</si>
  <si>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</si>
  <si>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</si>
  <si>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</si>
  <si>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</si>
  <si>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</si>
  <si>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</si>
  <si>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</si>
  <si>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</si>
  <si>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</si>
  <si>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</si>
  <si>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</si>
  <si>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</si>
  <si>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</si>
  <si>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</si>
  <si>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</si>
  <si>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</si>
  <si>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</si>
  <si>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</si>
  <si>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</si>
  <si>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</si>
  <si>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</si>
  <si>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</si>
  <si>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</si>
  <si>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</si>
  <si>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</si>
  <si>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</si>
  <si>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</si>
  <si>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</si>
  <si>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</si>
  <si>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</si>
  <si>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</si>
  <si>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</si>
  <si>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</si>
  <si>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</si>
  <si>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</si>
  <si>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</si>
  <si>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</si>
  <si>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</si>
  <si>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</si>
  <si>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</si>
  <si>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</si>
  <si>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</si>
  <si>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</si>
  <si>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</si>
  <si>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</si>
  <si>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</si>
  <si>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</si>
  <si>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</si>
  <si>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</si>
  <si>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</si>
  <si>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</si>
  <si>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</si>
  <si>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</si>
  <si>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</si>
  <si>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</si>
  <si>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</si>
  <si>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</si>
  <si>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</si>
  <si>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</si>
  <si>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</si>
  <si>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</si>
  <si>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</si>
  <si>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</si>
  <si>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</si>
  <si>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</si>
  <si>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</si>
  <si>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</si>
  <si>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</si>
  <si>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</si>
  <si>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</si>
  <si>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</si>
  <si>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</si>
  <si>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</si>
  <si>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</si>
  <si>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</si>
  <si>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</si>
  <si>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</si>
  <si>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</si>
  <si>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</si>
  <si>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</si>
  <si>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</si>
  <si>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</si>
  <si>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</si>
  <si>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</si>
  <si>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</si>
  <si>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</si>
  <si>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</si>
  <si>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</si>
  <si>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</si>
  <si>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</si>
  <si>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</si>
  <si>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</si>
  <si>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</si>
  <si>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</si>
  <si>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</si>
  <si>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</si>
  <si>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</si>
  <si>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</si>
  <si>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</si>
  <si>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</si>
  <si>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</si>
  <si>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</si>
  <si>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</si>
  <si>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</si>
  <si>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</si>
  <si>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</si>
  <si>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</si>
  <si>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</si>
  <si>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</si>
  <si>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</si>
  <si>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</si>
  <si>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</si>
  <si>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</si>
  <si>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</si>
  <si>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</si>
  <si>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</si>
  <si>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</si>
  <si>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</si>
  <si>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</si>
  <si>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</si>
  <si>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</si>
  <si>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</si>
  <si>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</si>
  <si>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</si>
  <si>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</si>
  <si>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</si>
  <si>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</si>
  <si>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</si>
  <si>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</si>
  <si>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</si>
  <si>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</si>
  <si>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</si>
  <si>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</si>
  <si>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</si>
  <si>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</si>
  <si>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</si>
  <si>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</si>
  <si>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</si>
  <si>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</si>
  <si>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</si>
  <si>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</si>
  <si>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</si>
  <si>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</si>
  <si>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</si>
  <si>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</si>
  <si>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</si>
  <si>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</si>
  <si>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</si>
  <si>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</si>
  <si>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</si>
  <si>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</si>
  <si>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</si>
  <si>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</si>
  <si>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</si>
  <si>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</si>
  <si>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</si>
  <si>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</si>
  <si>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</si>
  <si>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</si>
  <si>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</si>
  <si>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</si>
  <si>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</si>
  <si>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</si>
  <si>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</si>
  <si>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</si>
  <si>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</si>
  <si>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</si>
  <si>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</si>
  <si>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</si>
  <si>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</si>
  <si>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</si>
  <si>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</si>
  <si>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</si>
  <si>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</si>
  <si>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</si>
  <si>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</si>
  <si>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</si>
  <si>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</si>
  <si>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</si>
  <si>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</si>
  <si>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</si>
  <si>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</si>
  <si>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</si>
  <si>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</si>
  <si>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</si>
  <si>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</si>
  <si>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</si>
  <si>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</si>
  <si>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</si>
  <si>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</si>
  <si>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</si>
  <si>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</si>
  <si>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</si>
  <si>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</si>
  <si>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</si>
  <si>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</si>
  <si>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</si>
  <si>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</si>
  <si>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</si>
  <si>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</si>
  <si>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</si>
  <si>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</si>
  <si>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</si>
  <si>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</si>
  <si>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</si>
  <si>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</si>
  <si>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</si>
  <si>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</si>
  <si>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</si>
  <si>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</si>
  <si>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</si>
  <si>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</si>
  <si>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</si>
  <si>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</si>
  <si>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</si>
  <si>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</si>
  <si>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</si>
  <si>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</si>
  <si>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</si>
  <si>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</si>
  <si>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</si>
  <si>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</si>
  <si>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</si>
  <si>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</si>
  <si>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</si>
  <si>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</si>
  <si>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</si>
  <si>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</si>
  <si>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</si>
  <si>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</si>
  <si>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</si>
  <si>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</si>
  <si>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</si>
  <si>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</si>
  <si>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</si>
  <si>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</si>
  <si>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</si>
  <si>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</si>
  <si>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</si>
  <si>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</si>
  <si>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</si>
  <si>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</si>
  <si>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</si>
  <si>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</si>
  <si>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</si>
  <si>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</si>
  <si>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</si>
  <si>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</si>
  <si>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</si>
  <si>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</si>
  <si>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</si>
  <si>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</si>
  <si>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</si>
  <si>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</si>
  <si>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</si>
  <si>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</si>
  <si>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</si>
  <si>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</si>
  <si>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</si>
  <si>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</si>
  <si>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</si>
  <si>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</si>
  <si>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</si>
  <si>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</si>
  <si>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</si>
  <si>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</si>
  <si>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</si>
  <si>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</si>
  <si>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</si>
  <si>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</si>
  <si>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</si>
  <si>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</si>
  <si>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</si>
  <si>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</si>
  <si>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</si>
  <si>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</si>
  <si>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</si>
  <si>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</si>
  <si>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</si>
  <si>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</si>
  <si>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</si>
  <si>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</si>
  <si>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</si>
  <si>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</si>
  <si>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</si>
  <si>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</si>
  <si>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</si>
  <si>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</si>
  <si>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</si>
  <si>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</si>
  <si>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</si>
  <si>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</si>
  <si>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</si>
  <si>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</si>
  <si>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</si>
  <si>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</si>
  <si>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</si>
  <si>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</si>
  <si>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</si>
  <si>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</si>
  <si>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</si>
  <si>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</si>
  <si>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</si>
  <si>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</si>
  <si>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</si>
  <si>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</si>
  <si>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</si>
  <si>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</si>
  <si>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</si>
  <si>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</si>
  <si>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</si>
  <si>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</si>
  <si>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</si>
  <si>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</si>
  <si>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</si>
  <si>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</si>
  <si>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</si>
  <si>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</si>
  <si>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</si>
  <si>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</si>
  <si>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</si>
  <si>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</si>
  <si>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</si>
  <si>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</si>
  <si>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</si>
  <si>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</si>
  <si>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</si>
  <si>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</si>
  <si>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</si>
  <si>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</si>
  <si>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</si>
  <si>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</si>
  <si>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</si>
  <si>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</si>
  <si>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</si>
  <si>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</si>
  <si>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</si>
  <si>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</si>
  <si>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</si>
  <si>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</si>
  <si>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</si>
  <si>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</si>
  <si>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</si>
  <si>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</si>
  <si>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</si>
  <si>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</si>
  <si>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</si>
  <si>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</si>
  <si>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</si>
  <si>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</si>
  <si>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</si>
  <si>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</si>
  <si>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</si>
  <si>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</si>
  <si>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</si>
  <si>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</si>
  <si>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</si>
  <si>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</si>
  <si>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</si>
  <si>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</si>
  <si>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</si>
  <si>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</si>
  <si>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</si>
  <si>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</si>
  <si>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</si>
  <si>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</si>
  <si>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</si>
  <si>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</si>
  <si>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</si>
  <si>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</si>
  <si>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</si>
  <si>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</si>
  <si>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</si>
  <si>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</si>
  <si>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</si>
  <si>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</si>
  <si>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</si>
  <si>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</si>
  <si>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</si>
  <si>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</si>
  <si>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</si>
  <si>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</si>
  <si>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</si>
  <si>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</si>
  <si>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</si>
  <si>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</si>
  <si>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</si>
  <si>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</si>
  <si>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</si>
  <si>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</si>
  <si>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</si>
  <si>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</si>
  <si>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</si>
  <si>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</si>
  <si>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</si>
  <si>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</si>
  <si>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</si>
  <si>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</si>
  <si>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</si>
  <si>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</si>
  <si>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</si>
  <si>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</si>
  <si>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</si>
  <si>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</si>
  <si>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</si>
  <si>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</si>
  <si>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</si>
  <si>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</si>
  <si>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</si>
  <si>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</si>
  <si>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</si>
  <si>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</si>
  <si>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</si>
  <si>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</si>
  <si>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</si>
  <si>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</si>
  <si>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</si>
  <si>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</si>
  <si>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</si>
  <si>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</si>
  <si>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</si>
  <si>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</si>
  <si>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</si>
  <si>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</si>
  <si>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</si>
  <si>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</si>
  <si>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</si>
  <si>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</si>
  <si>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</si>
  <si>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</si>
  <si>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</si>
  <si>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</si>
  <si>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</si>
  <si>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</si>
  <si>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</si>
  <si>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</si>
  <si>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</si>
  <si>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</si>
  <si>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</si>
  <si>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</si>
  <si>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</si>
  <si>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</si>
  <si>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</si>
  <si>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</si>
  <si>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</si>
  <si>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</si>
  <si>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</si>
  <si>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</si>
  <si>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</si>
  <si>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</si>
  <si>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</si>
  <si>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</si>
  <si>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</si>
  <si>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</si>
  <si>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</si>
  <si>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</si>
  <si>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</si>
  <si>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</si>
  <si>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</si>
  <si>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</si>
  <si>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</si>
  <si>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</si>
  <si>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</si>
  <si>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</si>
  <si>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</si>
  <si>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</si>
  <si>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</si>
  <si>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</si>
  <si>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</si>
  <si>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</si>
  <si>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</si>
  <si>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</si>
  <si>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</si>
  <si>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</si>
  <si>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</si>
  <si>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</si>
  <si>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</si>
  <si>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</si>
  <si>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</si>
  <si>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</si>
  <si>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</si>
  <si>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</si>
  <si>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</si>
  <si>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</si>
  <si>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</si>
  <si>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</si>
  <si>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</si>
  <si>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</si>
  <si>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</si>
  <si>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</si>
  <si>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</si>
  <si>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</si>
  <si>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</si>
  <si>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</si>
  <si>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</si>
  <si>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</si>
  <si>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</si>
  <si>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</si>
  <si>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</si>
  <si>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</si>
  <si>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</si>
  <si>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</si>
  <si>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</si>
  <si>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</si>
  <si>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</si>
  <si>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</si>
  <si>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</si>
  <si>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</si>
  <si>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</si>
  <si>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</si>
  <si>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</si>
  <si>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</si>
  <si>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</si>
  <si>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</si>
  <si>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</si>
  <si>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</si>
  <si>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</si>
  <si>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</si>
  <si>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</si>
  <si>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</si>
  <si>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</si>
  <si>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</si>
  <si>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</si>
  <si>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</si>
  <si>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</si>
  <si>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</si>
  <si>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</si>
  <si>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</si>
  <si>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</si>
  <si>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</si>
  <si>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</si>
  <si>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</si>
  <si>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</si>
  <si>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</si>
  <si>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</si>
  <si>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</si>
  <si>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</si>
  <si>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</si>
  <si>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</si>
  <si>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</si>
  <si>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</si>
  <si>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</si>
  <si>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</si>
  <si>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</si>
  <si>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</si>
  <si>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</si>
  <si>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</si>
  <si>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</si>
  <si>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</si>
  <si>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</si>
  <si>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</si>
  <si>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</si>
  <si>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</si>
  <si>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</si>
  <si>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</si>
  <si>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</si>
  <si>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</si>
  <si>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</si>
  <si>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</si>
  <si>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</si>
  <si>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</si>
  <si>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</si>
  <si>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</si>
  <si>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</si>
  <si>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</si>
  <si>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</si>
  <si>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</si>
  <si>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</si>
  <si>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</si>
  <si>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</si>
  <si>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</si>
  <si>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</si>
  <si>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</si>
  <si>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</si>
  <si>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</si>
  <si>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</si>
  <si>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</si>
  <si>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</si>
  <si>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</si>
  <si>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</si>
  <si>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</si>
  <si>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</si>
  <si>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</si>
  <si>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</si>
  <si>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</si>
  <si>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</si>
  <si>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</si>
  <si>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</si>
  <si>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</si>
  <si>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</si>
  <si>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</si>
  <si>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</si>
  <si>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</si>
  <si>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</si>
  <si>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</si>
  <si>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</si>
  <si>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</si>
  <si>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</si>
  <si>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</si>
  <si>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</si>
  <si>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</si>
  <si>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</si>
  <si>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</si>
  <si>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</si>
  <si>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</si>
  <si>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</si>
  <si>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</si>
  <si>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</si>
  <si>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</si>
  <si>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</si>
  <si>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</si>
  <si>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</si>
  <si>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</si>
  <si>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</si>
  <si>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</si>
  <si>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</si>
  <si>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</si>
  <si>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</si>
  <si>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</si>
  <si>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</si>
  <si>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</si>
  <si>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</si>
  <si>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</si>
  <si>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</si>
  <si>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</si>
  <si>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</si>
  <si>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</si>
  <si>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</si>
  <si>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</si>
  <si>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</si>
  <si>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</si>
  <si>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</si>
  <si>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</si>
  <si>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</si>
  <si>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</si>
  <si>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</si>
  <si>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</si>
  <si>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</si>
  <si>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</si>
  <si>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</si>
  <si>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</si>
  <si>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</si>
  <si>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</si>
  <si>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</si>
  <si>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</si>
  <si>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</si>
  <si>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</si>
  <si>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</si>
  <si>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</si>
  <si>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</si>
  <si>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</si>
  <si>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</si>
  <si>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</si>
  <si>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</si>
  <si>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</si>
  <si>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</si>
  <si>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</si>
  <si>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</si>
  <si>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</si>
  <si>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</si>
  <si>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</si>
  <si>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</si>
  <si>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</si>
  <si>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</si>
  <si>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</si>
  <si>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</si>
  <si>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</si>
  <si>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</si>
  <si>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</si>
  <si>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</si>
  <si>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</si>
  <si>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</si>
  <si>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</si>
  <si>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</si>
  <si>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</si>
  <si>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</si>
  <si>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</si>
  <si>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</si>
  <si>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</si>
  <si>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</si>
  <si>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</si>
  <si>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</si>
  <si>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</si>
  <si>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</si>
  <si>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</si>
  <si>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</si>
  <si>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</si>
  <si>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</si>
  <si>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</si>
  <si>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</si>
  <si>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</si>
  <si>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</si>
  <si>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</si>
  <si>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</si>
  <si>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</si>
  <si>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</si>
  <si>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</si>
  <si>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</si>
  <si>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</si>
  <si>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</si>
  <si>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</si>
  <si>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</si>
  <si>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</si>
  <si>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</si>
  <si>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</si>
  <si>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</si>
  <si>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</si>
  <si>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</si>
  <si>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</si>
  <si>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</si>
  <si>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</si>
  <si>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</si>
  <si>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26-35 lat</t>
  </si>
  <si>
    <t>36-45 lat</t>
  </si>
  <si>
    <t>46-55 lat</t>
  </si>
  <si>
    <t>56-65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</si>
  <si>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</si>
  <si>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</si>
  <si>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</si>
  <si>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</si>
  <si>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</si>
  <si>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</si>
  <si>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</si>
  <si>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</si>
  <si>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</si>
  <si>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</si>
  <si>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</si>
  <si>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</si>
  <si>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</si>
  <si>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</si>
  <si>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</si>
  <si>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</si>
  <si>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</si>
  <si>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</si>
  <si>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</si>
  <si>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</si>
  <si>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</si>
  <si>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</si>
  <si>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B/D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</si>
  <si>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</si>
  <si>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</si>
  <si>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</si>
  <si>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</si>
  <si>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</si>
  <si>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</si>
  <si>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</si>
  <si>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</si>
  <si>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</si>
  <si>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</si>
  <si>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</si>
  <si>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</si>
  <si>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</si>
  <si>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odchylenie od średniej</t>
  </si>
  <si>
    <t>suma odchyleń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</si>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</sst>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2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0" fontId="11" fillId="4" borderId="15" xfId="0" applyFont="1" applyFill="1" applyBorder="1"/>
    <xf numFmtId="0" fontId="11" fillId="5" borderId="15" xfId="0" applyFont="1" applyFill="1" applyBorder="1"/>
    <xf numFmtId="169" fontId="0" fillId="0" borderId="0" xfId="0" applyNumberFormat="1"/>
  </cellXfs>
  <cellStyles count="3">
    <cellStyle name="Normalny" xfId="0" builtinId="0"/>
    <cellStyle name="Normalny 2" xfId="1" xr:uid="{B583D91A-72FD-4F8D-9274-2D4BD9705AA5}"/>
    <cellStyle name="Procentowy" xfId="2" builtinId="5"/>
  </cellStyles>
  <dxfs count="5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464">
      <pivotArea type="all" dataOnly="0" outline="0" fieldPosition="0"/>
    </format>
    <format dxfId="463">
      <pivotArea outline="0" collapsedLevelsAreSubtotals="1" fieldPosition="0"/>
    </format>
    <format dxfId="462">
      <pivotArea field="31" type="button" dataOnly="0" labelOnly="1" outline="0" axis="axisRow" fieldPosition="0"/>
    </format>
    <format dxfId="461">
      <pivotArea dataOnly="0" labelOnly="1" fieldPosition="0">
        <references count="1">
          <reference field="31" count="0"/>
        </references>
      </pivotArea>
    </format>
    <format dxfId="460">
      <pivotArea dataOnly="0" labelOnly="1" grandRow="1" outline="0" fieldPosition="0"/>
    </format>
    <format dxfId="45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470">
      <pivotArea type="all" dataOnly="0" outline="0" fieldPosition="0"/>
    </format>
    <format dxfId="469">
      <pivotArea outline="0" collapsedLevelsAreSubtotals="1" fieldPosition="0"/>
    </format>
    <format dxfId="468">
      <pivotArea field="15" type="button" dataOnly="0" labelOnly="1" outline="0" axis="axisRow" fieldPosition="0"/>
    </format>
    <format dxfId="467">
      <pivotArea dataOnly="0" labelOnly="1" fieldPosition="0">
        <references count="1">
          <reference field="15" count="0"/>
        </references>
      </pivotArea>
    </format>
    <format dxfId="466">
      <pivotArea dataOnly="0" labelOnly="1" grandRow="1" outline="0" fieldPosition="0"/>
    </format>
    <format dxfId="46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476">
      <pivotArea type="all" dataOnly="0" outline="0" fieldPosition="0"/>
    </format>
    <format dxfId="475">
      <pivotArea outline="0" collapsedLevelsAreSubtotals="1" fieldPosition="0"/>
    </format>
    <format dxfId="474">
      <pivotArea field="95" type="button" dataOnly="0" labelOnly="1" outline="0" axis="axisRow" fieldPosition="0"/>
    </format>
    <format dxfId="473">
      <pivotArea dataOnly="0" labelOnly="1" fieldPosition="0">
        <references count="1">
          <reference field="95" count="0"/>
        </references>
      </pivotArea>
    </format>
    <format dxfId="472">
      <pivotArea dataOnly="0" labelOnly="1" grandRow="1" outline="0" fieldPosition="0"/>
    </format>
    <format dxfId="47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482">
      <pivotArea type="all" dataOnly="0" outline="0" fieldPosition="0"/>
    </format>
    <format dxfId="481">
      <pivotArea outline="0" collapsedLevelsAreSubtotals="1" fieldPosition="0"/>
    </format>
    <format dxfId="480">
      <pivotArea field="115" type="button" dataOnly="0" labelOnly="1" outline="0" axis="axisRow" fieldPosition="0"/>
    </format>
    <format dxfId="479">
      <pivotArea dataOnly="0" labelOnly="1" fieldPosition="0">
        <references count="1">
          <reference field="115" count="0"/>
        </references>
      </pivotArea>
    </format>
    <format dxfId="478">
      <pivotArea dataOnly="0" labelOnly="1" grandRow="1" outline="0" fieldPosition="0"/>
    </format>
    <format dxfId="47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488">
      <pivotArea type="all" dataOnly="0" outline="0" fieldPosition="0"/>
    </format>
    <format dxfId="487">
      <pivotArea outline="0" collapsedLevelsAreSubtotals="1" fieldPosition="0"/>
    </format>
    <format dxfId="486">
      <pivotArea field="49" type="button" dataOnly="0" labelOnly="1" outline="0" axis="axisRow" fieldPosition="0"/>
    </format>
    <format dxfId="485">
      <pivotArea dataOnly="0" labelOnly="1" fieldPosition="0">
        <references count="1">
          <reference field="49" count="0"/>
        </references>
      </pivotArea>
    </format>
    <format dxfId="484">
      <pivotArea dataOnly="0" labelOnly="1" grandRow="1" outline="0" fieldPosition="0"/>
    </format>
    <format dxfId="48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493">
      <pivotArea type="all" dataOnly="0" outline="0" fieldPosition="0"/>
    </format>
    <format dxfId="492">
      <pivotArea outline="0" collapsedLevelsAreSubtotals="1" fieldPosition="0"/>
    </format>
    <format dxfId="491">
      <pivotArea field="49" type="button" dataOnly="0" labelOnly="1" outline="0" axis="axisRow" fieldPosition="0"/>
    </format>
    <format dxfId="490">
      <pivotArea dataOnly="0" labelOnly="1" grandRow="1" outline="0" fieldPosition="0"/>
    </format>
    <format dxfId="48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499">
      <pivotArea type="all" dataOnly="0" outline="0" fieldPosition="0"/>
    </format>
    <format dxfId="498">
      <pivotArea outline="0" collapsedLevelsAreSubtotals="1" fieldPosition="0"/>
    </format>
    <format dxfId="497">
      <pivotArea field="144" type="button" dataOnly="0" labelOnly="1" outline="0" axis="axisRow" fieldPosition="0"/>
    </format>
    <format dxfId="496">
      <pivotArea dataOnly="0" labelOnly="1" fieldPosition="0">
        <references count="1">
          <reference field="144" count="0"/>
        </references>
      </pivotArea>
    </format>
    <format dxfId="495">
      <pivotArea dataOnly="0" labelOnly="1" grandRow="1" outline="0" fieldPosition="0"/>
    </format>
    <format dxfId="494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505">
      <pivotArea type="all" dataOnly="0" outline="0" fieldPosition="0"/>
    </format>
    <format dxfId="504">
      <pivotArea outline="0" collapsedLevelsAreSubtotals="1" fieldPosition="0"/>
    </format>
    <format dxfId="503">
      <pivotArea field="105" type="button" dataOnly="0" labelOnly="1" outline="0" axis="axisRow" fieldPosition="0"/>
    </format>
    <format dxfId="502">
      <pivotArea dataOnly="0" labelOnly="1" fieldPosition="0">
        <references count="1">
          <reference field="105" count="0"/>
        </references>
      </pivotArea>
    </format>
    <format dxfId="501">
      <pivotArea dataOnly="0" labelOnly="1" grandRow="1" outline="0" fieldPosition="0"/>
    </format>
    <format dxfId="50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511">
      <pivotArea type="all" dataOnly="0" outline="0" fieldPosition="0"/>
    </format>
    <format dxfId="510">
      <pivotArea outline="0" collapsedLevelsAreSubtotals="1" fieldPosition="0"/>
    </format>
    <format dxfId="509">
      <pivotArea field="170" type="button" dataOnly="0" labelOnly="1" outline="0" axis="axisRow" fieldPosition="0"/>
    </format>
    <format dxfId="508">
      <pivotArea dataOnly="0" labelOnly="1" fieldPosition="0">
        <references count="1">
          <reference field="170" count="0"/>
        </references>
      </pivotArea>
    </format>
    <format dxfId="507">
      <pivotArea dataOnly="0" labelOnly="1" grandRow="1" outline="0" fieldPosition="0"/>
    </format>
    <format dxfId="50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H136" totalsRowCount="1">
  <autoFilter ref="A2:HH135" xr:uid="{BC01C17C-E729-4430-9A94-BDF77386BAED}">
    <filterColumn colId="31">
      <filters>
        <filter val="Tak (kontynuowanie badania absolwentów)"/>
      </filters>
    </filterColumn>
  </autoFilter>
  <sortState xmlns:xlrd2="http://schemas.microsoft.com/office/spreadsheetml/2017/richdata2" ref="A3:HH132">
    <sortCondition ref="AL2:AL135"/>
  </sortState>
  <tableColumns count="216">
    <tableColumn id="1" xr3:uid="{37199E79-F22A-49C0-B1C3-8001D68B6905}" name="Lp."/>
    <tableColumn id="214" xr3:uid="{15F16F1A-B79B-4E98-AC9F-5DC850A3D9F6}" name="ID_zakończone" dataDxfId="458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457">
      <calculatedColumnFormula>COUNTA(O3:HH3)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12" xr3:uid="{E08DF4D6-760C-4F6F-88DE-4E70FE422C2F}" name="Punktacja"/>
    <tableColumn id="13" xr3:uid="{F36C4D29-9392-4A6A-8612-F7EDC98894AA}" name="Czy jesteś osobą pełnoletnią?" totalsRowFunction="custom" totalsRowDxfId="94">
      <totalsRowFormula>COUNTA((O3:O135))</totalsRowFormula>
    </tableColumn>
    <tableColumn id="14" xr3:uid="{A75D7BB0-BDD4-4F9E-BFE1-A35FFDAA2A35}" name="Czy jesteś studentem uczelni wyższej?" totalsRowFunction="custom" dataDxfId="456" totalsRowDxfId="93">
      <totalsRowFormula>COUNTA((P3:P135))</totalsRowFormula>
    </tableColumn>
    <tableColumn id="15" xr3:uid="{59EBE606-808E-4993-BA84-2428F0FB2A27}" name="Jak się nazywa uczelnia, na której studiujesz? (proszę o wybranie jednej uczelni podlegającej ocenie)" totalsRowFunction="custom" totalsRowDxfId="92">
      <totalsRowFormula>COUNTA((Q3:Q135))</totalsRowFormula>
    </tableColumn>
    <tableColumn id="16" xr3:uid="{B883EC52-B4D3-434E-8AFF-6334D1B8C483}" name="Czy studiujesz na kierunku technicznym, tzn. takim, po którym uzyskasz tytuł inżyniera?" totalsRowFunction="custom" totalsRowDxfId="91">
      <totalsRowFormula>COUNTA((R3:R135))</totalsRowFormula>
    </tableColumn>
    <tableColumn id="17" xr3:uid="{C6F68B54-181D-4E6B-90DE-3758AC28643F}" name="Jak się nazywa kierunek, na którym studiujesz?" totalsRowFunction="custom" totalsRowDxfId="90">
      <totalsRowFormula>COUNTA((S3:S135))</totalsRowFormula>
    </tableColumn>
    <tableColumn id="18" xr3:uid="{4009F8D5-0845-4794-BD7B-DEDD90E1035F}" name="Moja satysfakcja z usług edukacyjnych ocenianej uczelni jest wysoka." totalsRowFunction="custom" totalsRowDxfId="89">
      <totalsRowFormula>COUNTA((T3:T135))</totalsRowFormula>
    </tableColumn>
    <tableColumn id="19" xr3:uid="{9C33E588-FD6F-4756-A796-19608D8E5787}" name="Usługi edukacyjne ocenianej uczelni mają wysoką wartość (okazja / szansa rozwoju własnego lub kariery)." totalsRowFunction="custom" totalsRowDxfId="88">
      <totalsRowFormula>COUNTA((U3:U135))</totalsRowFormula>
    </tableColumn>
    <tableColumn id="20" xr3:uid="{AD29E10C-3B61-4AC3-9DB6-E5592E85F54D}" name="Kształcenie na ocenianej uczelni ma/będzie miało pozytywny wpływ na zwiększenie moich zarobków." totalsRowFunction="custom" totalsRowDxfId="87">
      <totalsRowFormula>COUNTA((V3:V135))</totalsRowFormula>
    </tableColumn>
    <tableColumn id="21" xr3:uid="{29A03634-DD01-47E7-9082-570B2CBA75AC}" name="Kolumna1" totalsRowFunction="custom" totalsRowDxfId="86">
      <totalsRowFormula>COUNTA((W3:W135))</totalsRowFormula>
    </tableColumn>
    <tableColumn id="22" xr3:uid="{E3063293-8C09-4AD3-970A-FC723899E602}" name="w pierwszym roku po ukończeniu studiów : wybierz wartość z listy rozwijanej" totalsRowFunction="custom" totalsRowDxfId="85">
      <totalsRowFormula>COUNTA((X3:X135))</totalsRowFormula>
    </tableColumn>
    <tableColumn id="23" xr3:uid="{62967F23-9856-4DFD-AADC-42AC36B2CDB1}" name="w 3 lata po ukończeniu studiów : wybierz wartość z listy rozwijanej" totalsRowFunction="custom" totalsRowDxfId="84">
      <totalsRowFormula>COUNTA((Y3:Y135))</totalsRowFormula>
    </tableColumn>
    <tableColumn id="24" xr3:uid="{574DBE71-FF3A-4DA1-A563-EECF8E03B030}" name="Jakich innych (poza zarobkami) efektów kształcenia na ocenianej uczelni się spodziewasz?" totalsRowFunction="custom" totalsRowDxfId="83">
      <totalsRowFormula>COUNTA((Z3:Z135))</totalsRowFormula>
    </tableColumn>
    <tableColumn id="25" xr3:uid="{70C7E301-ECA2-4DF8-B78C-6550E2B616A1}" name="Jakie elementy lub cechy sprawiały, że Tobie studiowało się dobrze?" totalsRowFunction="custom" totalsRowDxfId="82">
      <totalsRowFormula>COUNTA((AA3:AA135))</totalsRowFormula>
    </tableColumn>
    <tableColumn id="26" xr3:uid="{86CB3A73-27F1-4FCF-B9E3-8D590DC2DB33}" name="Jakie elementy lub cechy sprawiały, że Tobie studiowało się źle?" totalsRowFunction="custom" totalsRowDxfId="81">
      <totalsRowFormula>COUNTA((AB3:AB135))</totalsRowFormula>
    </tableColumn>
    <tableColumn id="27" xr3:uid="{8DCB6BDF-C860-4D73-8953-D14EF0C8F0AA}" name="Jakiego rodzaju są Twoje studia?" totalsRowFunction="custom" totalsRowDxfId="80">
      <totalsRowFormula>COUNTA((AC3:AC135))</totalsRowFormula>
    </tableColumn>
    <tableColumn id="28" xr3:uid="{F292FE47-988D-4A95-932D-2E3B34B7BF0B}" name="Pole dodatkowe" totalsRowFunction="custom" totalsRowDxfId="79">
      <totalsRowFormula>COUNTA((AD3:AD135))</totalsRowFormula>
    </tableColumn>
    <tableColumn id="29" xr3:uid="{4225184D-873A-4CF3-B8D1-575C3D6A2435}" name="Na którym semestrze studiujesz obecnie?" totalsRowFunction="custom" totalsRowDxfId="78">
      <totalsRowFormula>COUNTA((AE3:AE135))</totalsRowFormula>
    </tableColumn>
    <tableColumn id="30" xr3:uid="{41979390-06F4-463C-ADB5-F98E8C311CBA}" name="Czy jesteś absolwentem uczelni wyższej?" totalsRowFunction="custom" dataDxfId="455" totalsRowDxfId="77">
      <totalsRowFormula>COUNTA((AF3:AF135))</totalsRowFormula>
    </tableColumn>
    <tableColumn id="31" xr3:uid="{BBF7434D-D66B-496B-B17B-27248613CC58}" name="Jak się nazywa uczelnia którą ukończyłeś? (proszę o wybranie jednej uczelni podlegającej ocenie)" totalsRowFunction="custom" totalsRowDxfId="76">
      <totalsRowFormula>COUNTA((AG3:AG135))</totalsRowFormula>
    </tableColumn>
    <tableColumn id="216" xr3:uid="{72DEEBC7-088A-46A4-9999-AE96ED74030A}" name="KategoriaUczelni" dataDxfId="454" totalsRowDxfId="75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74">
      <totalsRowFormula>COUNTA((AI3:AI135))</totalsRowFormula>
    </tableColumn>
    <tableColumn id="33" xr3:uid="{AE05B081-E180-4E09-9192-4F27CE79F7EB}" name="Czy ukończony kierunek był kierunkiem technicznym, tzn. takim, po którym uzyskałaś/eś tytuł inżyniera?" totalsRowFunction="custom" totalsRowDxfId="73">
      <totalsRowFormula>COUNTA((AJ3:AJ135))</totalsRowFormula>
    </tableColumn>
    <tableColumn id="34" xr3:uid="{B85DD2EE-D5F2-46D3-9E33-DA992576E185}" name="Jak się nazywa kierunek, który ukończyłaś/eś?" totalsRowFunction="custom" totalsRowDxfId="72">
      <totalsRowFormula>COUNTA((AK3:AK135))</totalsRowFormula>
    </tableColumn>
    <tableColumn id="35" xr3:uid="{4CC44F8F-616F-4095-99F6-60AF14EEC568}" name="Moja satysfakcja z (efektów) usług edukacyjnych ocenianej uczelni jest wysoka." totalsRowFunction="custom" totalsRowDxfId="71">
      <totalsRowFormula>COUNTA((AL3:AL135))</totalsRowFormula>
    </tableColumn>
    <tableColumn id="36" xr3:uid="{1C6D88CF-332B-4752-A729-93BFDD454B5A}" name="Usługi edukacyjne ocenianej uczelni mają wysoką wartość (okazja / szansa rozwoju własnego lub kariery).3" totalsRowFunction="custom" totalsRowDxfId="70">
      <totalsRowFormula>COUNTA((AM3:AM135))</totalsRowFormula>
    </tableColumn>
    <tableColumn id="37" xr3:uid="{44EB38FB-B9C9-46B4-B0FB-9985D53C385D}" name="Kształcenie na ocenianej uczelni ma/miało pozytywny wpływ na zwiększenie moich zarobków." totalsRowFunction="custom" totalsRowDxfId="69">
      <totalsRowFormula>COUNTA((AN3:AN135))</totalsRowFormula>
    </tableColumn>
    <tableColumn id="38" xr3:uid="{34BE9A51-E55F-4AE8-87A0-FBEC63D51E8F}" name="Moje zarobki w pierwszym roku po ukończeniu studiów były satysfakcjonujące." totalsRowFunction="custom" totalsRowDxfId="68">
      <totalsRowFormula>COUNTA((AO3:AO135))</totalsRowFormula>
    </tableColumn>
    <tableColumn id="39" xr3:uid="{4033761C-CB95-4451-B0C4-2ABCB2769F7E}" name="Moje zarobki po 3. latach po ukończeniu studiów były satysfakcjonujące." totalsRowFunction="custom" totalsRowDxfId="67">
      <totalsRowFormula>COUNTA((AP3:AP135))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66">
      <totalsRowFormula>COUNTA((AQ3:AQ135))</totalsRowFormula>
    </tableColumn>
    <tableColumn id="41" xr3:uid="{25DB6FAA-8A3B-408B-9262-5EDE22E06BA2}" name="w pierwszym roku po ukończeniu studiów : wybierz wartość z listy rozwijanej4" totalsRowFunction="custom" totalsRowDxfId="65">
      <totalsRowFormula>COUNTA((AR3:AR135))</totalsRowFormula>
    </tableColumn>
    <tableColumn id="42" xr3:uid="{2B38DFDD-3D06-4B52-B1DB-7F8144FEDBDB}" name="w 3 lata po ukończeniu studiów : wybierz wartość z listy rozwijanej5" totalsRowFunction="custom" totalsRowDxfId="64">
      <totalsRowFormula>COUNTA((AS3:AS135))</totalsRowFormula>
    </tableColumn>
    <tableColumn id="43" xr3:uid="{FBBBF8D2-7A99-41FF-B15C-4A2191C9D8D9}" name="Jakie inne (poza zarobkami) efekty kształcenia na ocenianej uczelni dostrzegasz obecnie?" totalsRowFunction="custom" totalsRowDxfId="63">
      <totalsRowFormula>COUNTA((AT3:AT135))</totalsRowFormula>
    </tableColumn>
    <tableColumn id="44" xr3:uid="{6B48263B-8F26-4FBA-9F9A-424993C5E3ED}" name="Co wpływało na twoją satysfakcję ze studiowania?_x000a_" totalsRowFunction="custom" totalsRowDxfId="62">
      <totalsRowFormula>COUNTA((AU3:AU135))</totalsRowFormula>
    </tableColumn>
    <tableColumn id="45" xr3:uid="{52ED1FC9-CD2D-42A5-B204-567F0483F099}" name="Kolumna6" totalsRowFunction="custom" totalsRowDxfId="61">
      <totalsRowFormula>COUNTA((AV3:AV135))</totalsRowFormula>
    </tableColumn>
    <tableColumn id="46" xr3:uid="{3D74590B-7E93-443E-BE1C-FD99ECE16017}" name="Jakiego rodzaju były Twoje studia?" totalsRowFunction="custom" totalsRowDxfId="60">
      <totalsRowFormula>COUNTA((AW3:AW135))</totalsRowFormula>
    </tableColumn>
    <tableColumn id="47" xr3:uid="{E8CA34F5-D9E4-418D-8BF9-050444C4061E}" name="Pole dodatkowe7" totalsRowFunction="custom" totalsRowDxfId="59">
      <totalsRowFormula>COUNTA((AX3:AX135))</totalsRowFormula>
    </tableColumn>
    <tableColumn id="48" xr3:uid="{A48EA897-6002-486C-94A2-3071DE7EB5AD}" name="Czy jesteś rodzicem / opiekunem absolwenta uczelni wyższej?" totalsRowFunction="custom" dataDxfId="453" totalsRowDxfId="58">
      <totalsRowFormula>COUNTA((AY3:AY135))</totalsRowFormula>
    </tableColumn>
    <tableColumn id="49" xr3:uid="{FEE5A281-6D4B-4D31-93CD-509A968E7773}" name="Uczelnie ilu podopiecznych będziesz oceniać?" totalsRowFunction="custom" totalsRowDxfId="57">
      <totalsRowFormula>COUNTA((AZ3:AZ135))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56">
      <totalsRowFormula>COUNTA((BA3:BA135))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55">
      <totalsRowFormula>COUNTA((BB3:BB135))</totalsRowFormula>
    </tableColumn>
    <tableColumn id="52" xr3:uid="{2D5E47C8-051A-480B-B96D-83E7709F1700}" name="Czy ukończony kierunek był kierunkiem technicznym, tzn. takim, po którym uzyskano tytuł inżyniera?" totalsRowFunction="custom" totalsRowDxfId="54">
      <totalsRowFormula>COUNTA((BC3:BC135))</totalsRowFormula>
    </tableColumn>
    <tableColumn id="53" xr3:uid="{D51D9DD7-878A-415B-B2F8-02F53EBFA22A}" name="Jak się nazywa kierunek, który ukończył/a Twoja/Twój podopieczna/podopieczny?" totalsRowFunction="custom" totalsRowDxfId="53">
      <totalsRowFormula>COUNTA((BD3:BD135))</totalsRowFormula>
    </tableColumn>
    <tableColumn id="54" xr3:uid="{D3DB1C46-F931-4289-86D2-779EC4340002}" name="Moja satysfakcja z (efektów) usług edukacyjnych ocenianej uczelni jest wysoka.8" totalsRowFunction="custom" totalsRowDxfId="52">
      <totalsRowFormula>COUNTA((BE3:BE135))</totalsRowFormula>
    </tableColumn>
    <tableColumn id="55" xr3:uid="{FC532F03-86AD-4521-9C9D-42FA860A53FB}" name="Usługi edukacyjne ocenianej uczelni mają wysoką wartość (okazja / szansa rozwoju własnego lub kariery).9" totalsRowFunction="custom" totalsRowDxfId="51">
      <totalsRowFormula>COUNTA((BF3:BF135))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50">
      <totalsRowFormula>COUNTA((BG3:BG135))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9">
      <totalsRowFormula>COUNTA((BH3:BH135))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8">
      <totalsRowFormula>COUNTA((BI3:BI135))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7">
      <totalsRowFormula>COUNTA((BJ3:BJ135))</totalsRowFormula>
    </tableColumn>
    <tableColumn id="60" xr3:uid="{847514F8-F661-4B2D-88BE-10ABFD806894}" name="Jakie inne (poza zarobkami) efekty kształcenia na ocenianej uczelni się dostrzegasz obecnie?" totalsRowFunction="custom" totalsRowDxfId="46">
      <totalsRowFormula>COUNTA((BK3:BK135))</totalsRowFormula>
    </tableColumn>
    <tableColumn id="61" xr3:uid="{8B4485AE-C106-41C7-89AC-D28DBDA4C166}" name="Jakiego rodzaju były studia, które ukończył/a Twoja/Twój podopieczna/podopieczny?" totalsRowFunction="custom" totalsRowDxfId="45">
      <totalsRowFormula>COUNTA((BL3:BL135))</totalsRowFormula>
    </tableColumn>
    <tableColumn id="62" xr3:uid="{F0DE0B1C-928B-4581-8D63-11188CD95233}" name="Pole dodatkowe10" totalsRowFunction="custom" totalsRowDxfId="44">
      <totalsRowFormula>COUNTA((BM3:BM135))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3">
      <totalsRowFormula>COUNTA((BN3:BN135))</totalsRowFormula>
    </tableColumn>
    <tableColumn id="64" xr3:uid="{08619068-F1EA-4298-AAE7-77A34A620074}" name="Czy będziesz oceniał uczelnię ukończoną przez drugiego podopiecznego?" totalsRowFunction="custom" totalsRowDxfId="42">
      <totalsRowFormula>COUNTA((BO3:BO135))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1">
      <totalsRowFormula>COUNTA((BP3:BP135))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0">
      <totalsRowFormula>COUNTA((BQ3:BQ135))</totalsRowFormula>
    </tableColumn>
    <tableColumn id="67" xr3:uid="{1C6ADC27-9F30-4227-81CE-3C15A0D6C10C}" name="Czy ukończony kierunek był kierunkiem technicznym, tzn. takim, po którym uzyskano tytuł inżyniera?13" totalsRowFunction="custom" totalsRowDxfId="39">
      <totalsRowFormula>COUNTA((BR3:BR135))</totalsRowFormula>
    </tableColumn>
    <tableColumn id="68" xr3:uid="{94C8B518-4547-40DD-AC32-B5C834F0511E}" name="Jak się nazywa kierunek, który ukończył/a Twoja/Twój podopieczna/podopieczny?14" totalsRowFunction="custom" totalsRowDxfId="38">
      <totalsRowFormula>COUNTA((BS3:BS135))</totalsRowFormula>
    </tableColumn>
    <tableColumn id="69" xr3:uid="{00BE12AC-CBE0-47D5-8BEF-A62C47DFED23}" name="Moja satysfakcja z (efektów) usług edukacyjnych ocenianej uczelni jest wysoka.15" totalsRowFunction="custom" totalsRowDxfId="37">
      <totalsRowFormula>COUNTA((BT3:BT135))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36">
      <totalsRowFormula>COUNTA((BU3:BU135))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35">
      <totalsRowFormula>COUNTA((BV3:BV135))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34">
      <totalsRowFormula>COUNTA((BW3:BW135))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33">
      <totalsRowFormula>COUNTA((BX3:BX135))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2">
      <totalsRowFormula>COUNTA((BY3:BY135))</totalsRowFormula>
    </tableColumn>
    <tableColumn id="75" xr3:uid="{54EF7743-0CB2-446D-9665-46C77C464F05}" name="Jakie inne (poza zarobkami) efekty kształcenia na ocenianej uczelni się dostrzegasz obecnie?21" totalsRowFunction="custom" totalsRowDxfId="31">
      <totalsRowFormula>COUNTA((BZ3:BZ135))</totalsRowFormula>
    </tableColumn>
    <tableColumn id="76" xr3:uid="{BE93B27C-1906-4695-BEC1-231FA6883C68}" name="Jakiego rodzaju były studia, które ukończył/a Twoja/Twój podopieczna/podopieczny?22" totalsRowFunction="custom" totalsRowDxfId="30">
      <totalsRowFormula>COUNTA((CA3:CA135))</totalsRowFormula>
    </tableColumn>
    <tableColumn id="77" xr3:uid="{C2670D09-B14E-48CE-8D3B-FD4F08474C2E}" name="Pole dodatkowe23" totalsRowFunction="custom" totalsRowDxfId="29">
      <totalsRowFormula>COUNTA((CB3:CB135))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28">
      <totalsRowFormula>COUNTA((CC3:CC135))</totalsRowFormula>
    </tableColumn>
    <tableColumn id="79" xr3:uid="{E97ECC9E-9FF4-4C29-9ADE-07B0EFB1798E}" name="Czy będziesz oceniał uczelnię ukończoną przez trzeciego podopiecznego?" totalsRowFunction="custom" totalsRowDxfId="27">
      <totalsRowFormula>COUNTA((CD3:CD135))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26">
      <totalsRowFormula>COUNTA((CE3:CE135))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25">
      <totalsRowFormula>COUNTA((CF3:CF135))</totalsRowFormula>
    </tableColumn>
    <tableColumn id="82" xr3:uid="{E402E02B-32F9-4918-AC52-1E2746EFF732}" name="Czy ukończony kierunek był kierunkiem technicznym, tzn. takim, po którym uzyskano tytuł inżyniera?27" totalsRowFunction="custom" totalsRowDxfId="24">
      <totalsRowFormula>COUNTA((CG3:CG135))</totalsRowFormula>
    </tableColumn>
    <tableColumn id="83" xr3:uid="{366FF8BB-67D0-4A1D-9E42-1C25C26E69CE}" name="Jak się nazywa kierunek, który ukończył/a Twoja/Twój podopieczna/podopieczny?28" totalsRowFunction="custom" totalsRowDxfId="23">
      <totalsRowFormula>COUNTA((CH3:CH135))</totalsRowFormula>
    </tableColumn>
    <tableColumn id="84" xr3:uid="{32321BD9-57CD-47D0-BD7D-B2AFCC1C3078}" name="Moja satysfakcja z (efektów) usług edukacyjnych ocenianej uczelni jest wysoka.29" totalsRowFunction="custom" totalsRowDxfId="22">
      <totalsRowFormula>COUNTA((CI3:CI135))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21">
      <totalsRowFormula>COUNTA((CJ3:CJ135))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20">
      <totalsRowFormula>COUNTA((CK3:CK135))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19">
      <totalsRowFormula>COUNTA((CL3:CL135))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18">
      <totalsRowFormula>COUNTA((CM3:CM135))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17">
      <totalsRowFormula>COUNTA((CN3:CN135))</totalsRowFormula>
    </tableColumn>
    <tableColumn id="90" xr3:uid="{5F53B8F1-FD09-4B74-AA23-7EDED9615A73}" name="Jakie inne (poza zarobkami) efekty kształcenia na ocenianej uczelni się dostrzegasz obecnie?35" totalsRowFunction="custom" totalsRowDxfId="16">
      <totalsRowFormula>COUNTA((CO3:CO135))</totalsRowFormula>
    </tableColumn>
    <tableColumn id="91" xr3:uid="{0049B607-BD4D-49EA-B5EE-E8E785ACDC34}" name="Jakiego rodzaju były studia, które ukończył/a Twoja/Twój podopieczna/podopieczny?36" totalsRowFunction="custom" totalsRowDxfId="15">
      <totalsRowFormula>COUNTA((CP3:CP135))</totalsRowFormula>
    </tableColumn>
    <tableColumn id="92" xr3:uid="{86B9680A-4D70-4DFA-8189-827F813E4B73}" name="Pole dodatkowe37" totalsRowFunction="custom" totalsRowDxfId="14">
      <totalsRowFormula>COUNTA((CQ3:CQ135))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13">
      <totalsRowFormula>COUNTA((CR3:CR135))</totalsRowFormula>
    </tableColumn>
    <tableColumn id="94" xr3:uid="{BA461F2C-93E1-4AB3-B06B-BCD05B9B9AA2}" name="Czy jesteś aktualnie pracownikiem administracyjnym uczelni wyższej?" totalsRowFunction="custom" dataDxfId="452" totalsRowDxfId="12">
      <totalsRowFormula>COUNTA((CS3:CS135))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51" totalsRowDxfId="11">
      <totalsRowFormula>COUNTA((DC3:DC135))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50" totalsRowDxfId="10">
      <totalsRowFormula>COUNTA((DM3:DM135))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49" totalsRowDxfId="9">
      <totalsRowFormula>COUNTA((EP3:EP135))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48" totalsRowDxfId="8">
      <totalsRowFormula>COUNTA((FP3:FP135))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7">
      <totalsRowFormula>COUNTA((HA3:HA135))</totalsRowFormula>
    </tableColumn>
    <tableColumn id="207" xr3:uid="{2B31368C-8BB4-45F5-A368-4A4E1AFFFE2E}" name="Rok urodzenia" totalsRowFunction="custom" totalsRowDxfId="6">
      <totalsRowFormula>COUNTA((HB3:HB135))</totalsRowFormula>
    </tableColumn>
    <tableColumn id="215" xr3:uid="{0DA27BC3-BCA7-4CF6-A54C-77E28EA17827}" name="GrupaWiekowa" dataDxfId="447" totalsRowDxfId="5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">
      <totalsRowFormula>COUNTA((HD3:HD135))</totalsRowFormula>
    </tableColumn>
    <tableColumn id="209" xr3:uid="{40C0F4A2-88CA-4804-AB61-0C883C5C9CF7}" name="Pole dodatkowe52" totalsRowFunction="custom" totalsRowDxfId="3">
      <totalsRowFormula>COUNTA((HE3:HE135))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2">
      <totalsRowFormula>COUNTA((HF3:HF135))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1">
      <totalsRowFormula>COUNTA((HG3:HG135))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0">
      <totalsRowFormula>COUNTA((HH3:HH135))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446" totalsRowDxfId="445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444" totalsRowDxfId="443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442">
      <totalsRowFormula>COUNTA((O3:O159))</totalsRowFormula>
    </tableColumn>
    <tableColumn id="14" xr3:uid="{0BD7A98F-1F10-4FB8-B054-37BDD3B56396}" name="Czy jesteś studentem uczelni wyższej?" totalsRowFunction="custom" dataDxfId="441" totalsRowDxfId="440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439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438">
      <totalsRowFormula>COUNTA((R3:R159))</totalsRowFormula>
    </tableColumn>
    <tableColumn id="17" xr3:uid="{24BCBB34-34C1-4984-962F-C53466F3EF8F}" name="Jak się nazywa kierunek, na którym studiujesz?" totalsRowFunction="custom" totalsRowDxfId="437">
      <totalsRowFormula>COUNTA((S3:S159))</totalsRowFormula>
    </tableColumn>
    <tableColumn id="18" xr3:uid="{9ADB9BCC-C1C9-4FDD-A2DF-FCC26DBEB749}" name="Moja satysfakcja z usług edukacyjnych ocenianej uczelni jest wysoka." totalsRowFunction="custom" totalsRowDxfId="436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435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434">
      <totalsRowFormula>COUNTA((V3:V159))</totalsRowFormula>
    </tableColumn>
    <tableColumn id="21" xr3:uid="{EAC188BA-5A2E-4D44-97B7-481328766AE0}" name="Kolumna1" totalsRowFunction="custom" totalsRowDxfId="433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432">
      <totalsRowFormula>COUNTA((X3:X159))</totalsRowFormula>
    </tableColumn>
    <tableColumn id="23" xr3:uid="{36E47482-B5FD-4E87-827E-0139C02CF35C}" name="w 3 lata po ukończeniu studiów : wybierz wartość z listy rozwijanej" totalsRowFunction="custom" totalsRowDxfId="431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430">
      <totalsRowFormula>COUNTA((Z3:Z159))</totalsRowFormula>
    </tableColumn>
    <tableColumn id="25" xr3:uid="{D91B74B4-E8B9-401D-A7E4-820C4DF791D4}" name="Jakie elementy lub cechy sprawiały, że Tobie studiowało się dobrze?" totalsRowFunction="custom" totalsRowDxfId="429">
      <totalsRowFormula>COUNTA((AA3:AA159))</totalsRowFormula>
    </tableColumn>
    <tableColumn id="26" xr3:uid="{1E74CD43-D0E9-47B9-8442-05054D3E31F6}" name="Jakie elementy lub cechy sprawiały, że Tobie studiowało się źle?" totalsRowFunction="custom" totalsRowDxfId="428">
      <totalsRowFormula>COUNTA((AB3:AB159))</totalsRowFormula>
    </tableColumn>
    <tableColumn id="27" xr3:uid="{D0177BE1-4E02-4595-8669-95C494930B5B}" name="Jakiego rodzaju są Twoje studia?" totalsRowFunction="custom" totalsRowDxfId="427">
      <totalsRowFormula>COUNTA((AC3:AC159))</totalsRowFormula>
    </tableColumn>
    <tableColumn id="28" xr3:uid="{3597DDE1-E56A-406C-8EDD-22E18D515174}" name="Pole dodatkowe" totalsRowFunction="custom" totalsRowDxfId="426">
      <totalsRowFormula>COUNTA((AD3:AD159))</totalsRowFormula>
    </tableColumn>
    <tableColumn id="29" xr3:uid="{66ED4699-908F-4DD2-BD11-F0A6AA4499D4}" name="Na którym semestrze studiujesz obecnie?" totalsRowFunction="custom" totalsRowDxfId="425">
      <totalsRowFormula>COUNTA((AE3:AE159))</totalsRowFormula>
    </tableColumn>
    <tableColumn id="30" xr3:uid="{665AE932-5635-468D-B539-28624FF56492}" name="Czy jesteś absolwentem uczelni wyższej?" totalsRowFunction="custom" dataDxfId="424" totalsRowDxfId="423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422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421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420">
      <totalsRowFormula>COUNTA((AI3:AI159))</totalsRowFormula>
    </tableColumn>
    <tableColumn id="34" xr3:uid="{ADAE23AC-8F73-4453-AC5D-FE2116FA8AF9}" name="Jak się nazywa kierunek, który ukończyłaś/eś?" totalsRowFunction="custom" totalsRowDxfId="419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418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417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416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415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414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413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412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411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410">
      <totalsRowFormula>COUNTA((AS3:AS159))</totalsRowFormula>
    </tableColumn>
    <tableColumn id="44" xr3:uid="{C9AA4BEA-8991-4F56-A7E1-DA0762C2B486}" name="Co wpływało na twoją satysfakcję ze studiowania?_x000a_" totalsRowFunction="custom" totalsRowDxfId="409">
      <totalsRowFormula>COUNTA((AT3:AT159))</totalsRowFormula>
    </tableColumn>
    <tableColumn id="45" xr3:uid="{00A5350A-103D-4E86-99F7-01E1F081E96E}" name="Kolumna6" totalsRowFunction="custom" totalsRowDxfId="408">
      <totalsRowFormula>COUNTA((AU3:AU159))</totalsRowFormula>
    </tableColumn>
    <tableColumn id="46" xr3:uid="{AB30AA0A-ADAF-4A76-852B-9C6171DBA36D}" name="Jakiego rodzaju były Twoje studia?" totalsRowFunction="custom" totalsRowDxfId="407">
      <totalsRowFormula>COUNTA((AV3:AV159))</totalsRowFormula>
    </tableColumn>
    <tableColumn id="47" xr3:uid="{156EF4B8-4A3F-4406-9CDE-324D32F939BA}" name="Pole dodatkowe7" totalsRowFunction="custom" totalsRowDxfId="406">
      <totalsRowFormula>COUNTA((AW3:AW159))</totalsRowFormula>
    </tableColumn>
    <tableColumn id="48" xr3:uid="{085D3107-411D-41F8-A270-88DCB1EAF46B}" name="Czy jesteś rodzicem / opiekunem absolwenta uczelni wyższej?" totalsRowFunction="custom" dataDxfId="405" totalsRowDxfId="404">
      <totalsRowFormula>COUNTA((AX3:AX159))</totalsRowFormula>
    </tableColumn>
    <tableColumn id="49" xr3:uid="{373F08C1-1889-416C-AADD-9D721E98EE00}" name="Uczelnie ilu podopiecznych będziesz oceniać?" totalsRowFunction="custom" totalsRowDxfId="403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402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401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400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99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98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97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396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395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394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393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392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391">
      <totalsRowFormula>COUNTA((BK3:BK159))</totalsRowFormula>
    </tableColumn>
    <tableColumn id="62" xr3:uid="{D7A10314-D8C8-4D47-9939-D597680A8D89}" name="Pole dodatkowe10" totalsRowFunction="custom" totalsRowDxfId="390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389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388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387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386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385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384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383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382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381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380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379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78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377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376">
      <totalsRowFormula>COUNTA((BZ3:BZ159))</totalsRowFormula>
    </tableColumn>
    <tableColumn id="77" xr3:uid="{6FCF6001-0320-49B2-98E4-DBE8BE04E809}" name="Pole dodatkowe23" totalsRowFunction="custom" totalsRowDxfId="375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374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373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372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371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370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369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368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367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366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365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364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363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362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361">
      <totalsRowFormula>COUNTA((CO3:CO159))</totalsRowFormula>
    </tableColumn>
    <tableColumn id="92" xr3:uid="{D87D6F17-9A18-4BD2-82A2-E153AE86B37C}" name="Pole dodatkowe37" totalsRowFunction="custom" totalsRowDxfId="360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359">
      <totalsRowFormula>COUNTA((CQ3:CQ159))</totalsRowFormula>
    </tableColumn>
    <tableColumn id="94" xr3:uid="{E7DDA408-1945-4BDE-9B5A-12AAC3E05194}" name="Czy jesteś aktualnie pracownikiem administracyjnym uczelni wyższej?" totalsRowFunction="custom" dataDxfId="358" totalsRowDxfId="357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356"/>
    <tableColumn id="96" xr3:uid="{F959B9F3-C53C-4C63-A092-AF4A70D45B06}" name="Na jakim wydziale pracujesz?" totalsRowDxfId="355"/>
    <tableColumn id="97" xr3:uid="{19273B31-1872-4994-B739-304F1E7FBD34}" name="Moja satysfakcja z pracy na ocenianej uczelni jest wysoka." totalsRowDxfId="354"/>
    <tableColumn id="98" xr3:uid="{EE7C1371-E788-4978-B01E-B5870F3E97D1}" name="Atmosfera w zespole współpracowników jest dobra." totalsRowDxfId="353"/>
    <tableColumn id="99" xr3:uid="{04B25BDB-5FFA-42B5-AEBA-FC863BEDBC77}" name="Moje zarobki są satysfakcjonujące." totalsRowDxfId="352"/>
    <tableColumn id="100" xr3:uid="{DAD2DC5B-8DF9-49D3-A852-672969268131}" name="Praca na ocenianej uczelni daje mi duże szanse rozwoju." totalsRowDxfId="351"/>
    <tableColumn id="101" xr3:uid="{27C35901-3DF8-4B77-BEB2-58D43C8B6871}" name="Wartość wykształcenia zdobywanego przez studentów ocenianej uczelni jest wysoka." totalsRowDxfId="350"/>
    <tableColumn id="102" xr3:uid="{4669105C-8E5E-4FD6-97C5-3F5E1BE9CAE4}" name="Zdobyte na ocenianej uczelni wykształcenie ma pozytywny wpływ na zwiększenie zarobków absolwentów." totalsRowDxfId="349"/>
    <tableColumn id="103" xr3:uid="{C2B9909A-91DF-4FB2-B673-AACC920851EA}" name="Jakie inne (poza zarobkami) efekty kształcenia na ocenianej uczelni się dostrzegasz obecnie?39" totalsRowDxfId="348"/>
    <tableColumn id="104" xr3:uid="{1F0E0013-CC4E-4656-BDA5-9028148E569A}" name="Czy jesteś aktualnie pracownikiem naukowym lub dydaktycznym uczelni wyższej?" totalsRowFunction="custom" dataDxfId="347" totalsRowDxfId="346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345"/>
    <tableColumn id="106" xr3:uid="{FAD00E10-66DF-401D-8721-330410755C4C}" name="Na jakim wydziale pracujesz?41" totalsRowDxfId="344"/>
    <tableColumn id="107" xr3:uid="{3ED79AD9-3A2A-4796-A7F7-27B53055A7C5}" name="Moja satysfakcja z pracy na ocenianej uczelni jest wysoka.42" totalsRowDxfId="343"/>
    <tableColumn id="108" xr3:uid="{88F3FD29-277A-4D3B-9F35-812F832A00F4}" name="Atmosfera w zespole współpracowników jest dobra.43" totalsRowDxfId="342"/>
    <tableColumn id="109" xr3:uid="{DC511D2A-6FF2-4B52-B52A-324E6688C5E0}" name="Moje zarobki są satysfakcjonujące.44" totalsRowDxfId="341"/>
    <tableColumn id="110" xr3:uid="{3C031862-BB50-46FB-A01C-928A7B955B19}" name="Praca na ocenianej uczelni daje mi duże szanse rozwoju.45" totalsRowDxfId="340"/>
    <tableColumn id="111" xr3:uid="{26178753-38CF-4749-A317-A1E5F425DF12}" name="Wartość wykształcenia zdobywanego przez studentów ocenianej uczelni jest wysoka.46" totalsRowDxfId="339"/>
    <tableColumn id="112" xr3:uid="{889B113B-59F9-4196-9536-C41274799622}" name="Zdobyte na ocenianej uczelni wykształcenie ma pozytywny wpływ na zwiększenie zarobków absolwentów.47" totalsRowDxfId="338"/>
    <tableColumn id="113" xr3:uid="{018446A9-87AE-432A-96CE-C29A37692C27}" name="Jakie inne (poza zarobkami) efekty kształcenia na ocenianej uczelni dostrzegasz obecnie?48" totalsRowDxfId="337"/>
    <tableColumn id="114" xr3:uid="{D11A2879-2C85-42C1-9C08-4BA4A9592DB0}" name="Czy jesteś przedstawicielem władz uczelni z grupy rektorów, prorektorów, dziekanów, prodziekanów, członków senatu lub członków rady uczelni?" totalsRowFunction="custom" dataDxfId="336" totalsRowDxfId="335">
      <totalsRowFormula>COUNTA((DL3:DL159))</totalsRowFormula>
    </tableColumn>
    <tableColumn id="115" xr3:uid="{758B3CD0-0C56-4596-8D61-D90700A05DA1}" name="Proszę podać pełnioną funkcję" totalsRowDxfId="334"/>
    <tableColumn id="116" xr3:uid="{E904AED4-A38D-42EF-9D38-709BB163A619}" name="Kolumna3" totalsRowDxfId="333"/>
    <tableColumn id="117" xr3:uid="{AF0D4680-ECCA-4738-825E-AB146FC0FF8F}" name="Kolumna4" totalsRowDxfId="332"/>
    <tableColumn id="118" xr3:uid="{65A15536-DE99-4D16-A20B-206F127C5BFB}" name="Kolumna5" totalsRowDxfId="331"/>
    <tableColumn id="119" xr3:uid="{E05782FB-7FE9-42ED-94C4-B7F653167A0F}" name="Jak się nazywa uczelnia którą będziesz oceniać (jako przedstawiciel jej władz)?" totalsRowDxfId="330"/>
    <tableColumn id="120" xr3:uid="{1B7FA187-1663-4FBF-A3C5-EA8D6A053A25}" name="Efekty działań ocenianej uczelni na rzesz jakości edukacji są dobre" totalsRowDxfId="329"/>
    <tableColumn id="121" xr3:uid="{8A6C2138-0511-4784-9BCB-D7F056FD5756}" name="Wartość wykształcenia zdobywanego przez studentów na ocenianej uczelni jest wysoka." totalsRowDxfId="328"/>
    <tableColumn id="122" xr3:uid="{33664698-CEF8-4115-B63B-828882A6D501}" name="Zdobyte przez studentów ocenianej uczelni wykształcenie miało/ma pozytywny wpływ na ich zarobki." totalsRowDxfId="327"/>
    <tableColumn id="123" xr3:uid="{6548C317-5775-47D8-8BB5-03CE96ABFB2C}" name="Efekty działań ocenianej uczelni na rzecz jakości edukacji mają dobry wpływ na rozwój regionu." totalsRowDxfId="326"/>
    <tableColumn id="124" xr3:uid="{04271A5C-5560-4CF8-90D9-89BA9B015FBC}" name="Efekty działań ocenianej uczelni na rzecz jakości edukacji mają dobry wpływ na rozwój Polski." totalsRowDxfId="325"/>
    <tableColumn id="125" xr3:uid="{123DE0DC-02B2-4F9B-BEEB-704DB06821EE}" name="Współpraca ocenianej uczelni z biznesem ma pozytywne efekty dla rozwoju regionu / kraju." totalsRowDxfId="324"/>
    <tableColumn id="126" xr3:uid="{A0DF07F0-161A-4193-A1E6-2065A1C8B63E}" name="Ogólny poziom mojej satysfakcji z jakości usług edukacyjnych ocenianej uczelni jest wysoki." totalsRowDxfId="323"/>
    <tableColumn id="127" xr3:uid="{78D52D23-A055-4089-AEA3-0D0030CEAC4A}" name="Studenci : wybierz wartość z listy rozwijanej" totalsRowDxfId="322"/>
    <tableColumn id="128" xr3:uid="{3C88D815-7B36-4940-B457-1D4916A18A9A}" name="Absolwenci : wybierz wartość z listy rozwijanej" totalsRowDxfId="321"/>
    <tableColumn id="129" xr3:uid="{B7AADA93-8D0B-47F3-BCD2-912D3D3EFF96}" name="Rodzice absolwentów : wybierz wartość z listy rozwijanej" totalsRowDxfId="320"/>
    <tableColumn id="130" xr3:uid="{2419B54D-E941-464A-ABB8-3A728F2F5596}" name="Pracownicy administracyjni : wybierz wartość z listy rozwijanej" totalsRowDxfId="319"/>
    <tableColumn id="131" xr3:uid="{BAB27B7B-2698-4085-8E82-FA14AF164B29}" name="Pracownicy naukowi i dydaktyczni : wybierz wartość z listy rozwijanej" totalsRowDxfId="318"/>
    <tableColumn id="132" xr3:uid="{6A6F970F-B3EB-4E50-9DE6-C8C4C7CAA18A}" name="Pracodawcy : wybierz wartość z listy rozwijanej" totalsRowDxfId="317"/>
    <tableColumn id="133" xr3:uid="{09A6A719-E450-4AC4-8182-90B1F383E84C}" name="Władze samorządowe i centralne : wybierz wartość z listy rozwijanej" totalsRowDxfId="316"/>
    <tableColumn id="134" xr3:uid="{2E207BF2-E2F1-4F2B-9DAE-D3B78D867559}" name="Pole dodatkowe4" totalsRowDxfId="315"/>
    <tableColumn id="135" xr3:uid="{EEB77D73-5571-4E17-8266-02BB1710B8F0}" name="Studenci : wybierz wartość z listy rozwijanej5" totalsRowDxfId="314"/>
    <tableColumn id="136" xr3:uid="{81EA592A-292B-42BA-AA88-85A430ABBA5B}" name="Absolwenci : wybierz wartość z listy rozwijanej6" totalsRowDxfId="313"/>
    <tableColumn id="137" xr3:uid="{AC693E91-1370-42E2-8C6B-A2DEAEDAD6D8}" name="Rodzice absolwentów : wybierz wartość z listy rozwijanej7" totalsRowDxfId="312"/>
    <tableColumn id="138" xr3:uid="{C972A3A6-50AF-4CF0-9221-51F3F1B825B5}" name="Pracownicy administracyjni : wybierz wartość z listy rozwijanej8" totalsRowDxfId="311"/>
    <tableColumn id="139" xr3:uid="{8A17F47D-C5DA-4436-9144-E5A1DC2CE401}" name="Pracownicy naukowi i dydaktyczni : wybierz wartość z listy rozwijanej9" totalsRowDxfId="310"/>
    <tableColumn id="140" xr3:uid="{9C9F0784-2723-4BBD-AE36-08FD5221319D}" name="Pracodawcy : wybierz wartość z listy rozwijanej10" totalsRowDxfId="309"/>
    <tableColumn id="141" xr3:uid="{AAE33EE1-D3BE-432C-9A2D-5D55BE9F26EC}" name="Władze samorządowe i centralne : wybierz wartość z listy rozwijanej11" totalsRowDxfId="308"/>
    <tableColumn id="142" xr3:uid="{C7BCF657-B75F-43D7-A19C-E0A38F71C79A}" name="Pole dodatkowe12" totalsRowDxfId="307"/>
    <tableColumn id="143" xr3:uid="{027BA0BD-D7CE-4B61-BD34-CD9336762A59}" name="Czy jesteś przedstawicielem firmy, w której są zatrudniani absolwenci uczelni wyższych (tytuł licencjata, magistra lub wyższy)?" totalsRowFunction="custom" dataDxfId="306" totalsRowDxfId="305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304"/>
    <tableColumn id="145" xr3:uid="{A9C11981-CE44-482B-9485-624EB4CFA91B}" name="Ile uczelni będziesz oceniać?" totalsRowDxfId="303"/>
    <tableColumn id="146" xr3:uid="{822F037D-C81E-4AA1-A477-75B7599C4C4E}" name="Jak się nazywa uczelnia, którą ocenisz? " totalsRowDxfId="302"/>
    <tableColumn id="147" xr3:uid="{B879E027-4001-4F17-98A9-1FF6DD06C0F9}" name="Moja satysfakcja z (efektów) usług edukacyjnych na ocenianej uczelni jest wysoka." totalsRowDxfId="301"/>
    <tableColumn id="148" xr3:uid="{887E2640-884A-454A-B596-856E217BE2DD}" name="Kompetencje absolwentów ocenianej uczelni są wysokie." totalsRowDxfId="300"/>
    <tableColumn id="149" xr3:uid="{478F5E65-AE32-4F52-99FA-3830D9323C3C}" name="Zarobki absolwentów ocenianej uczelni zatrudnionych w mojej firmie są wyższe od zarobków absolwentów innych polskich uczelni." totalsRowDxfId="299"/>
    <tableColumn id="150" xr3:uid="{E5D4AD52-FA66-4019-983E-25DC2AF5A5A8}" name="Czy w Twojej firmie są zatrudniani absolwenci uczelni w pierwszym roku po ukończeniu studiów (do 12 miesięcy od uzyskania dyplomu)?" totalsRowDxfId="298"/>
    <tableColumn id="151" xr3:uid="{FDC480C9-E39B-4D41-9995-A191329D3555}" name="Jakie kompetencje absolwentów ocenianej uczelni są w Twojej firmie najwyżej wyceniane?" totalsRowDxfId="297"/>
    <tableColumn id="152" xr3:uid="{558E6650-0292-450C-9D81-46BC7B7FA1C9}" name="Jakiego rodzaju prace wykonują absolwenci ocenianej uczelni w Twojej firmie?" totalsRowDxfId="296"/>
    <tableColumn id="153" xr3:uid="{9E8CE1F9-05B3-4737-AC9A-FAE812FD292C}" name="Czy będziesz oceniał drugą uczelnię?" totalsRowDxfId="295"/>
    <tableColumn id="154" xr3:uid="{CEB66B10-0E60-4952-A1B0-1E5C8784E791}" name="Jak się nazywa uczelnia, którą ocenisz? 13" totalsRowDxfId="294"/>
    <tableColumn id="155" xr3:uid="{2864E703-440A-477E-8352-68DEA39F85CD}" name="Moja satysfakcja z (efektów) usług edukacyjnych na ocenianej uczelni jest wysoka.14" totalsRowDxfId="293"/>
    <tableColumn id="156" xr3:uid="{B38513D8-CC85-41E0-85A1-82AC6807323C}" name="Kompetencje absolwentów ocenianej uczelni są wysokie.15" totalsRowDxfId="292"/>
    <tableColumn id="157" xr3:uid="{204ADF47-FBCC-47A6-95D9-5D3E03854768}" name="Zarobki absolwentów ocenianej uczelni zatrudnionych w mojej firmie są wyższe od zarobków absolwentów innych polskich uczelni.16" totalsRowDxfId="291"/>
    <tableColumn id="158" xr3:uid="{7E6A13F3-C53A-4FC9-B3AE-9EA25D9CBCE6}" name="Czy w Twojej firmie są zatrudniani absolwenci uczelni w pierwszym roku po ukończeniu studiów (do 12 miesięcy od uzyskania dyplomu)?17" totalsRowDxfId="290"/>
    <tableColumn id="159" xr3:uid="{83E7A1CC-295A-477E-8CD0-1E43143ACFF6}" name="Jakie kompetencje absolwentów ocenianej uczelni są w Twojej firmie najwyżej wyceniane?18" totalsRowDxfId="289"/>
    <tableColumn id="160" xr3:uid="{C3F49389-F342-4110-8A16-536B6EC87EC2}" name="Jakiego rodzaju prace wykonują absolwenci ocenianej uczelni w Twojej firmie?19" totalsRowDxfId="288"/>
    <tableColumn id="161" xr3:uid="{2BBFB49D-5EDF-4AC5-9179-70BCC6FA0B96}" name="Czy będziesz oceniał trzecią uczelnię techniczną?" totalsRowDxfId="287"/>
    <tableColumn id="162" xr3:uid="{829F7D1E-D133-43C4-A756-6D0B7542D44F}" name="Jak się nazywa uczelnia, którą ocenisz? 20" totalsRowDxfId="286"/>
    <tableColumn id="163" xr3:uid="{8758E395-9800-4CA8-BF43-3BFBF9507549}" name="Moja satysfakcja z (efektów) usług edukacyjnych na ocenianej uczelni jest wysoka.21" totalsRowDxfId="285"/>
    <tableColumn id="164" xr3:uid="{14ABF48C-A9EC-4153-B011-421959501B3A}" name="Kompetencje absolwentów ocenianej uczelni są wysokie.22" totalsRowDxfId="284"/>
    <tableColumn id="165" xr3:uid="{E8A014C5-F146-4C5D-B50B-6E968A7F8B46}" name="Zarobki absolwentów ocenianej uczelni zatrudnionych w mojej firmie są wyższe od zarobków absolwentów innych polskich uczelni.23" totalsRowDxfId="283"/>
    <tableColumn id="166" xr3:uid="{1FF6D355-AF16-4EB9-8805-4741E5F2867E}" name="Czy w Twojej firmie są zatrudniani absolwenci uczelni w pierwszym roku po ukończeniu studiów (do 12 miesięcy od uzyskania dyplomu)?24" totalsRowDxfId="282"/>
    <tableColumn id="167" xr3:uid="{71809E9D-42EC-47FD-9E58-0596DB8FD07D}" name="Jakie kompetencje absolwentów ocenianej uczelni są w Twojej firmie najwyżej wyceniane?25" totalsRowDxfId="281"/>
    <tableColumn id="168" xr3:uid="{6CA2A8B4-3095-459E-BDF0-43522EA7E403}" name="Jakiego rodzaju prace wykonują absolwenci ocenianej uczelni są w Twojej firmie?" totalsRowDxfId="280"/>
    <tableColumn id="169" xr3:uid="{6AEC3D33-E058-4E5E-AEC6-C091FCB970C9}" name="Czy jesteś przedstawicielem władz samorządowych lub centralnych Rzeczypospolitej Polskiej?" totalsRowFunction="custom" dataDxfId="279" totalsRowDxfId="278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277">
      <totalsRowFormula>COUNTA((GZ3:GZ159))</totalsRowFormula>
    </tableColumn>
    <tableColumn id="207" xr3:uid="{17374C0D-5C50-4F2D-9998-48F1A5105C49}" name="Rok urodzenia" totalsRowFunction="custom" totalsRowDxfId="276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275">
      <totalsRowFormula>COUNTA((HB3:HB159))</totalsRowFormula>
    </tableColumn>
    <tableColumn id="209" xr3:uid="{12CD2E72-E534-4809-A75E-AF29F5F5F088}" name="Pole dodatkowe52" totalsRowFunction="custom" totalsRowDxfId="274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273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272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271">
      <totalsRowFormula>COUNTA((HF3:HF159))</totalsRow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270" totalsRowDxfId="269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268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267" totalsRowDxfId="266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265"/>
    <tableColumn id="16" xr3:uid="{AA3DBEFA-9D73-475E-A9A5-2D42522C9072}" name="Czy studiujesz na kierunku technicznym, tzn. takim, po którym uzyskasz tytuł inżyniera?" totalsRowDxfId="264"/>
    <tableColumn id="17" xr3:uid="{8AAAEBAF-D354-47D3-8A57-BF9F06131A1E}" name="Jak się nazywa kierunek, na którym studiujesz?" totalsRowDxfId="263"/>
    <tableColumn id="18" xr3:uid="{CD9C7D41-ABD7-4C41-89ED-89A659BAC655}" name="Moja satysfakcja z usług edukacyjnych ocenianej uczelni jest wysoka." totalsRowDxfId="262"/>
    <tableColumn id="19" xr3:uid="{31FED63E-2530-44F3-A0E2-6B96989E02A8}" name="Usługi edukacyjne ocenianej uczelni mają wysoką wartość (okazja / szansa rozwoju własnego lub kariery)." totalsRowDxfId="261"/>
    <tableColumn id="20" xr3:uid="{378DDC9B-58A3-4DE4-A300-A19FD721A037}" name="Kształcenie na ocenianej uczelni ma/będzie miało pozytywny wpływ na zwiększenie moich zarobków." totalsRowDxfId="260"/>
    <tableColumn id="21" xr3:uid="{C6A24480-7451-49D9-8645-BC69D7F99331}" name="Kolumna1" totalsRowDxfId="259"/>
    <tableColumn id="22" xr3:uid="{D80E567D-CCDD-4B11-B18B-072D893C7687}" name="w pierwszym roku po ukończeniu studiów : wybierz wartość z listy rozwijanej" totalsRowDxfId="258"/>
    <tableColumn id="23" xr3:uid="{CF51D676-6C20-46B0-A565-D78CD8D4C947}" name="w 3 lata po ukończeniu studiów : wybierz wartość z listy rozwijanej" totalsRowDxfId="257"/>
    <tableColumn id="24" xr3:uid="{0F1B2099-4D7F-463D-AC59-617503BC5E14}" name="Jakich innych (poza zarobkami) efektów kształcenia na ocenianej uczelni się spodziewasz?" totalsRowDxfId="256"/>
    <tableColumn id="25" xr3:uid="{35D57207-52B7-455E-A9ED-A6AD95338EC7}" name="Co wpływa na Twoją satysfakcję ze studiowania?" totalsRowDxfId="255"/>
    <tableColumn id="26" xr3:uid="{CAD83457-32FA-404F-A708-C1B3C759AC6E}" name="Kolumna2" totalsRowDxfId="254"/>
    <tableColumn id="27" xr3:uid="{ADC35906-6D65-48D1-81AC-C4B4957B05D5}" name="Jakiego rodzaju są Twoje studia?" totalsRowDxfId="253"/>
    <tableColumn id="28" xr3:uid="{E068B642-DF74-4CAA-A88E-B517DC5FC386}" name="Pole dodatkowe" totalsRowDxfId="252"/>
    <tableColumn id="29" xr3:uid="{38F90488-07A7-4B7C-882D-784B03584081}" name="Na którym semestrze studiujesz obecnie?" totalsRowDxfId="251"/>
    <tableColumn id="30" xr3:uid="{5A578F2D-0AA4-4797-8F97-B23C8F9552C7}" name="Czy jesteś absolwentem uczelni wyższej?" totalsRowFunction="custom" dataDxfId="250" totalsRowDxfId="249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248"/>
    <tableColumn id="32" xr3:uid="{E591DDF7-3A8B-45B3-9972-7C4BB854C0A9}" name="W którym roku ukończyłaś/eś studia (rok w którym uzyskano dyplom ukończenia studiów drugiego stopnia, albo pierwszego stopnia, jeśli nie uzyskano dyplomu 2. stopnia)?" totalsRowDxfId="247"/>
    <tableColumn id="33" xr3:uid="{B826B930-988D-4AF8-9D52-5EF6AF6A7F20}" name="Czy ukończony kierunek był kierunkiem technicznym, tzn. takim, po którym uzyskałaś/eś tytuł inżyniera?" totalsRowDxfId="246"/>
    <tableColumn id="34" xr3:uid="{0507FF43-58D2-4683-81A2-9CE2C2FA5844}" name="Jak się nazywa kierunek, który ukończyłaś/eś?" totalsRowDxfId="245"/>
    <tableColumn id="35" xr3:uid="{AC65CB7E-A5EF-4C79-B96D-EA85400721B9}" name="Moja satysfakcja z (efektów) usług edukacyjnych ocenianej uczelni jest wysoka." totalsRowDxfId="244"/>
    <tableColumn id="36" xr3:uid="{36BB94DA-A6A2-46AA-A0C4-3AAE4ADCC084}" name="Usługi edukacyjne ocenianej uczelni mają wysoką wartość (okazja / szansa rozwoju własnego lub kariery).3" totalsRowDxfId="243"/>
    <tableColumn id="37" xr3:uid="{46DF242C-10FA-47FE-BC6B-045B295812CA}" name="Kształcenie na ocenianej uczelni ma/miało pozytywny wpływ na zwiększenie moich zarobków." totalsRowDxfId="242"/>
    <tableColumn id="38" xr3:uid="{22DB960F-1A91-4EB9-90EA-0C8BB104EBCF}" name="Moje zarobki w pierwszym roku po ukończeniu studiów były satysfakcjonujące." totalsRowDxfId="241"/>
    <tableColumn id="39" xr3:uid="{1AC1C2EA-FD9C-42F6-8732-E88F90068CC4}" name="Moje zarobki po 3. latach po ukończeniu studiów były satysfakcjonujące." totalsRowDxfId="240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239"/>
    <tableColumn id="41" xr3:uid="{53D325CD-E5E6-4C9E-81B0-775315EF4E8E}" name="w pierwszym roku po ukończeniu studiów : wybierz wartość z listy rozwijanej4" totalsRowDxfId="238"/>
    <tableColumn id="42" xr3:uid="{A6B799C8-D5F2-4C68-B71E-F83C3A6075B7}" name="w 3 lata po ukończeniu studiów : wybierz wartość z listy rozwijanej5" totalsRowDxfId="237"/>
    <tableColumn id="43" xr3:uid="{BC589F24-9BD1-4C2F-9397-D51311E5EC39}" name="Jakie inne (poza zarobkami) efekty kształcenia na ocenianej uczelni dostrzegasz obecnie?" totalsRowDxfId="236"/>
    <tableColumn id="44" xr3:uid="{A11C2A67-EC51-4621-92CF-198235F6DDC5}" name="Co wpływało na twoją satysfakcję ze studiowania?_x000a_" totalsRowDxfId="235"/>
    <tableColumn id="45" xr3:uid="{D388932F-1A0A-4689-AB91-4A4F282D3CA9}" name="Kolumna6" totalsRowDxfId="234"/>
    <tableColumn id="46" xr3:uid="{F488CAF2-B800-439E-8332-DDBED1146AB6}" name="Jakiego rodzaju były Twoje studia?" totalsRowDxfId="233"/>
    <tableColumn id="47" xr3:uid="{00FDD7E1-EBD3-4653-98C4-D74FA980AF99}" name="Pole dodatkowe7" totalsRowDxfId="232"/>
    <tableColumn id="48" xr3:uid="{E33AE7B1-7892-48E4-9DBC-AE5EF9034B4E}" name="Czy jesteś rodzicem / opiekunem absolwenta uczelni wyższej?" totalsRowFunction="custom" dataDxfId="231" totalsRowDxfId="230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229"/>
    <tableColumn id="50" xr3:uid="{6BB0F22F-B640-446D-B936-91DFADFA81F1}" name="Jak się nazywa uczelnia, którą ukończył/a Twoja/Twój podopieczna/podopieczny? (proszę o wybranie jednej uczelni podlegającej ocenie)" totalsRowDxfId="228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227"/>
    <tableColumn id="52" xr3:uid="{26244E73-3F31-4ED7-99CC-718C75773980}" name="Czy ukończony kierunek był kierunkiem technicznym, tzn. takim, po którym uzyskano tytuł inżyniera?" totalsRowDxfId="226"/>
    <tableColumn id="53" xr3:uid="{F00033CF-BE1C-4649-B99E-A3FC496AF05C}" name="Jak się nazywa kierunek, który ukończył/a Twoja/Twój podopieczna/podopieczny?" totalsRowDxfId="225"/>
    <tableColumn id="54" xr3:uid="{8AE8E0B0-E59A-4253-8E89-6503DDEE44E9}" name="Moja satysfakcja z (efektów) usług edukacyjnych ocenianej uczelni jest wysoka.8" totalsRowDxfId="224"/>
    <tableColumn id="55" xr3:uid="{D72C8628-4CEE-4A6D-BD58-0114E59C605E}" name="Usługi edukacyjne ocenianej uczelni mają wysoką wartość (okazja / szansa rozwoju własnego lub kariery).9" totalsRowDxfId="223"/>
    <tableColumn id="56" xr3:uid="{53B5753F-3212-43BB-931D-3559FF6976DF}" name="Kształcenie na ocenianej uczelni ma/będzie miało pozytywny wpływ na zwiększenie zarobków mojej/mojego podopiecznej/podopiecznego." totalsRowDxfId="222"/>
    <tableColumn id="57" xr3:uid="{A9563BF9-19A1-46BF-9F31-4690E6A2385C}" name="Zarobki uzyskiwane przez mojego/moją podopieczną/podopiecznego w pierwszym roku po ukończeniu studiów były satysfakcjonujące (z mojego punktu widzenia)" totalsRowDxfId="221"/>
    <tableColumn id="58" xr3:uid="{BCC66B2D-86FD-4227-A5E9-2164B45893B0}" name="Zarobki uzyskiwane przez mojego/moją podopieczną/podopiecznego w 3 lata po ukończeniu studiów były satysfakcjonujące (z mojego punktu widzenia)" totalsRowDxfId="220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219"/>
    <tableColumn id="60" xr3:uid="{94345A4F-9EAB-4FE8-A337-CCC43CF7D9D3}" name="Jakie inne (poza zarobkami) efekty kształcenia na ocenianej uczelni się dostrzegasz obecnie?" totalsRowDxfId="218"/>
    <tableColumn id="61" xr3:uid="{05A46EBB-09E0-4294-881F-C45E3B66E515}" name="Jakiego rodzaju były studia, które ukończył/a Twoja/Twój podopieczna/podopieczny?" totalsRowDxfId="217"/>
    <tableColumn id="62" xr3:uid="{FE0A86D0-775F-435F-8B90-2A7B29B0B462}" name="Pole dodatkowe10" totalsRowDxfId="216"/>
    <tableColumn id="63" xr3:uid="{3C426FB0-5F3F-46C5-9E34-DD901FAA5A82}" name="Jeśli Twoja/Twój podopieczna/podopieczny ukończył/a również inne szkoły / kierunki studiów to proszę wpisz je tutaj." totalsRowDxfId="215"/>
    <tableColumn id="64" xr3:uid="{7B6238C1-79C7-4C59-B174-F693B78A54C8}" name="Czy będziesz oceniał uczelnię ukończoną przez drugiego podopiecznego?" totalsRowDxfId="214"/>
    <tableColumn id="65" xr3:uid="{72E69603-FDA8-458A-B355-C3F6177E2961}" name="Jak się nazywa uczelnia, którą ukończył/a Twoja/Twój podopieczna/podopieczny? (proszę o wybranie jednej uczelni podlegającej ocenie)11" totalsRowDxfId="213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212"/>
    <tableColumn id="67" xr3:uid="{51123307-FDE7-45CE-81D3-F8045A68CEB5}" name="Czy ukończony kierunek był kierunkiem technicznym, tzn. takim, po którym uzyskano tytuł inżyniera?13" totalsRowDxfId="211"/>
    <tableColumn id="68" xr3:uid="{E4E7F2FA-608F-4A76-95F9-FC633CF4A850}" name="Jak się nazywa kierunek, który ukończył/a Twoja/Twój podopieczna/podopieczny?14" totalsRowDxfId="210"/>
    <tableColumn id="69" xr3:uid="{2E0E2D92-CA45-4C29-AD1B-4107E60D2F5C}" name="Moja satysfakcja z (efektów) usług edukacyjnych ocenianej uczelni jest wysoka.15" totalsRowDxfId="209"/>
    <tableColumn id="70" xr3:uid="{22160B39-79EF-424B-9B2E-4205C1098DC4}" name="Usługi edukacyjne ocenianej uczelni mają wysoką wartość (okazja / szansa rozwoju własnego lub kariery).16" totalsRowDxfId="208"/>
    <tableColumn id="71" xr3:uid="{C5566328-CB9E-4672-AFA5-9A52C7FB1583}" name="Kształcenie na ocenianej uczelni ma/będzie miało pozytywny wpływ na zwiększenie zarobków mojej/mojego podopiecznej/podopiecznego.17" totalsRowDxfId="207"/>
    <tableColumn id="72" xr3:uid="{ED11287D-6F12-40C0-8EAE-0190C96B2475}" name="Zarobki uzyskiwane przez mojego/moją podopieczną/podopiecznego w pierwszym roku po ukończeniu studiów były satysfakcjonujące (z mojego punktu widzenia)18" totalsRowDxfId="206"/>
    <tableColumn id="73" xr3:uid="{5767066B-CB1E-4AC7-93CC-8721926057A1}" name="Zarobki uzyskiwane przez mojego/moją podopieczną/podopiecznego w 3 lata po ukończeniu studiów były satysfakcjonujące (z mojego punktu widzenia)19" totalsRowDxfId="205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204"/>
    <tableColumn id="75" xr3:uid="{91099E12-4AAE-4B3A-8B21-456B23B8E9C4}" name="Jakie inne (poza zarobkami) efekty kształcenia na ocenianej uczelni się dostrzegasz obecnie?21" totalsRowDxfId="203"/>
    <tableColumn id="76" xr3:uid="{F99FCD0E-141B-4162-9375-D912B829669B}" name="Jakiego rodzaju były studia, które ukończył/a Twoja/Twój podopieczna/podopieczny?22" totalsRowDxfId="202"/>
    <tableColumn id="77" xr3:uid="{9A935095-7069-4B79-9C19-ABCE05DB2953}" name="Pole dodatkowe23" totalsRowDxfId="201"/>
    <tableColumn id="78" xr3:uid="{73C50495-9837-4BA7-BE74-ED58E001D39F}" name="Jeśli Twoja/Twój podopieczna/podopieczny ukończył/a również inne szkoły / kierunki studiów to proszę wpisz je tutaj.24" totalsRowDxfId="200"/>
    <tableColumn id="79" xr3:uid="{2D9E6799-1116-4EBA-A4A6-EC67B715E65E}" name="Czy będziesz oceniał uczelnię ukończoną przez trzeciego podopiecznego?" totalsRowDxfId="199"/>
    <tableColumn id="80" xr3:uid="{98900E64-17FE-4566-98C9-57CB606D4413}" name="Jak się nazywa uczelnia, którą ukończył/a Twoja/Twój podopieczna/podopieczny? (proszę o wybranie jednej uczelni podlegającej ocenie)25" totalsRowDxfId="198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197"/>
    <tableColumn id="82" xr3:uid="{367FC414-3E67-4B03-A303-77F5139ABED4}" name="Czy ukończony kierunek był kierunkiem technicznym, tzn. takim, po którym uzyskano tytuł inżyniera?27" totalsRowDxfId="196"/>
    <tableColumn id="83" xr3:uid="{641F2969-C09A-425E-81A7-806949B38666}" name="Jak się nazywa kierunek, który ukończył/a Twoja/Twój podopieczna/podopieczny?28" totalsRowDxfId="195"/>
    <tableColumn id="84" xr3:uid="{6B2F3F5A-F4BF-41A2-85FA-BAC6E179E9A9}" name="Moja satysfakcja z (efektów) usług edukacyjnych ocenianej uczelni jest wysoka.29" totalsRowDxfId="194"/>
    <tableColumn id="85" xr3:uid="{792FE0EC-454A-47B2-9DEE-09E82A55AC5F}" name="Usługi edukacyjne ocenianej uczelni mają wysoką wartość (okazja / szansa rozwoju własnego lub kariery).30" totalsRowDxfId="193"/>
    <tableColumn id="86" xr3:uid="{4BD46113-3AB9-405D-8A53-F153B50E863D}" name="Kształcenie na ocenianej uczelni ma/będzie miało pozytywny wpływ na zwiększenie zarobków mojej/mojego podopiecznej/podopiecznego.31" totalsRowDxfId="192"/>
    <tableColumn id="87" xr3:uid="{4CA1C5A8-3427-428B-B7BA-106EBBA85C17}" name="Zarobki uzyskiwane przez mojego/moją podopieczną/podopiecznego w pierwszym roku po ukończeniu studiów były satysfakcjonujące (z mojego punktu widzenia)32" totalsRowDxfId="191"/>
    <tableColumn id="88" xr3:uid="{C37B06BC-EDB5-471E-9C95-05232AC9EACD}" name="Zarobki uzyskiwane przez mojego/moją podopieczną/podopiecznego w 3 lata po ukończeniu studiów były satysfakcjonujące (z mojego punktu widzenia)33" totalsRowDxfId="190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189"/>
    <tableColumn id="90" xr3:uid="{CEEBCBE8-4DF4-40BE-ADF0-2750A2BF2609}" name="Jakie inne (poza zarobkami) efekty kształcenia na ocenianej uczelni się dostrzegasz obecnie?35" totalsRowDxfId="188"/>
    <tableColumn id="91" xr3:uid="{F1A613DC-A59A-419D-8838-D041B4273E91}" name="Jakiego rodzaju były studia, które ukończył/a Twoja/Twój podopieczna/podopieczny?36" totalsRowDxfId="187"/>
    <tableColumn id="92" xr3:uid="{E26BB465-B221-4E80-9D41-43786B72F743}" name="Pole dodatkowe37" totalsRowDxfId="186"/>
    <tableColumn id="93" xr3:uid="{12E07FC6-6ACA-44C4-A376-689F504EB460}" name="Jeśli Twoja/Twój podopieczna/podopieczny ukończył/a również inne szkoły / kierunki studiów to proszę wpisz je tutaj.38" totalsRowDxfId="185"/>
    <tableColumn id="94" xr3:uid="{4FBA703D-33E9-44C4-BD22-B3FC7B168C76}" name="Czy jesteś aktualnie pracownikiem administracyjnym uczelni wyższej?" totalsRowFunction="custom" dataDxfId="184" totalsRowDxfId="183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182"/>
    <tableColumn id="96" xr3:uid="{43902112-5836-47AC-AA75-A65F0D4C7817}" name="Na jakim wydziale pracujesz?" totalsRowDxfId="181"/>
    <tableColumn id="97" xr3:uid="{68D4A5FB-B6F1-410C-BBCE-5D895E75D7EF}" name="Moja satysfakcja z pracy na ocenianej uczelni jest wysoka." totalsRowDxfId="180"/>
    <tableColumn id="98" xr3:uid="{097FDF01-C103-4396-9EE5-DC463D453E58}" name="Atmosfera w zespole współpracowników jest dobra." totalsRowDxfId="179"/>
    <tableColumn id="99" xr3:uid="{5B99CA3A-6D7C-4D3E-B448-2EDAF4856B42}" name="Moje zarobki są satysfakcjonujące." totalsRowDxfId="178"/>
    <tableColumn id="100" xr3:uid="{90B0699F-2BC7-4D96-9800-8B1DB165F81E}" name="Praca na ocenianej uczelni daje mi duże szanse rozwoju." totalsRowDxfId="177"/>
    <tableColumn id="101" xr3:uid="{5CB95189-87A6-4F97-B291-A05336B23F22}" name="Wartość wykształcenia zdobywanego przez studentów ocenianej uczelni jest wysoka." totalsRowDxfId="176"/>
    <tableColumn id="102" xr3:uid="{056CF7BB-B947-41A0-AC24-42A1CBCF15BD}" name="Zdobyte na ocenianej uczelni wykształcenie ma pozytywny wpływ na zwiększenie zarobków absolwentów." totalsRowDxfId="175"/>
    <tableColumn id="103" xr3:uid="{2AB65CA7-05ED-4EB7-B603-B864E6D6745F}" name="Jakie inne (poza zarobkami) efekty kształcenia na ocenianej uczelni się dostrzegasz obecnie?39" totalsRowDxfId="174"/>
    <tableColumn id="104" xr3:uid="{DC472BA3-8D88-44A6-B5C1-5BF9558627FA}" name="Czy jesteś aktualnie pracownikiem naukowym lub dydaktycznym uczelni wyższej?" totalsRowFunction="custom" dataDxfId="173" totalsRowDxfId="172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171"/>
    <tableColumn id="106" xr3:uid="{2E39D77C-CC0F-41F1-8F10-30523EA3DE78}" name="Na jakim wydziale pracujesz?41" totalsRowDxfId="170"/>
    <tableColumn id="107" xr3:uid="{B9CFBDFF-9DC1-4556-855E-D4463D760A19}" name="Moja satysfakcja z pracy na ocenianej uczelni jest wysoka.42" totalsRowDxfId="169"/>
    <tableColumn id="108" xr3:uid="{158CA86A-249B-4193-A207-D38756E887C7}" name="Atmosfera w zespole współpracowników jest dobra.43" totalsRowDxfId="168"/>
    <tableColumn id="109" xr3:uid="{AC3090A9-EC3C-4C62-8AA9-F261EAB7887F}" name="Moje zarobki są satysfakcjonujące.44" totalsRowDxfId="167"/>
    <tableColumn id="110" xr3:uid="{9E04970F-962C-490E-A570-2D0912A5E57D}" name="Praca na ocenianej uczelni daje mi duże szanse rozwoju.45" totalsRowDxfId="166"/>
    <tableColumn id="111" xr3:uid="{C148AE52-9ADC-45EF-8DBC-27F0F1F05355}" name="Wartość wykształcenia zdobywanego przez studentów ocenianej uczelni jest wysoka.46" totalsRowDxfId="165"/>
    <tableColumn id="112" xr3:uid="{63921520-0FA3-4905-ACEB-02AFFB69B471}" name="Zdobyte na ocenianej uczelni wykształcenie ma pozytywny wpływ na zwiększenie zarobków absolwentów.47" totalsRowDxfId="164"/>
    <tableColumn id="113" xr3:uid="{E32B227A-B5B2-41A4-9CEB-B75A56696D75}" name="Jakie inne (poza zarobkami) efekty kształcenia na ocenianej uczelni dostrzegasz obecnie?48" totalsRowDxfId="163"/>
    <tableColumn id="114" xr3:uid="{98E95A67-6B14-4A2E-AB34-682AE1A049DC}" name="Czy jesteś przedstawicielem władz uczelni z grupy rektorów, prorektorów, dziekanów, prodziekanów, członków senatu lub członków rady uczelni?" totalsRowFunction="custom" dataDxfId="162" totalsRowDxfId="161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160"/>
    <tableColumn id="116" xr3:uid="{55CD3327-D03D-49EA-AD7A-8A8492F8FF76}" name="Kolumna3" totalsRowDxfId="159"/>
    <tableColumn id="117" xr3:uid="{BF356D61-903B-4604-89F3-2B471880C5B8}" name="Kolumna4" totalsRowDxfId="158"/>
    <tableColumn id="118" xr3:uid="{7173EDEB-5382-4DCE-AA15-A72B322560D6}" name="Kolumna5" totalsRowDxfId="157"/>
    <tableColumn id="119" xr3:uid="{6200F07F-FA1F-4A3F-B8ED-B934678483AF}" name="Jak się nazywa uczelnia którą będziesz oceniać (jako przedstawiciel jej władz)?" totalsRowDxfId="156"/>
    <tableColumn id="120" xr3:uid="{E6250DE6-1A12-41F3-90EE-1B4F673F6E58}" name="Efekty działań ocenianej uczelni na rzesz jakości edukacji są dobre" totalsRowDxfId="155"/>
    <tableColumn id="121" xr3:uid="{8AE05FEE-B731-4F93-90B6-915E5774E346}" name="Wartość wykształcenia zdobywanego przez studentów na ocenianej uczelni jest wysoka." totalsRowDxfId="154"/>
    <tableColumn id="122" xr3:uid="{E115058D-8C9C-450E-8DA2-D64EB971F57D}" name="Zdobyte przez studentów ocenianej uczelni wykształcenie miało/ma pozytywny wpływ na ich zarobki." totalsRowDxfId="153"/>
    <tableColumn id="123" xr3:uid="{6FEBB446-227D-4EA1-B507-206156E53809}" name="Efekty działań ocenianej uczelni na rzecz jakości edukacji mają dobry wpływ na rozwój regionu." totalsRowDxfId="152"/>
    <tableColumn id="124" xr3:uid="{01E38E74-9E44-4BFF-97FF-3B0FF3F7CDD0}" name="Efekty działań ocenianej uczelni na rzecz jakości edukacji mają dobry wpływ na rozwój Polski." totalsRowDxfId="151"/>
    <tableColumn id="125" xr3:uid="{F17A6FA5-F0F2-48AD-B639-9161F59ACD49}" name="Współpraca ocenianej uczelni z biznesem ma pozytywne efekty dla rozwoju regionu / kraju." totalsRowDxfId="150"/>
    <tableColumn id="126" xr3:uid="{81D0BDE5-B5BD-41AD-AE49-0F05E206FF4F}" name="Ogólny poziom mojej satysfakcji z jakości usług edukacyjnych ocenianej uczelni jest wysoki." totalsRowDxfId="149"/>
    <tableColumn id="127" xr3:uid="{E1B74221-E8AC-4764-9FBA-17BC7A8DAB4F}" name="Studenci : wybierz wartość z listy rozwijanej" totalsRowDxfId="148"/>
    <tableColumn id="128" xr3:uid="{9521E128-6D78-41F6-9BED-3F1F3009376D}" name="Absolwenci : wybierz wartość z listy rozwijanej" totalsRowDxfId="147"/>
    <tableColumn id="129" xr3:uid="{F972B7F0-4237-45DD-B8D9-6E5F80BC382C}" name="Rodzice absolwentów : wybierz wartość z listy rozwijanej" totalsRowDxfId="146"/>
    <tableColumn id="130" xr3:uid="{D18127FA-4AAC-43F7-8718-648B089DA3AE}" name="Pracownicy administracyjni : wybierz wartość z listy rozwijanej" totalsRowDxfId="145"/>
    <tableColumn id="131" xr3:uid="{9AD30943-8FF3-4081-BC52-0A68F33FA1E6}" name="Pracownicy naukowi i dydaktyczni : wybierz wartość z listy rozwijanej" totalsRowDxfId="144"/>
    <tableColumn id="132" xr3:uid="{F15383FF-5030-41F2-B790-DA1B9ACCD614}" name="Pracodawcy : wybierz wartość z listy rozwijanej" totalsRowDxfId="143"/>
    <tableColumn id="133" xr3:uid="{A113041C-1CEA-48AE-A9F9-6427226B931F}" name="Władze samorządowe i centralne : wybierz wartość z listy rozwijanej" totalsRowDxfId="142"/>
    <tableColumn id="134" xr3:uid="{2391059C-06A8-4E9F-9A30-2923C913E592}" name="Pole dodatkowe4" totalsRowDxfId="141"/>
    <tableColumn id="135" xr3:uid="{87323607-8918-4675-942B-66DDA6ACC52D}" name="Studenci : wybierz wartość z listy rozwijanej5" totalsRowDxfId="140"/>
    <tableColumn id="136" xr3:uid="{575464E3-342E-4010-A0B5-F16E0DA7F25D}" name="Absolwenci : wybierz wartość z listy rozwijanej6" totalsRowDxfId="139"/>
    <tableColumn id="137" xr3:uid="{3C4E7A29-9534-46F7-9E09-353DAEA57455}" name="Rodzice absolwentów : wybierz wartość z listy rozwijanej7" totalsRowDxfId="138"/>
    <tableColumn id="138" xr3:uid="{5EFF4867-813D-4D19-AFD2-41795D704E9D}" name="Pracownicy administracyjni : wybierz wartość z listy rozwijanej8" totalsRowDxfId="137"/>
    <tableColumn id="139" xr3:uid="{BD3A3545-6744-40C8-B6F9-128B604A0016}" name="Pracownicy naukowi i dydaktyczni : wybierz wartość z listy rozwijanej9" totalsRowDxfId="136"/>
    <tableColumn id="140" xr3:uid="{A370427A-746A-432F-8439-DE3E0F05E90C}" name="Pracodawcy : wybierz wartość z listy rozwijanej10" totalsRowDxfId="135"/>
    <tableColumn id="141" xr3:uid="{A6D0879A-E0B6-4F9C-B8AB-CCB9C168853D}" name="Władze samorządowe i centralne : wybierz wartość z listy rozwijanej11" totalsRowDxfId="134"/>
    <tableColumn id="142" xr3:uid="{ED69D784-3A72-4212-8A94-FFF937BB5636}" name="Pole dodatkowe12" totalsRowDxfId="133"/>
    <tableColumn id="143" xr3:uid="{F9376235-C8DC-451D-B95A-275409F154F3}" name="Czy jesteś przedstawicielem firmy, w której są zatrudniani absolwenci uczelni wyższych (tytuł licencjata, magistra lub wyższy)?" totalsRowFunction="custom" dataDxfId="132" totalsRowDxfId="131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130"/>
    <tableColumn id="145" xr3:uid="{FEA12265-815B-4115-947C-C4D7389958E8}" name="Ile uczelni będziesz oceniać?" totalsRowDxfId="129"/>
    <tableColumn id="146" xr3:uid="{26F5BBF0-E63C-4FC8-A2F3-F0ADC728D5E4}" name="Jak się nazywa uczelnia, którą ocenisz? " totalsRowDxfId="128"/>
    <tableColumn id="147" xr3:uid="{61714612-8B24-4377-BCF5-066C33634E6F}" name="Moja satysfakcja z (efektów) usług edukacyjnych na ocenianej uczelni jest wysoka." totalsRowDxfId="127"/>
    <tableColumn id="148" xr3:uid="{043BF385-CFC6-4AC5-BD7D-2DC21351418F}" name="Kompetencje absolwentów ocenianej uczelni są wysokie." totalsRowDxfId="126"/>
    <tableColumn id="149" xr3:uid="{35B1450E-E76E-4137-923C-C1196FE6A242}" name="Zarobki absolwentów ocenianej uczelni zatrudnionych w mojej firmie są wyższe od zarobków absolwentów innych polskich uczelni." totalsRowDxfId="125"/>
    <tableColumn id="150" xr3:uid="{46264593-E5FF-4A8E-9E32-B5CDAD83DB38}" name="Czy w Twojej firmie są zatrudniani absolwenci uczelni w pierwszym roku po ukończeniu studiów (do 12 miesięcy od uzyskania dyplomu)?" totalsRowDxfId="124"/>
    <tableColumn id="151" xr3:uid="{AFEC3724-7638-4FBB-9B74-E3C5F372DFD7}" name="Jakie kompetencje absolwentów ocenianej uczelni są w Twojej firmie najwyżej wyceniane?" totalsRowDxfId="123"/>
    <tableColumn id="152" xr3:uid="{7C41F20E-87DA-419A-A4DC-8FC7E15280E1}" name="Jakiego rodzaju prace wykonują absolwenci ocenianej uczelni w Twojej firmie?" totalsRowDxfId="122"/>
    <tableColumn id="153" xr3:uid="{A53B26E4-0EB5-4875-918F-C84DFA999490}" name="Czy będziesz oceniał drugą uczelnię?" totalsRowDxfId="121"/>
    <tableColumn id="154" xr3:uid="{C51996BB-6F72-462D-AF3A-889816D9376D}" name="Jak się nazywa uczelnia, którą ocenisz? 13" totalsRowDxfId="120"/>
    <tableColumn id="155" xr3:uid="{C4DC7D31-6CB7-4667-BEF7-8EFAA1443E26}" name="Moja satysfakcja z (efektów) usług edukacyjnych na ocenianej uczelni jest wysoka.14" totalsRowDxfId="119"/>
    <tableColumn id="156" xr3:uid="{6BE5AEB2-D87C-4FAD-8A78-12F3665EA35B}" name="Kompetencje absolwentów ocenianej uczelni są wysokie.15" totalsRowDxfId="118"/>
    <tableColumn id="157" xr3:uid="{E68B03D6-C361-4634-B98C-870BC31CEDD8}" name="Zarobki absolwentów ocenianej uczelni zatrudnionych w mojej firmie są wyższe od zarobków absolwentów innych polskich uczelni.16" totalsRowDxfId="117"/>
    <tableColumn id="158" xr3:uid="{7AE77260-6064-4321-A8D8-8F0B2D560514}" name="Czy w Twojej firmie są zatrudniani absolwenci uczelni w pierwszym roku po ukończeniu studiów (do 12 miesięcy od uzyskania dyplomu)?17" totalsRowDxfId="116"/>
    <tableColumn id="159" xr3:uid="{02179DC7-236C-405B-9717-3820DB37DCDE}" name="Jakie kompetencje absolwentów ocenianej uczelni są w Twojej firmie najwyżej wyceniane?18" totalsRowDxfId="115"/>
    <tableColumn id="160" xr3:uid="{ACD9DA00-A265-43F3-A8CD-4AB9D52D21A7}" name="Jakiego rodzaju prace wykonują absolwenci ocenianej uczelni w Twojej firmie?19" totalsRowDxfId="114"/>
    <tableColumn id="161" xr3:uid="{40C65435-9246-41B9-9D13-8617AD0D615B}" name="Czy będziesz oceniał trzecią uczelnię techniczną?" totalsRowDxfId="113"/>
    <tableColumn id="162" xr3:uid="{6D52B5AA-D38E-4A9C-9FC4-C5F27711E4B2}" name="Jak się nazywa uczelnia, którą ocenisz? 20" totalsRowDxfId="112"/>
    <tableColumn id="163" xr3:uid="{121D311A-63E4-4EF2-A0DA-FAA985067046}" name="Moja satysfakcja z (efektów) usług edukacyjnych na ocenianej uczelni jest wysoka.21" totalsRowDxfId="111"/>
    <tableColumn id="164" xr3:uid="{F282EA05-D156-4529-9BC1-8600524F81FD}" name="Kompetencje absolwentów ocenianej uczelni są wysokie.22" totalsRowDxfId="110"/>
    <tableColumn id="165" xr3:uid="{58F11C5E-414B-4C75-8CE5-1580D3F448A9}" name="Zarobki absolwentów ocenianej uczelni zatrudnionych w mojej firmie są wyższe od zarobków absolwentów innych polskich uczelni.23" totalsRowDxfId="109"/>
    <tableColumn id="166" xr3:uid="{3E1C84AB-DCF6-4B96-B25A-E3AA8A32B928}" name="Czy w Twojej firmie są zatrudniani absolwenci uczelni w pierwszym roku po ukończeniu studiów (do 12 miesięcy od uzyskania dyplomu)?24" totalsRowDxfId="108"/>
    <tableColumn id="167" xr3:uid="{4C87DA44-3851-4B6F-8471-F5B274EEF69E}" name="Jakie kompetencje absolwentów ocenianej uczelni są w Twojej firmie najwyżej wyceniane?25" totalsRowDxfId="107"/>
    <tableColumn id="168" xr3:uid="{4889D3B6-442C-490C-9642-B9781EC55E1C}" name="Jakiego rodzaju prace wykonują absolwenci ocenianej uczelni są w Twojej firmie?" totalsRowDxfId="106"/>
    <tableColumn id="169" xr3:uid="{370CF6EE-F46C-4CFF-9496-7844071DF992}" name="Czy jesteś przedstawicielem władz samorządowych lub centralnych Rzeczypospolitej Polskiej?" totalsRowFunction="custom" dataDxfId="105" totalsRowDxfId="104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103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10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101">
  <autoFilter ref="B11:C41" xr:uid="{153EF96D-20D3-4BD5-AB25-706F6B338490}"/>
  <tableColumns count="2">
    <tableColumn id="1" xr3:uid="{F3934641-58AD-451D-A35B-5D57D7E0E414}" name="Nazwa uczelni" dataDxfId="100"/>
    <tableColumn id="2" xr3:uid="{011F8DAE-7C60-444B-B4A2-78D05A325532}" name="Kategoria uczelni" dataDxfId="9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C52" totalsRowShown="0" headerRowDxfId="98">
  <autoFilter ref="B44:C52" xr:uid="{68DE2C12-96E3-4A1C-8B94-8F1447F9EB90}"/>
  <tableColumns count="2">
    <tableColumn id="1" xr3:uid="{6B73594D-97F8-40B5-8D98-2D51B43C79AA}" name="Opis słowny oceny"/>
    <tableColumn id="2" xr3:uid="{804EFE98-5770-4860-8B57-889FCCD88199}" name="Przypisana wartość ocen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G227"/>
  <sheetViews>
    <sheetView tabSelected="1" topLeftCell="A202" workbookViewId="0">
      <selection activeCell="H223" sqref="H223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2341</v>
      </c>
    </row>
    <row r="5" spans="1:3" x14ac:dyDescent="0.45">
      <c r="A5">
        <v>138</v>
      </c>
      <c r="B5" t="s">
        <v>2342</v>
      </c>
    </row>
    <row r="6" spans="1:3" x14ac:dyDescent="0.45">
      <c r="A6" s="30">
        <f>A5/A4</f>
        <v>0.53281853281853286</v>
      </c>
      <c r="B6" t="s">
        <v>2345</v>
      </c>
      <c r="C6" s="30"/>
    </row>
    <row r="7" spans="1:3" x14ac:dyDescent="0.45">
      <c r="A7">
        <v>249</v>
      </c>
      <c r="B7" t="s">
        <v>2344</v>
      </c>
    </row>
    <row r="8" spans="1:3" x14ac:dyDescent="0.45">
      <c r="A8">
        <v>133</v>
      </c>
      <c r="B8" t="s">
        <v>2343</v>
      </c>
    </row>
    <row r="9" spans="1:3" x14ac:dyDescent="0.45">
      <c r="A9" s="30">
        <f>A8/A7</f>
        <v>0.53413654618473894</v>
      </c>
      <c r="B9" t="s">
        <v>2345</v>
      </c>
      <c r="C9" s="30"/>
    </row>
    <row r="16" spans="1:3" x14ac:dyDescent="0.45">
      <c r="A16" s="20" t="s">
        <v>2336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2338</v>
      </c>
      <c r="C28" s="29" t="s">
        <v>2321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2339</v>
      </c>
    </row>
    <row r="34" spans="1:3" x14ac:dyDescent="0.45">
      <c r="C34" s="29" t="s">
        <v>2321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2318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t="s">
        <v>2317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t="s">
        <v>2316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t="s">
        <v>2315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t="s">
        <v>2314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2340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2346</v>
      </c>
    </row>
    <row r="45" spans="1:3" x14ac:dyDescent="0.45">
      <c r="C45" s="29" t="s">
        <v>2321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2351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2321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2321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2318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t="s">
        <v>2317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t="s">
        <v>2316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t="s">
        <v>2315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t="s">
        <v>2314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2340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2324</v>
      </c>
      <c r="B86" s="29" t="s">
        <v>2323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2322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2331</v>
      </c>
      <c r="B119" s="29" t="s">
        <v>2330</v>
      </c>
      <c r="C119" s="29" t="s">
        <v>2337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2325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2327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2326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7" x14ac:dyDescent="0.45">
      <c r="A133" s="29" t="s">
        <v>2352</v>
      </c>
      <c r="C133" t="s">
        <v>2353</v>
      </c>
      <c r="E133" s="20" t="s">
        <v>2354</v>
      </c>
      <c r="F133" s="20" t="s">
        <v>2355</v>
      </c>
    </row>
    <row r="134" spans="1:7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>PRODUCT(A134,C134)</f>
        <v>21</v>
      </c>
      <c r="E134">
        <f>ABS(A134-$D$142)</f>
        <v>1.9285714285714288</v>
      </c>
      <c r="F134">
        <f>PRODUCT(C134,E134)</f>
        <v>5.7857142857142865</v>
      </c>
    </row>
    <row r="135" spans="1:7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ref="D135:D141" si="6">PRODUCT(A135,C135)</f>
        <v>12</v>
      </c>
      <c r="E135">
        <f t="shared" ref="E135:E139" si="7">ABS(A135-$D$142)</f>
        <v>0.92857142857142883</v>
      </c>
      <c r="F135">
        <f t="shared" ref="F135:F140" si="8">PRODUCT(C135,E135)</f>
        <v>1.8571428571428577</v>
      </c>
    </row>
    <row r="136" spans="1:7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>
        <f t="shared" si="7"/>
        <v>7.1428571428571175E-2</v>
      </c>
      <c r="F136">
        <f t="shared" si="8"/>
        <v>0.35714285714285587</v>
      </c>
    </row>
    <row r="137" spans="1:7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>
        <f t="shared" si="7"/>
        <v>1.0714285714285712</v>
      </c>
      <c r="F137">
        <f t="shared" si="8"/>
        <v>2.1428571428571423</v>
      </c>
    </row>
    <row r="138" spans="1:7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>
        <f t="shared" si="7"/>
        <v>2.0714285714285712</v>
      </c>
      <c r="F138">
        <f t="shared" si="8"/>
        <v>2.0714285714285712</v>
      </c>
    </row>
    <row r="139" spans="1:7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>
        <f t="shared" si="7"/>
        <v>3.0714285714285712</v>
      </c>
      <c r="F139">
        <f t="shared" si="8"/>
        <v>3.0714285714285712</v>
      </c>
    </row>
    <row r="140" spans="1:7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>
        <f>ABS(A140-$D$142)</f>
        <v>4.0714285714285712</v>
      </c>
      <c r="F140">
        <f t="shared" si="8"/>
        <v>0</v>
      </c>
    </row>
    <row r="141" spans="1:7" x14ac:dyDescent="0.45">
      <c r="A141" t="s">
        <v>2333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</row>
    <row r="142" spans="1:7" x14ac:dyDescent="0.45">
      <c r="B142" s="20" t="s">
        <v>2358</v>
      </c>
      <c r="C142" s="29">
        <f>SUM(C134:C141)</f>
        <v>14</v>
      </c>
      <c r="D142" s="46">
        <f>SUM(D134:D141)/C143</f>
        <v>5.0714285714285712</v>
      </c>
      <c r="E142" s="20" t="s">
        <v>2360</v>
      </c>
      <c r="F142" s="46">
        <f>SUM(F134:F141)/C143</f>
        <v>1.0918367346938775</v>
      </c>
      <c r="G142" s="20" t="s">
        <v>2356</v>
      </c>
    </row>
    <row r="143" spans="1:7" x14ac:dyDescent="0.45">
      <c r="B143" s="20" t="s">
        <v>2359</v>
      </c>
      <c r="C143">
        <f>C142-C141</f>
        <v>14</v>
      </c>
      <c r="D143" s="33">
        <f>D142/7</f>
        <v>0.72448979591836726</v>
      </c>
    </row>
    <row r="145" spans="1:7" x14ac:dyDescent="0.45">
      <c r="A145" s="29" t="s">
        <v>2357</v>
      </c>
      <c r="C145" t="s">
        <v>2353</v>
      </c>
      <c r="E145" s="20" t="s">
        <v>2354</v>
      </c>
      <c r="F145" s="20" t="s">
        <v>2355</v>
      </c>
    </row>
    <row r="146" spans="1:7" x14ac:dyDescent="0.45">
      <c r="A146">
        <v>7</v>
      </c>
      <c r="B146" t="s">
        <v>169</v>
      </c>
      <c r="C146">
        <f>COUNTIFS(AnalizaCzyste[Moja satysfakcja z (efektów) usług edukacyjnych ocenianej uczelni jest wysoka.],B146,AnalizaCzyste[Czy jesteś absolwentem uczelni wyższej?],"*"&amp;"Tak"&amp;"*")</f>
        <v>17</v>
      </c>
      <c r="D146">
        <f>PRODUCT(A146,C146)</f>
        <v>119</v>
      </c>
      <c r="E146">
        <f>ABS(A146-$D$154)</f>
        <v>1.7983193277310923</v>
      </c>
      <c r="F146">
        <f>PRODUCT(C146,E146)</f>
        <v>30.571428571428569</v>
      </c>
    </row>
    <row r="147" spans="1:7" x14ac:dyDescent="0.45">
      <c r="A147">
        <v>6</v>
      </c>
      <c r="B147" t="s">
        <v>150</v>
      </c>
      <c r="C147">
        <f>COUNTIFS(AnalizaCzyste[Moja satysfakcja z (efektów) usług edukacyjnych ocenianej uczelni jest wysoka.],B147,AnalizaCzyste[Czy jesteś absolwentem uczelni wyższej?],"*"&amp;"Tak"&amp;"*")</f>
        <v>43</v>
      </c>
      <c r="D147">
        <f t="shared" ref="D147:D153" si="9">PRODUCT(A147,C147)</f>
        <v>258</v>
      </c>
      <c r="E147">
        <f t="shared" ref="E147:E152" si="10">ABS(A147-$D$154)</f>
        <v>0.79831932773109227</v>
      </c>
      <c r="F147">
        <f t="shared" ref="F147:F152" si="11">PRODUCT(C147,E147)</f>
        <v>34.32773109243697</v>
      </c>
    </row>
    <row r="148" spans="1:7" x14ac:dyDescent="0.45">
      <c r="A148">
        <v>5</v>
      </c>
      <c r="B148" t="s">
        <v>162</v>
      </c>
      <c r="C148">
        <f>COUNTIFS(AnalizaCzyste[Moja satysfakcja z (efektów) usług edukacyjnych ocenianej uczelni jest wysoka.],B148,AnalizaCzyste[Czy jesteś absolwentem uczelni wyższej?],"*"&amp;"Tak"&amp;"*")</f>
        <v>32</v>
      </c>
      <c r="D148">
        <f t="shared" si="9"/>
        <v>160</v>
      </c>
      <c r="E148">
        <f t="shared" si="10"/>
        <v>0.20168067226890773</v>
      </c>
      <c r="F148">
        <f t="shared" si="11"/>
        <v>6.4537815126050475</v>
      </c>
    </row>
    <row r="149" spans="1:7" x14ac:dyDescent="0.45">
      <c r="A149">
        <v>4</v>
      </c>
      <c r="B149" t="s">
        <v>151</v>
      </c>
      <c r="C149">
        <f>COUNTIFS(AnalizaCzyste[Moja satysfakcja z (efektów) usług edukacyjnych ocenianej uczelni jest wysoka.],B149,AnalizaCzyste[Czy jesteś absolwentem uczelni wyższej?],"*"&amp;"Tak"&amp;"*")</f>
        <v>8</v>
      </c>
      <c r="D149">
        <f t="shared" si="9"/>
        <v>32</v>
      </c>
      <c r="E149">
        <f t="shared" si="10"/>
        <v>1.2016806722689077</v>
      </c>
      <c r="F149">
        <f t="shared" si="11"/>
        <v>9.6134453781512619</v>
      </c>
    </row>
    <row r="150" spans="1:7" x14ac:dyDescent="0.45">
      <c r="A150">
        <v>3</v>
      </c>
      <c r="B150" t="s">
        <v>128</v>
      </c>
      <c r="C150">
        <f>COUNTIFS(AnalizaCzyste[Moja satysfakcja z (efektów) usług edukacyjnych ocenianej uczelni jest wysoka.],B150,AnalizaCzyste[Czy jesteś absolwentem uczelni wyższej?],"*"&amp;"Tak"&amp;"*")</f>
        <v>12</v>
      </c>
      <c r="D150">
        <f t="shared" si="9"/>
        <v>36</v>
      </c>
      <c r="E150">
        <f t="shared" si="10"/>
        <v>2.2016806722689077</v>
      </c>
      <c r="F150">
        <f t="shared" si="11"/>
        <v>26.420168067226893</v>
      </c>
    </row>
    <row r="151" spans="1:7" x14ac:dyDescent="0.45">
      <c r="A151">
        <v>2</v>
      </c>
      <c r="B151" t="s">
        <v>236</v>
      </c>
      <c r="C151">
        <f>COUNTIFS(AnalizaCzyste[Moja satysfakcja z (efektów) usług edukacyjnych ocenianej uczelni jest wysoka.],B151,AnalizaCzyste[Czy jesteś absolwentem uczelni wyższej?],"*"&amp;"Tak"&amp;"*")</f>
        <v>6</v>
      </c>
      <c r="D151">
        <f t="shared" si="9"/>
        <v>12</v>
      </c>
      <c r="E151">
        <f t="shared" si="10"/>
        <v>3.2016806722689077</v>
      </c>
      <c r="F151">
        <f t="shared" si="11"/>
        <v>19.210084033613448</v>
      </c>
    </row>
    <row r="152" spans="1:7" x14ac:dyDescent="0.45">
      <c r="A152">
        <v>1</v>
      </c>
      <c r="B152" t="s">
        <v>129</v>
      </c>
      <c r="C152">
        <f>COUNTIFS(AnalizaCzyste[Moja satysfakcja z (efektów) usług edukacyjnych ocenianej uczelni jest wysoka.],B152,AnalizaCzyste[Czy jesteś absolwentem uczelni wyższej?],"*"&amp;"Tak"&amp;"*")</f>
        <v>1</v>
      </c>
      <c r="D152">
        <f t="shared" si="9"/>
        <v>1</v>
      </c>
      <c r="E152">
        <f t="shared" si="10"/>
        <v>4.2016806722689077</v>
      </c>
      <c r="F152">
        <f t="shared" si="11"/>
        <v>4.2016806722689077</v>
      </c>
    </row>
    <row r="153" spans="1:7" x14ac:dyDescent="0.45">
      <c r="A153" t="s">
        <v>2333</v>
      </c>
      <c r="B153" t="s">
        <v>132</v>
      </c>
      <c r="C153">
        <f>COUNTIFS(AnalizaCzyste[Moja satysfakcja z (efektów) usług edukacyjnych ocenianej uczelni jest wysoka.],B153,AnalizaCzyste[Czy jesteś absolwentem uczelni wyższej?],"*"&amp;"Tak"&amp;"*")</f>
        <v>1</v>
      </c>
      <c r="D153">
        <f t="shared" si="9"/>
        <v>1</v>
      </c>
    </row>
    <row r="154" spans="1:7" x14ac:dyDescent="0.45">
      <c r="B154" s="20" t="s">
        <v>2358</v>
      </c>
      <c r="C154" s="29">
        <f>SUM(C146:C153)</f>
        <v>120</v>
      </c>
      <c r="D154" s="46">
        <f>SUM(D146:D153)/C155</f>
        <v>5.2016806722689077</v>
      </c>
      <c r="E154" s="20" t="s">
        <v>2360</v>
      </c>
      <c r="F154" s="46">
        <f>SUM(F146:F153)/C155</f>
        <v>1.0991455405691688</v>
      </c>
      <c r="G154" s="20" t="s">
        <v>2356</v>
      </c>
    </row>
    <row r="155" spans="1:7" x14ac:dyDescent="0.45">
      <c r="B155" s="20" t="s">
        <v>2359</v>
      </c>
      <c r="C155">
        <f>C154-C153</f>
        <v>119</v>
      </c>
      <c r="D155" s="33">
        <f>D154/7</f>
        <v>0.74309723889555823</v>
      </c>
    </row>
    <row r="157" spans="1:7" x14ac:dyDescent="0.45">
      <c r="A157" s="29" t="s">
        <v>2361</v>
      </c>
      <c r="C157" t="s">
        <v>2353</v>
      </c>
      <c r="E157" s="20" t="s">
        <v>2354</v>
      </c>
      <c r="F157" s="20" t="s">
        <v>2355</v>
      </c>
    </row>
    <row r="158" spans="1:7" x14ac:dyDescent="0.45">
      <c r="A158">
        <v>7</v>
      </c>
      <c r="B158" t="s">
        <v>169</v>
      </c>
      <c r="C158">
        <f>COUNTIFS(AnalizaCzyste[Moja satysfakcja z (efektów) usług edukacyjnych ocenianej uczelni jest wysoka.8],B158,AnalizaCzyste[Czy jesteś rodzicem / opiekunem absolwenta uczelni wyższej?],"*"&amp;"Tak"&amp;"*")</f>
        <v>6</v>
      </c>
      <c r="D158">
        <f>PRODUCT(A158,C158)</f>
        <v>42</v>
      </c>
      <c r="E158">
        <f>ABS(A158-$D$166)</f>
        <v>1.1875</v>
      </c>
      <c r="F158">
        <f>PRODUCT(C158,E158)</f>
        <v>7.125</v>
      </c>
    </row>
    <row r="159" spans="1:7" x14ac:dyDescent="0.45">
      <c r="A159">
        <v>6</v>
      </c>
      <c r="B159" t="s">
        <v>150</v>
      </c>
      <c r="C159">
        <f>COUNTIFS(AnalizaCzyste[Moja satysfakcja z (efektów) usług edukacyjnych ocenianej uczelni jest wysoka.8],B159,AnalizaCzyste[Czy jesteś rodzicem / opiekunem absolwenta uczelni wyższej?],"*"&amp;"Tak"&amp;"*")</f>
        <v>5</v>
      </c>
      <c r="D159">
        <f t="shared" ref="D159:D165" si="12">PRODUCT(A159,C159)</f>
        <v>30</v>
      </c>
      <c r="E159">
        <f t="shared" ref="E159:E164" si="13">ABS(A159-$D$166)</f>
        <v>0.1875</v>
      </c>
      <c r="F159">
        <f t="shared" ref="F159:F164" si="14">PRODUCT(C159,E159)</f>
        <v>0.9375</v>
      </c>
    </row>
    <row r="160" spans="1:7" x14ac:dyDescent="0.45">
      <c r="A160">
        <v>5</v>
      </c>
      <c r="B160" t="s">
        <v>162</v>
      </c>
      <c r="C160">
        <f>COUNTIFS(AnalizaCzyste[Moja satysfakcja z (efektów) usług edukacyjnych ocenianej uczelni jest wysoka.8],B160,AnalizaCzyste[Czy jesteś rodzicem / opiekunem absolwenta uczelni wyższej?],"*"&amp;"Tak"&amp;"*")</f>
        <v>2</v>
      </c>
      <c r="D160">
        <f t="shared" si="12"/>
        <v>10</v>
      </c>
      <c r="E160">
        <f t="shared" si="13"/>
        <v>0.8125</v>
      </c>
      <c r="F160">
        <f t="shared" si="14"/>
        <v>1.625</v>
      </c>
    </row>
    <row r="161" spans="1:7" x14ac:dyDescent="0.45">
      <c r="A161">
        <v>4</v>
      </c>
      <c r="B161" t="s">
        <v>151</v>
      </c>
      <c r="C161">
        <f>COUNTIFS(AnalizaCzyste[Moja satysfakcja z (efektów) usług edukacyjnych ocenianej uczelni jest wysoka.8],B161,AnalizaCzyste[Czy jesteś rodzicem / opiekunem absolwenta uczelni wyższej?],"*"&amp;"Tak"&amp;"*")</f>
        <v>2</v>
      </c>
      <c r="D161">
        <f t="shared" si="12"/>
        <v>8</v>
      </c>
      <c r="E161">
        <f t="shared" si="13"/>
        <v>1.8125</v>
      </c>
      <c r="F161">
        <f t="shared" si="14"/>
        <v>3.625</v>
      </c>
    </row>
    <row r="162" spans="1:7" x14ac:dyDescent="0.45">
      <c r="A162">
        <v>3</v>
      </c>
      <c r="B162" t="s">
        <v>128</v>
      </c>
      <c r="C162">
        <f>COUNTIFS(AnalizaCzyste[Moja satysfakcja z (efektów) usług edukacyjnych ocenianej uczelni jest wysoka.8],B162,AnalizaCzyste[Czy jesteś rodzicem / opiekunem absolwenta uczelni wyższej?],"*"&amp;"Tak"&amp;"*")</f>
        <v>0</v>
      </c>
      <c r="D162">
        <f t="shared" si="12"/>
        <v>0</v>
      </c>
      <c r="E162">
        <f t="shared" si="13"/>
        <v>2.8125</v>
      </c>
      <c r="F162">
        <f t="shared" si="14"/>
        <v>0</v>
      </c>
    </row>
    <row r="163" spans="1:7" x14ac:dyDescent="0.45">
      <c r="A163">
        <v>2</v>
      </c>
      <c r="B163" t="s">
        <v>236</v>
      </c>
      <c r="C163">
        <f>COUNTIFS(AnalizaCzyste[Moja satysfakcja z (efektów) usług edukacyjnych ocenianej uczelni jest wysoka.8],B163,AnalizaCzyste[Czy jesteś rodzicem / opiekunem absolwenta uczelni wyższej?],"*"&amp;"Tak"&amp;"*")</f>
        <v>1</v>
      </c>
      <c r="D163">
        <f t="shared" si="12"/>
        <v>2</v>
      </c>
      <c r="E163">
        <f t="shared" si="13"/>
        <v>3.8125</v>
      </c>
      <c r="F163">
        <f t="shared" si="14"/>
        <v>3.8125</v>
      </c>
    </row>
    <row r="164" spans="1:7" x14ac:dyDescent="0.45">
      <c r="A164">
        <v>1</v>
      </c>
      <c r="B164" t="s">
        <v>129</v>
      </c>
      <c r="C164">
        <f>COUNTIFS(AnalizaCzyste[Moja satysfakcja z (efektów) usług edukacyjnych ocenianej uczelni jest wysoka.8],B164,AnalizaCzyste[Czy jesteś rodzicem / opiekunem absolwenta uczelni wyższej?],"*"&amp;"Tak"&amp;"*")</f>
        <v>0</v>
      </c>
      <c r="D164">
        <f t="shared" si="12"/>
        <v>0</v>
      </c>
      <c r="E164">
        <f t="shared" si="13"/>
        <v>4.8125</v>
      </c>
      <c r="F164">
        <f t="shared" si="14"/>
        <v>0</v>
      </c>
    </row>
    <row r="165" spans="1:7" x14ac:dyDescent="0.45">
      <c r="A165" t="s">
        <v>2333</v>
      </c>
      <c r="B165" t="s">
        <v>132</v>
      </c>
      <c r="C165">
        <f>COUNTIFS(AnalizaCzyste[Moja satysfakcja z (efektów) usług edukacyjnych ocenianej uczelni jest wysoka.8],B165,AnalizaCzyste[Czy jesteś rodzicem / opiekunem absolwenta uczelni wyższej?],"*"&amp;"Tak"&amp;"*")</f>
        <v>1</v>
      </c>
      <c r="D165">
        <f t="shared" si="12"/>
        <v>1</v>
      </c>
    </row>
    <row r="166" spans="1:7" x14ac:dyDescent="0.45">
      <c r="B166" s="20" t="s">
        <v>2358</v>
      </c>
      <c r="C166" s="29">
        <f>SUM(C158:C165)</f>
        <v>17</v>
      </c>
      <c r="D166" s="46">
        <f>SUM(D158:D165)/C167</f>
        <v>5.8125</v>
      </c>
      <c r="E166" s="20" t="s">
        <v>2360</v>
      </c>
      <c r="F166" s="46">
        <f>SUM(F158:F165)/C167</f>
        <v>1.0703125</v>
      </c>
      <c r="G166" s="20" t="s">
        <v>2356</v>
      </c>
    </row>
    <row r="167" spans="1:7" x14ac:dyDescent="0.45">
      <c r="B167" s="20" t="s">
        <v>2359</v>
      </c>
      <c r="C167">
        <f>C166-C165</f>
        <v>16</v>
      </c>
      <c r="D167" s="33">
        <f>D166/7</f>
        <v>0.8303571428571429</v>
      </c>
    </row>
    <row r="169" spans="1:7" x14ac:dyDescent="0.45">
      <c r="A169" s="29" t="s">
        <v>2362</v>
      </c>
      <c r="C169" t="s">
        <v>2353</v>
      </c>
      <c r="E169" s="20" t="s">
        <v>2354</v>
      </c>
      <c r="F169" s="20" t="s">
        <v>2355</v>
      </c>
    </row>
    <row r="170" spans="1:7" x14ac:dyDescent="0.45">
      <c r="A170">
        <v>7</v>
      </c>
      <c r="B170" t="s">
        <v>169</v>
      </c>
      <c r="C170">
        <f>COUNTIFS(AnalizaCzyste[Moja satysfakcja z pracy na ocenianej uczelni jest wysoka.],B170,AnalizaCzyste[Czy jesteś aktualnie pracownikiem administracyjnym uczelni wyższej?],"*"&amp;"Tak"&amp;"*")</f>
        <v>3</v>
      </c>
      <c r="D170">
        <f>PRODUCT(A170,C170)</f>
        <v>21</v>
      </c>
      <c r="E170">
        <f>ABS(A170-$D$178)</f>
        <v>0.25</v>
      </c>
      <c r="F170">
        <f>PRODUCT(C170,E170)</f>
        <v>0.75</v>
      </c>
    </row>
    <row r="171" spans="1:7" x14ac:dyDescent="0.45">
      <c r="A171">
        <v>6</v>
      </c>
      <c r="B171" t="s">
        <v>150</v>
      </c>
      <c r="C171">
        <f>COUNTIFS(AnalizaCzyste[Moja satysfakcja z pracy na ocenianej uczelni jest wysoka.],B171,AnalizaCzyste[Czy jesteś aktualnie pracownikiem administracyjnym uczelni wyższej?],"*"&amp;"Tak"&amp;"*")</f>
        <v>1</v>
      </c>
      <c r="D171">
        <f t="shared" ref="D171:D177" si="15">PRODUCT(A171,C171)</f>
        <v>6</v>
      </c>
      <c r="E171">
        <f t="shared" ref="E171:E176" si="16">ABS(A171-$D$178)</f>
        <v>0.75</v>
      </c>
      <c r="F171">
        <f t="shared" ref="F171:F176" si="17">PRODUCT(C171,E171)</f>
        <v>0.75</v>
      </c>
    </row>
    <row r="172" spans="1:7" x14ac:dyDescent="0.45">
      <c r="A172">
        <v>5</v>
      </c>
      <c r="B172" t="s">
        <v>162</v>
      </c>
      <c r="C172">
        <f>COUNTIFS(AnalizaCzyste[Moja satysfakcja z pracy na ocenianej uczelni jest wysoka.],B172,AnalizaCzyste[Czy jesteś aktualnie pracownikiem administracyjnym uczelni wyższej?],"*"&amp;"Tak"&amp;"*")</f>
        <v>0</v>
      </c>
      <c r="D172">
        <f t="shared" si="15"/>
        <v>0</v>
      </c>
      <c r="E172">
        <f t="shared" si="16"/>
        <v>1.75</v>
      </c>
      <c r="F172">
        <f t="shared" si="17"/>
        <v>0</v>
      </c>
    </row>
    <row r="173" spans="1:7" x14ac:dyDescent="0.45">
      <c r="A173">
        <v>4</v>
      </c>
      <c r="B173" t="s">
        <v>151</v>
      </c>
      <c r="C173">
        <f>COUNTIFS(AnalizaCzyste[Moja satysfakcja z pracy na ocenianej uczelni jest wysoka.],B173,AnalizaCzyste[Czy jesteś aktualnie pracownikiem administracyjnym uczelni wyższej?],"*"&amp;"Tak"&amp;"*")</f>
        <v>0</v>
      </c>
      <c r="D173">
        <f t="shared" si="15"/>
        <v>0</v>
      </c>
      <c r="E173">
        <f t="shared" si="16"/>
        <v>2.75</v>
      </c>
      <c r="F173">
        <f t="shared" si="17"/>
        <v>0</v>
      </c>
    </row>
    <row r="174" spans="1:7" x14ac:dyDescent="0.45">
      <c r="A174">
        <v>3</v>
      </c>
      <c r="B174" t="s">
        <v>128</v>
      </c>
      <c r="C174">
        <f>COUNTIFS(AnalizaCzyste[Moja satysfakcja z pracy na ocenianej uczelni jest wysoka.],B174,AnalizaCzyste[Czy jesteś aktualnie pracownikiem administracyjnym uczelni wyższej?],"*"&amp;"Tak"&amp;"*")</f>
        <v>0</v>
      </c>
      <c r="D174">
        <f t="shared" si="15"/>
        <v>0</v>
      </c>
      <c r="E174">
        <f t="shared" si="16"/>
        <v>3.75</v>
      </c>
      <c r="F174">
        <f t="shared" si="17"/>
        <v>0</v>
      </c>
    </row>
    <row r="175" spans="1:7" x14ac:dyDescent="0.45">
      <c r="A175">
        <v>2</v>
      </c>
      <c r="B175" t="s">
        <v>236</v>
      </c>
      <c r="C175">
        <f>COUNTIFS(AnalizaCzyste[Moja satysfakcja z pracy na ocenianej uczelni jest wysoka.],B175,AnalizaCzyste[Czy jesteś aktualnie pracownikiem administracyjnym uczelni wyższej?],"*"&amp;"Tak"&amp;"*")</f>
        <v>0</v>
      </c>
      <c r="D175">
        <f t="shared" si="15"/>
        <v>0</v>
      </c>
      <c r="E175">
        <f t="shared" si="16"/>
        <v>4.75</v>
      </c>
      <c r="F175">
        <f t="shared" si="17"/>
        <v>0</v>
      </c>
    </row>
    <row r="176" spans="1:7" x14ac:dyDescent="0.45">
      <c r="A176">
        <v>1</v>
      </c>
      <c r="B176" t="s">
        <v>129</v>
      </c>
      <c r="C176">
        <f>COUNTIFS(AnalizaCzyste[Moja satysfakcja z pracy na ocenianej uczelni jest wysoka.],B176,AnalizaCzyste[Czy jesteś aktualnie pracownikiem administracyjnym uczelni wyższej?],"*"&amp;"Tak"&amp;"*")</f>
        <v>0</v>
      </c>
      <c r="D176">
        <f t="shared" si="15"/>
        <v>0</v>
      </c>
      <c r="E176">
        <f t="shared" si="16"/>
        <v>5.75</v>
      </c>
      <c r="F176">
        <f t="shared" si="17"/>
        <v>0</v>
      </c>
    </row>
    <row r="177" spans="1:7" x14ac:dyDescent="0.45">
      <c r="A177" t="s">
        <v>2333</v>
      </c>
      <c r="B177" t="s">
        <v>132</v>
      </c>
      <c r="C177">
        <f>COUNTIFS(AnalizaCzyste[Moja satysfakcja z pracy na ocenianej uczelni jest wysoka.],B177,AnalizaCzyste[Czy jesteś aktualnie pracownikiem administracyjnym uczelni wyższej?],"*"&amp;"Tak"&amp;"*")</f>
        <v>0</v>
      </c>
      <c r="D177">
        <f t="shared" si="15"/>
        <v>0</v>
      </c>
    </row>
    <row r="178" spans="1:7" x14ac:dyDescent="0.45">
      <c r="B178" s="20" t="s">
        <v>2358</v>
      </c>
      <c r="C178" s="29">
        <f>SUM(C170:C177)</f>
        <v>4</v>
      </c>
      <c r="D178" s="46">
        <f>SUM(D170:D177)/C179</f>
        <v>6.75</v>
      </c>
      <c r="E178" s="20" t="s">
        <v>2360</v>
      </c>
      <c r="F178" s="46">
        <f>SUM(F170:F177)/C179</f>
        <v>0.375</v>
      </c>
      <c r="G178" s="20" t="s">
        <v>2356</v>
      </c>
    </row>
    <row r="179" spans="1:7" x14ac:dyDescent="0.45">
      <c r="B179" s="20" t="s">
        <v>2359</v>
      </c>
      <c r="C179">
        <f>C178-C177</f>
        <v>4</v>
      </c>
      <c r="D179" s="33">
        <f>D178/7</f>
        <v>0.9642857142857143</v>
      </c>
    </row>
    <row r="181" spans="1:7" x14ac:dyDescent="0.45">
      <c r="A181" s="29" t="s">
        <v>2363</v>
      </c>
      <c r="C181" t="s">
        <v>2353</v>
      </c>
      <c r="E181" s="20" t="s">
        <v>2354</v>
      </c>
      <c r="F181" s="20" t="s">
        <v>2355</v>
      </c>
    </row>
    <row r="182" spans="1:7" x14ac:dyDescent="0.45">
      <c r="A182">
        <v>7</v>
      </c>
      <c r="B182" t="s">
        <v>169</v>
      </c>
      <c r="C182">
        <f>COUNTIFS(AnalizaCzyste[Moja satysfakcja z pracy na ocenianej uczelni jest wysoka.42],B182,AnalizaCzyste[Czy jesteś aktualnie pracownikiem naukowym lub dydaktycznym uczelni wyższej?],"*"&amp;"Tak"&amp;"*")</f>
        <v>7</v>
      </c>
      <c r="D182">
        <f>PRODUCT(A182,C182)</f>
        <v>49</v>
      </c>
      <c r="E182">
        <f>ABS(A182-$D$190)</f>
        <v>1</v>
      </c>
      <c r="F182">
        <f>PRODUCT(C182,E182)</f>
        <v>7</v>
      </c>
    </row>
    <row r="183" spans="1:7" x14ac:dyDescent="0.45">
      <c r="A183">
        <v>6</v>
      </c>
      <c r="B183" t="s">
        <v>150</v>
      </c>
      <c r="C183">
        <f>COUNTIFS(AnalizaCzyste[Moja satysfakcja z pracy na ocenianej uczelni jest wysoka.42],B183,AnalizaCzyste[Czy jesteś aktualnie pracownikiem naukowym lub dydaktycznym uczelni wyższej?],"*"&amp;"Tak"&amp;"*")</f>
        <v>6</v>
      </c>
      <c r="D183">
        <f t="shared" ref="D183:D189" si="18">PRODUCT(A183,C183)</f>
        <v>36</v>
      </c>
      <c r="E183">
        <f t="shared" ref="E183:E188" si="19">ABS(A183-$D$190)</f>
        <v>0</v>
      </c>
      <c r="F183">
        <f t="shared" ref="F183:F188" si="20">PRODUCT(C183,E183)</f>
        <v>0</v>
      </c>
    </row>
    <row r="184" spans="1:7" x14ac:dyDescent="0.45">
      <c r="A184">
        <v>5</v>
      </c>
      <c r="B184" t="s">
        <v>162</v>
      </c>
      <c r="C184">
        <f>COUNTIFS(AnalizaCzyste[Moja satysfakcja z pracy na ocenianej uczelni jest wysoka.42],B184,AnalizaCzyste[Czy jesteś aktualnie pracownikiem naukowym lub dydaktycznym uczelni wyższej?],"*"&amp;"Tak"&amp;"*")</f>
        <v>2</v>
      </c>
      <c r="D184">
        <f t="shared" si="18"/>
        <v>10</v>
      </c>
      <c r="E184">
        <f t="shared" si="19"/>
        <v>1</v>
      </c>
      <c r="F184">
        <f t="shared" si="20"/>
        <v>2</v>
      </c>
    </row>
    <row r="185" spans="1:7" x14ac:dyDescent="0.45">
      <c r="A185">
        <v>4</v>
      </c>
      <c r="B185" t="s">
        <v>151</v>
      </c>
      <c r="C185">
        <f>COUNTIFS(AnalizaCzyste[Moja satysfakcja z pracy na ocenianej uczelni jest wysoka.42],B185,AnalizaCzyste[Czy jesteś aktualnie pracownikiem naukowym lub dydaktycznym uczelni wyższej?],"*"&amp;"Tak"&amp;"*")</f>
        <v>0</v>
      </c>
      <c r="D185">
        <f t="shared" si="18"/>
        <v>0</v>
      </c>
      <c r="E185">
        <f t="shared" si="19"/>
        <v>2</v>
      </c>
      <c r="F185">
        <f t="shared" si="20"/>
        <v>0</v>
      </c>
    </row>
    <row r="186" spans="1:7" x14ac:dyDescent="0.45">
      <c r="A186">
        <v>3</v>
      </c>
      <c r="B186" t="s">
        <v>128</v>
      </c>
      <c r="C186">
        <f>COUNTIFS(AnalizaCzyste[Moja satysfakcja z pracy na ocenianej uczelni jest wysoka.42],B186,AnalizaCzyste[Czy jesteś aktualnie pracownikiem naukowym lub dydaktycznym uczelni wyższej?],"*"&amp;"Tak"&amp;"*")</f>
        <v>0</v>
      </c>
      <c r="D186">
        <f t="shared" si="18"/>
        <v>0</v>
      </c>
      <c r="E186">
        <f t="shared" si="19"/>
        <v>3</v>
      </c>
      <c r="F186">
        <f t="shared" si="20"/>
        <v>0</v>
      </c>
    </row>
    <row r="187" spans="1:7" x14ac:dyDescent="0.45">
      <c r="A187">
        <v>2</v>
      </c>
      <c r="B187" t="s">
        <v>236</v>
      </c>
      <c r="C187">
        <f>COUNTIFS(AnalizaCzyste[Moja satysfakcja z pracy na ocenianej uczelni jest wysoka.42],B187,AnalizaCzyste[Czy jesteś aktualnie pracownikiem naukowym lub dydaktycznym uczelni wyższej?],"*"&amp;"Tak"&amp;"*")</f>
        <v>0</v>
      </c>
      <c r="D187">
        <f t="shared" si="18"/>
        <v>0</v>
      </c>
      <c r="E187">
        <f t="shared" si="19"/>
        <v>4</v>
      </c>
      <c r="F187">
        <f t="shared" si="20"/>
        <v>0</v>
      </c>
    </row>
    <row r="188" spans="1:7" x14ac:dyDescent="0.45">
      <c r="A188">
        <v>1</v>
      </c>
      <c r="B188" t="s">
        <v>129</v>
      </c>
      <c r="C188">
        <f>COUNTIFS(AnalizaCzyste[Moja satysfakcja z pracy na ocenianej uczelni jest wysoka.42],B188,AnalizaCzyste[Czy jesteś aktualnie pracownikiem naukowym lub dydaktycznym uczelni wyższej?],"*"&amp;"Tak"&amp;"*")</f>
        <v>1</v>
      </c>
      <c r="D188">
        <f t="shared" si="18"/>
        <v>1</v>
      </c>
      <c r="E188">
        <f t="shared" si="19"/>
        <v>5</v>
      </c>
      <c r="F188">
        <f t="shared" si="20"/>
        <v>5</v>
      </c>
    </row>
    <row r="189" spans="1:7" x14ac:dyDescent="0.45">
      <c r="A189" t="s">
        <v>2333</v>
      </c>
      <c r="B189" t="s">
        <v>132</v>
      </c>
      <c r="C189">
        <f>COUNTIFS(AnalizaCzyste[Moja satysfakcja z pracy na ocenianej uczelni jest wysoka.42],B189,AnalizaCzyste[Czy jesteś aktualnie pracownikiem naukowym lub dydaktycznym uczelni wyższej?],"*"&amp;"Tak"&amp;"*")</f>
        <v>0</v>
      </c>
      <c r="D189">
        <f t="shared" si="18"/>
        <v>0</v>
      </c>
    </row>
    <row r="190" spans="1:7" x14ac:dyDescent="0.45">
      <c r="B190" s="20" t="s">
        <v>2358</v>
      </c>
      <c r="C190" s="29">
        <f>SUM(C182:C189)</f>
        <v>16</v>
      </c>
      <c r="D190" s="46">
        <f>SUM(D182:D189)/C191</f>
        <v>6</v>
      </c>
      <c r="E190" s="20" t="s">
        <v>2360</v>
      </c>
      <c r="F190" s="46">
        <f>SUM(F182:F189)/C191</f>
        <v>0.875</v>
      </c>
      <c r="G190" s="20" t="s">
        <v>2356</v>
      </c>
    </row>
    <row r="191" spans="1:7" x14ac:dyDescent="0.45">
      <c r="B191" s="20" t="s">
        <v>2359</v>
      </c>
      <c r="C191">
        <f>C190-C189</f>
        <v>16</v>
      </c>
      <c r="D191" s="33">
        <f>D190/7</f>
        <v>0.8571428571428571</v>
      </c>
    </row>
    <row r="193" spans="1:7" x14ac:dyDescent="0.45">
      <c r="A193" s="29" t="s">
        <v>2364</v>
      </c>
      <c r="C193" t="s">
        <v>2353</v>
      </c>
      <c r="E193" s="20" t="s">
        <v>2354</v>
      </c>
      <c r="F193" s="20" t="s">
        <v>2355</v>
      </c>
    </row>
    <row r="194" spans="1:7" x14ac:dyDescent="0.45">
      <c r="A194">
        <v>7</v>
      </c>
      <c r="B194" t="s">
        <v>169</v>
      </c>
      <c r="C194">
        <f>COUNTIFS(AnalizaCzyste[Efekty działań ocenianej uczelni na rzesz jakości edukacji są dobre],B194,AnalizaCzyste[Czy jesteś przedstawicielem władz uczelni z grupy rektorów, prorektorów, dziekanów, prodziekanów, członków senatu lub członków rady uczelni?],"*"&amp;"Tak"&amp;"*")</f>
        <v>1</v>
      </c>
      <c r="D194">
        <f>PRODUCT(A194,C194)</f>
        <v>7</v>
      </c>
      <c r="E194">
        <f>ABS(A194-$D$202)</f>
        <v>1.2000000000000002</v>
      </c>
      <c r="F194">
        <f>PRODUCT(C194,E194)</f>
        <v>1.2000000000000002</v>
      </c>
    </row>
    <row r="195" spans="1:7" x14ac:dyDescent="0.45">
      <c r="A195">
        <v>6</v>
      </c>
      <c r="B195" t="s">
        <v>150</v>
      </c>
      <c r="C195">
        <f>COUNTIFS(AnalizaCzyste[Efekty działań ocenianej uczelni na rzesz jakości edukacji są dobre],B195,AnalizaCzyste[Czy jesteś przedstawicielem władz uczelni z grupy rektorów, prorektorów, dziekanów, prodziekanów, członków senatu lub członków rady uczelni?],"*"&amp;"Tak"&amp;"*")</f>
        <v>2</v>
      </c>
      <c r="D195">
        <f t="shared" ref="D195:D201" si="21">PRODUCT(A195,C195)</f>
        <v>12</v>
      </c>
      <c r="E195">
        <f t="shared" ref="E195:E200" si="22">ABS(A195-$D$202)</f>
        <v>0.20000000000000018</v>
      </c>
      <c r="F195">
        <f t="shared" ref="F195:F200" si="23">PRODUCT(C195,E195)</f>
        <v>0.40000000000000036</v>
      </c>
    </row>
    <row r="196" spans="1:7" x14ac:dyDescent="0.45">
      <c r="A196">
        <v>5</v>
      </c>
      <c r="B196" t="s">
        <v>162</v>
      </c>
      <c r="C196">
        <f>COUNTIFS(AnalizaCzyste[Efekty działań ocenianej uczelni na rzesz jakości edukacji są dobre],B196,AnalizaCzyste[Czy jesteś przedstawicielem władz uczelni z grupy rektorów, prorektorów, dziekanów, prodziekanów, członków senatu lub członków rady uczelni?],"*"&amp;"Tak"&amp;"*")</f>
        <v>2</v>
      </c>
      <c r="D196">
        <f t="shared" si="21"/>
        <v>10</v>
      </c>
      <c r="E196">
        <f t="shared" si="22"/>
        <v>0.79999999999999982</v>
      </c>
      <c r="F196">
        <f t="shared" si="23"/>
        <v>1.5999999999999996</v>
      </c>
    </row>
    <row r="197" spans="1:7" x14ac:dyDescent="0.45">
      <c r="A197">
        <v>4</v>
      </c>
      <c r="B197" t="s">
        <v>151</v>
      </c>
      <c r="C197">
        <f>COUNTIFS(AnalizaCzyste[Efekty działań ocenianej uczelni na rzesz jakości edukacji są dobre],B197,AnalizaCzyste[Czy jesteś przedstawicielem władz uczelni z grupy rektorów, prorektorów, dziekanów, prodziekanów, członków senatu lub członków rady uczelni?],"*"&amp;"Tak"&amp;"*")</f>
        <v>0</v>
      </c>
      <c r="D197">
        <f t="shared" si="21"/>
        <v>0</v>
      </c>
      <c r="E197">
        <f t="shared" si="22"/>
        <v>1.7999999999999998</v>
      </c>
      <c r="F197">
        <f t="shared" si="23"/>
        <v>0</v>
      </c>
    </row>
    <row r="198" spans="1:7" x14ac:dyDescent="0.45">
      <c r="A198">
        <v>3</v>
      </c>
      <c r="B198" t="s">
        <v>128</v>
      </c>
      <c r="C198">
        <f>COUNTIFS(AnalizaCzyste[Efekty działań ocenianej uczelni na rzesz jakości edukacji są dobre],B198,AnalizaCzyste[Czy jesteś przedstawicielem władz uczelni z grupy rektorów, prorektorów, dziekanów, prodziekanów, członków senatu lub członków rady uczelni?],"*"&amp;"Tak"&amp;"*")</f>
        <v>0</v>
      </c>
      <c r="D198">
        <f t="shared" si="21"/>
        <v>0</v>
      </c>
      <c r="E198">
        <f t="shared" si="22"/>
        <v>2.8</v>
      </c>
      <c r="F198">
        <f t="shared" si="23"/>
        <v>0</v>
      </c>
    </row>
    <row r="199" spans="1:7" x14ac:dyDescent="0.45">
      <c r="A199">
        <v>2</v>
      </c>
      <c r="B199" t="s">
        <v>236</v>
      </c>
      <c r="C199">
        <f>COUNTIFS(AnalizaCzyste[Efekty działań ocenianej uczelni na rzesz jakości edukacji są dobre],B199,AnalizaCzyste[Czy jesteś przedstawicielem władz uczelni z grupy rektorów, prorektorów, dziekanów, prodziekanów, członków senatu lub członków rady uczelni?],"*"&amp;"Tak"&amp;"*")</f>
        <v>0</v>
      </c>
      <c r="D199">
        <f t="shared" si="21"/>
        <v>0</v>
      </c>
      <c r="E199">
        <f t="shared" si="22"/>
        <v>3.8</v>
      </c>
      <c r="F199">
        <f t="shared" si="23"/>
        <v>0</v>
      </c>
    </row>
    <row r="200" spans="1:7" x14ac:dyDescent="0.45">
      <c r="A200">
        <v>1</v>
      </c>
      <c r="B200" t="s">
        <v>129</v>
      </c>
      <c r="C200">
        <f>COUNTIFS(AnalizaCzyste[Efekty działań ocenianej uczelni na rzesz jakości edukacji są dobre],B200,AnalizaCzyste[Czy jesteś przedstawicielem władz uczelni z grupy rektorów, prorektorów, dziekanów, prodziekanów, członków senatu lub członków rady uczelni?],"*"&amp;"Tak"&amp;"*")</f>
        <v>0</v>
      </c>
      <c r="D200">
        <f t="shared" si="21"/>
        <v>0</v>
      </c>
      <c r="E200">
        <f t="shared" si="22"/>
        <v>4.8</v>
      </c>
      <c r="F200">
        <f t="shared" si="23"/>
        <v>0</v>
      </c>
    </row>
    <row r="201" spans="1:7" x14ac:dyDescent="0.45">
      <c r="A201" t="s">
        <v>2333</v>
      </c>
      <c r="B201" t="s">
        <v>132</v>
      </c>
      <c r="C201">
        <f>COUNTIFS(AnalizaCzyste[Efekty działań ocenianej uczelni na rzesz jakości edukacji są dobre],B201,AnalizaCzyste[Czy jesteś przedstawicielem władz uczelni z grupy rektorów, prorektorów, dziekanów, prodziekanów, członków senatu lub członków rady uczelni?],"*"&amp;"Tak"&amp;"*")</f>
        <v>0</v>
      </c>
      <c r="D201">
        <f t="shared" si="21"/>
        <v>0</v>
      </c>
    </row>
    <row r="202" spans="1:7" x14ac:dyDescent="0.45">
      <c r="B202" s="20" t="s">
        <v>2358</v>
      </c>
      <c r="C202" s="29">
        <f>SUM(C194:C201)</f>
        <v>5</v>
      </c>
      <c r="D202" s="46">
        <f>SUM(D194:D201)/C203</f>
        <v>5.8</v>
      </c>
      <c r="E202" s="20" t="s">
        <v>2360</v>
      </c>
      <c r="F202" s="46">
        <f>SUM(F194:F201)/C203</f>
        <v>0.64</v>
      </c>
      <c r="G202" s="20" t="s">
        <v>2356</v>
      </c>
    </row>
    <row r="203" spans="1:7" x14ac:dyDescent="0.45">
      <c r="B203" s="20" t="s">
        <v>2359</v>
      </c>
      <c r="C203">
        <f>C202-C201</f>
        <v>5</v>
      </c>
      <c r="D203" s="33">
        <f>D202/7</f>
        <v>0.82857142857142851</v>
      </c>
    </row>
    <row r="205" spans="1:7" x14ac:dyDescent="0.45">
      <c r="A205" s="29" t="s">
        <v>2365</v>
      </c>
      <c r="C205" t="s">
        <v>2353</v>
      </c>
      <c r="E205" s="20" t="s">
        <v>2354</v>
      </c>
      <c r="F205" s="20" t="s">
        <v>2355</v>
      </c>
    </row>
    <row r="206" spans="1:7" x14ac:dyDescent="0.45">
      <c r="A206">
        <v>7</v>
      </c>
      <c r="B206" t="s">
        <v>169</v>
      </c>
      <c r="C206">
        <f>COUNTIFS(AnalizaCzyste[Moja satysfakcja z (efektów) usług edukacyjnych na ocenianej uczelni jest wysoka.],B206,AnalizaCzyste[Czy jesteś przedstawicielem firmy, w której są zatrudniani absolwenci uczelni wyższych (tytuł licencjata, magistra lub wyższy)?],"*"&amp;"Tak"&amp;"*")</f>
        <v>5</v>
      </c>
      <c r="D206">
        <f>PRODUCT(A206,C206)</f>
        <v>35</v>
      </c>
      <c r="E206">
        <f>ABS(A206-$D$214)</f>
        <v>1.8235294117647056</v>
      </c>
      <c r="F206">
        <f>PRODUCT(C206,E206)</f>
        <v>9.117647058823529</v>
      </c>
    </row>
    <row r="207" spans="1:7" x14ac:dyDescent="0.45">
      <c r="A207">
        <v>6</v>
      </c>
      <c r="B207" t="s">
        <v>150</v>
      </c>
      <c r="C207">
        <f>COUNTIFS(AnalizaCzyste[Moja satysfakcja z (efektów) usług edukacyjnych na ocenianej uczelni jest wysoka.],B207,AnalizaCzyste[Czy jesteś przedstawicielem firmy, w której są zatrudniani absolwenci uczelni wyższych (tytuł licencjata, magistra lub wyższy)?],"*"&amp;"Tak"&amp;"*")</f>
        <v>3</v>
      </c>
      <c r="D207">
        <f t="shared" ref="D207:D213" si="24">PRODUCT(A207,C207)</f>
        <v>18</v>
      </c>
      <c r="E207">
        <f t="shared" ref="E207:E212" si="25">ABS(A207-$D$214)</f>
        <v>0.82352941176470562</v>
      </c>
      <c r="F207">
        <f t="shared" ref="F207:F212" si="26">PRODUCT(C207,E207)</f>
        <v>2.4705882352941169</v>
      </c>
    </row>
    <row r="208" spans="1:7" x14ac:dyDescent="0.45">
      <c r="A208">
        <v>5</v>
      </c>
      <c r="B208" t="s">
        <v>162</v>
      </c>
      <c r="C208">
        <f>COUNTIFS(AnalizaCzyste[Moja satysfakcja z (efektów) usług edukacyjnych na ocenianej uczelni jest wysoka.],B208,AnalizaCzyste[Czy jesteś przedstawicielem firmy, w której są zatrudniani absolwenci uczelni wyższych (tytuł licencjata, magistra lub wyższy)?],"*"&amp;"Tak"&amp;"*")</f>
        <v>4</v>
      </c>
      <c r="D208">
        <f t="shared" si="24"/>
        <v>20</v>
      </c>
      <c r="E208">
        <f t="shared" si="25"/>
        <v>0.17647058823529438</v>
      </c>
      <c r="F208">
        <f t="shared" si="26"/>
        <v>0.70588235294117752</v>
      </c>
    </row>
    <row r="209" spans="1:7" x14ac:dyDescent="0.45">
      <c r="A209">
        <v>4</v>
      </c>
      <c r="B209" t="s">
        <v>151</v>
      </c>
      <c r="C209">
        <f>COUNTIFS(AnalizaCzyste[Moja satysfakcja z (efektów) usług edukacyjnych na ocenianej uczelni jest wysoka.],B209,AnalizaCzyste[Czy jesteś przedstawicielem firmy, w której są zatrudniani absolwenci uczelni wyższych (tytuł licencjata, magistra lub wyższy)?],"*"&amp;"Tak"&amp;"*")</f>
        <v>2</v>
      </c>
      <c r="D209">
        <f t="shared" si="24"/>
        <v>8</v>
      </c>
      <c r="E209">
        <f t="shared" si="25"/>
        <v>1.1764705882352944</v>
      </c>
      <c r="F209">
        <f t="shared" si="26"/>
        <v>2.3529411764705888</v>
      </c>
    </row>
    <row r="210" spans="1:7" x14ac:dyDescent="0.45">
      <c r="A210">
        <v>3</v>
      </c>
      <c r="B210" t="s">
        <v>128</v>
      </c>
      <c r="C210">
        <f>COUNTIFS(AnalizaCzyste[Moja satysfakcja z (efektów) usług edukacyjnych na ocenianej uczelni jest wysoka.],B210,AnalizaCzyste[Czy jesteś przedstawicielem firmy, w której są zatrudniani absolwenci uczelni wyższych (tytuł licencjata, magistra lub wyższy)?],"*"&amp;"Tak"&amp;"*")</f>
        <v>0</v>
      </c>
      <c r="D210">
        <f t="shared" si="24"/>
        <v>0</v>
      </c>
      <c r="E210">
        <f t="shared" si="25"/>
        <v>2.1764705882352944</v>
      </c>
      <c r="F210">
        <f t="shared" si="26"/>
        <v>0</v>
      </c>
    </row>
    <row r="211" spans="1:7" x14ac:dyDescent="0.45">
      <c r="A211">
        <v>2</v>
      </c>
      <c r="B211" t="s">
        <v>236</v>
      </c>
      <c r="C211">
        <f>COUNTIFS(AnalizaCzyste[Moja satysfakcja z (efektów) usług edukacyjnych na ocenianej uczelni jest wysoka.],B211,AnalizaCzyste[Czy jesteś przedstawicielem firmy, w której są zatrudniani absolwenci uczelni wyższych (tytuł licencjata, magistra lub wyższy)?],"*"&amp;"Tak"&amp;"*")</f>
        <v>3</v>
      </c>
      <c r="D211">
        <f t="shared" si="24"/>
        <v>6</v>
      </c>
      <c r="E211">
        <f t="shared" si="25"/>
        <v>3.1764705882352944</v>
      </c>
      <c r="F211">
        <f t="shared" si="26"/>
        <v>9.529411764705884</v>
      </c>
    </row>
    <row r="212" spans="1:7" x14ac:dyDescent="0.45">
      <c r="A212">
        <v>1</v>
      </c>
      <c r="B212" t="s">
        <v>129</v>
      </c>
      <c r="C212">
        <f>COUNTIFS(AnalizaCzyste[Moja satysfakcja z (efektów) usług edukacyjnych na ocenianej uczelni jest wysoka.],B212,AnalizaCzyste[Czy jesteś przedstawicielem firmy, w której są zatrudniani absolwenci uczelni wyższych (tytuł licencjata, magistra lub wyższy)?],"*"&amp;"Tak"&amp;"*")</f>
        <v>0</v>
      </c>
      <c r="D212">
        <f t="shared" si="24"/>
        <v>0</v>
      </c>
      <c r="E212">
        <f t="shared" si="25"/>
        <v>4.1764705882352944</v>
      </c>
      <c r="F212">
        <f t="shared" si="26"/>
        <v>0</v>
      </c>
    </row>
    <row r="213" spans="1:7" x14ac:dyDescent="0.45">
      <c r="A213" t="s">
        <v>2333</v>
      </c>
      <c r="B213" t="s">
        <v>132</v>
      </c>
      <c r="C213">
        <f>COUNTIFS(AnalizaCzyste[Moja satysfakcja z (efektów) usług edukacyjnych na ocenianej uczelni jest wysoka.],B213,AnalizaCzyste[Czy jesteś przedstawicielem firmy, w której są zatrudniani absolwenci uczelni wyższych (tytuł licencjata, magistra lub wyższy)?],"*"&amp;"Tak"&amp;"*")</f>
        <v>1</v>
      </c>
      <c r="D213">
        <f t="shared" si="24"/>
        <v>1</v>
      </c>
    </row>
    <row r="214" spans="1:7" x14ac:dyDescent="0.45">
      <c r="B214" s="20" t="s">
        <v>2358</v>
      </c>
      <c r="C214" s="29">
        <f>SUM(C206:C213)</f>
        <v>18</v>
      </c>
      <c r="D214" s="46">
        <f>SUM(D206:D213)/C215</f>
        <v>5.1764705882352944</v>
      </c>
      <c r="E214" s="20" t="s">
        <v>2360</v>
      </c>
      <c r="F214" s="46">
        <f>SUM(F206:F213)/C215</f>
        <v>1.4221453287197234</v>
      </c>
      <c r="G214" s="20" t="s">
        <v>2356</v>
      </c>
    </row>
    <row r="215" spans="1:7" x14ac:dyDescent="0.45">
      <c r="B215" s="20" t="s">
        <v>2359</v>
      </c>
      <c r="C215">
        <f>C214-C213</f>
        <v>17</v>
      </c>
      <c r="D215" s="33">
        <f>D214/7</f>
        <v>0.73949579831932777</v>
      </c>
    </row>
    <row r="217" spans="1:7" x14ac:dyDescent="0.45">
      <c r="A217" s="29" t="s">
        <v>2366</v>
      </c>
      <c r="C217" t="s">
        <v>2353</v>
      </c>
      <c r="E217" s="20" t="s">
        <v>2354</v>
      </c>
      <c r="F217" s="20" t="s">
        <v>2355</v>
      </c>
    </row>
    <row r="218" spans="1:7" x14ac:dyDescent="0.45">
      <c r="A218">
        <v>7</v>
      </c>
      <c r="B218" t="s">
        <v>169</v>
      </c>
      <c r="C218">
        <f>COUNTIFS(AnalizaCzyste[Efekty działań ocenianej uczelni na rzesz jakości edukacji są zgodne ze strategią rozwoju w regionie.],B218,AnalizaCzyste[Czy jesteś przedstawicielem władz samorządowych lub centralnych Rzeczypospolitej Polskiej?],"*"&amp;"Tak"&amp;"*")</f>
        <v>0</v>
      </c>
      <c r="D218">
        <f>PRODUCT(A218,C218)</f>
        <v>0</v>
      </c>
      <c r="E218">
        <f>ABS(A218-$D$226)</f>
        <v>1</v>
      </c>
      <c r="F218">
        <f>PRODUCT(C218,E218)</f>
        <v>0</v>
      </c>
    </row>
    <row r="219" spans="1:7" x14ac:dyDescent="0.45">
      <c r="A219">
        <v>6</v>
      </c>
      <c r="B219" t="s">
        <v>150</v>
      </c>
      <c r="C219">
        <f>COUNTIFS(AnalizaCzyste[Efekty działań ocenianej uczelni na rzesz jakości edukacji są zgodne ze strategią rozwoju w regionie.],B219,AnalizaCzyste[Czy jesteś przedstawicielem władz samorządowych lub centralnych Rzeczypospolitej Polskiej?],"*"&amp;"Tak"&amp;"*")</f>
        <v>2</v>
      </c>
      <c r="D219">
        <f t="shared" ref="D219:D225" si="27">PRODUCT(A219,C219)</f>
        <v>12</v>
      </c>
      <c r="E219">
        <f t="shared" ref="E219:E224" si="28">ABS(A219-$D$226)</f>
        <v>0</v>
      </c>
      <c r="F219">
        <f t="shared" ref="F219:F224" si="29">PRODUCT(C219,E219)</f>
        <v>0</v>
      </c>
    </row>
    <row r="220" spans="1:7" x14ac:dyDescent="0.45">
      <c r="A220">
        <v>5</v>
      </c>
      <c r="B220" t="s">
        <v>162</v>
      </c>
      <c r="C220">
        <f>COUNTIFS(AnalizaCzyste[Efekty działań ocenianej uczelni na rzesz jakości edukacji są zgodne ze strategią rozwoju w regionie.],B220,AnalizaCzyste[Czy jesteś przedstawicielem władz samorządowych lub centralnych Rzeczypospolitej Polskiej?],"*"&amp;"Tak"&amp;"*")</f>
        <v>0</v>
      </c>
      <c r="D220">
        <f t="shared" si="27"/>
        <v>0</v>
      </c>
      <c r="E220">
        <f t="shared" si="28"/>
        <v>1</v>
      </c>
      <c r="F220">
        <f t="shared" si="29"/>
        <v>0</v>
      </c>
    </row>
    <row r="221" spans="1:7" x14ac:dyDescent="0.45">
      <c r="A221">
        <v>4</v>
      </c>
      <c r="B221" t="s">
        <v>151</v>
      </c>
      <c r="C221">
        <f>COUNTIFS(AnalizaCzyste[Efekty działań ocenianej uczelni na rzesz jakości edukacji są zgodne ze strategią rozwoju w regionie.],B221,AnalizaCzyste[Czy jesteś przedstawicielem władz samorządowych lub centralnych Rzeczypospolitej Polskiej?],"*"&amp;"Tak"&amp;"*")</f>
        <v>0</v>
      </c>
      <c r="D221">
        <f t="shared" si="27"/>
        <v>0</v>
      </c>
      <c r="E221">
        <f t="shared" si="28"/>
        <v>2</v>
      </c>
      <c r="F221">
        <f t="shared" si="29"/>
        <v>0</v>
      </c>
    </row>
    <row r="222" spans="1:7" x14ac:dyDescent="0.45">
      <c r="A222">
        <v>3</v>
      </c>
      <c r="B222" t="s">
        <v>128</v>
      </c>
      <c r="C222">
        <f>COUNTIFS(AnalizaCzyste[Efekty działań ocenianej uczelni na rzesz jakości edukacji są zgodne ze strategią rozwoju w regionie.],B222,AnalizaCzyste[Czy jesteś przedstawicielem władz samorządowych lub centralnych Rzeczypospolitej Polskiej?],"*"&amp;"Tak"&amp;"*")</f>
        <v>0</v>
      </c>
      <c r="D222">
        <f t="shared" si="27"/>
        <v>0</v>
      </c>
      <c r="E222">
        <f t="shared" si="28"/>
        <v>3</v>
      </c>
      <c r="F222">
        <f t="shared" si="29"/>
        <v>0</v>
      </c>
    </row>
    <row r="223" spans="1:7" x14ac:dyDescent="0.45">
      <c r="A223">
        <v>2</v>
      </c>
      <c r="B223" t="s">
        <v>236</v>
      </c>
      <c r="C223">
        <f>COUNTIFS(AnalizaCzyste[Efekty działań ocenianej uczelni na rzesz jakości edukacji są zgodne ze strategią rozwoju w regionie.],B223,AnalizaCzyste[Czy jesteś przedstawicielem władz samorządowych lub centralnych Rzeczypospolitej Polskiej?],"*"&amp;"Tak"&amp;"*")</f>
        <v>0</v>
      </c>
      <c r="D223">
        <f t="shared" si="27"/>
        <v>0</v>
      </c>
      <c r="E223">
        <f t="shared" si="28"/>
        <v>4</v>
      </c>
      <c r="F223">
        <f t="shared" si="29"/>
        <v>0</v>
      </c>
    </row>
    <row r="224" spans="1:7" x14ac:dyDescent="0.45">
      <c r="A224">
        <v>1</v>
      </c>
      <c r="B224" t="s">
        <v>129</v>
      </c>
      <c r="C224">
        <f>COUNTIFS(AnalizaCzyste[Efekty działań ocenianej uczelni na rzesz jakości edukacji są zgodne ze strategią rozwoju w regionie.],B224,AnalizaCzyste[Czy jesteś przedstawicielem władz samorządowych lub centralnych Rzeczypospolitej Polskiej?],"*"&amp;"Tak"&amp;"*")</f>
        <v>0</v>
      </c>
      <c r="D224">
        <f t="shared" si="27"/>
        <v>0</v>
      </c>
      <c r="E224">
        <f t="shared" si="28"/>
        <v>5</v>
      </c>
      <c r="F224">
        <f t="shared" si="29"/>
        <v>0</v>
      </c>
    </row>
    <row r="225" spans="1:7" x14ac:dyDescent="0.45">
      <c r="A225" t="s">
        <v>2333</v>
      </c>
      <c r="B225" t="s">
        <v>132</v>
      </c>
      <c r="C225">
        <f>COUNTIFS(AnalizaCzyste[Efekty działań ocenianej uczelni na rzesz jakości edukacji są zgodne ze strategią rozwoju w regionie.],B225,AnalizaCzyste[Czy jesteś przedstawicielem władz samorządowych lub centralnych Rzeczypospolitej Polskiej?],"*"&amp;"Tak"&amp;"*")</f>
        <v>0</v>
      </c>
      <c r="D225">
        <f t="shared" si="27"/>
        <v>0</v>
      </c>
    </row>
    <row r="226" spans="1:7" x14ac:dyDescent="0.45">
      <c r="B226" s="20" t="s">
        <v>2358</v>
      </c>
      <c r="C226" s="29">
        <f>SUM(C218:C225)</f>
        <v>2</v>
      </c>
      <c r="D226" s="46">
        <f>SUM(D218:D225)/C227</f>
        <v>6</v>
      </c>
      <c r="E226" s="20" t="s">
        <v>2360</v>
      </c>
      <c r="F226" s="46">
        <f>SUM(F218:F225)/C227</f>
        <v>0</v>
      </c>
      <c r="G226" s="20" t="s">
        <v>2356</v>
      </c>
    </row>
    <row r="227" spans="1:7" x14ac:dyDescent="0.45">
      <c r="B227" s="20" t="s">
        <v>2359</v>
      </c>
      <c r="C227">
        <f>C226-C225</f>
        <v>2</v>
      </c>
      <c r="D227" s="33">
        <f>D226/7</f>
        <v>0.8571428571428571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H141"/>
  <sheetViews>
    <sheetView topLeftCell="FI2" workbookViewId="0">
      <selection activeCell="FU2" sqref="FU2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customWidth="1" outlineLevel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20" width="14.59765625" hidden="1" customWidth="1" outlineLevel="1"/>
    <col min="21" max="31" width="8.1328125" hidden="1" customWidth="1" outlineLevel="1"/>
    <col min="32" max="32" width="11.796875" customWidth="1" collapsed="1"/>
    <col min="33" max="50" width="23.1328125" hidden="1" customWidth="1" outlineLevel="1"/>
    <col min="51" max="51" width="11.796875" customWidth="1" collapsed="1"/>
    <col min="52" max="52" width="8.1328125" hidden="1" customWidth="1" outlineLevel="1"/>
    <col min="53" max="96" width="26.3984375" hidden="1" customWidth="1" outlineLevel="1"/>
    <col min="97" max="97" width="11.796875" customWidth="1" collapsed="1"/>
    <col min="98" max="106" width="19.9296875" hidden="1" customWidth="1" outlineLevel="1"/>
    <col min="107" max="107" width="11.796875" customWidth="1" collapsed="1"/>
    <col min="108" max="116" width="23.33203125" hidden="1" customWidth="1" outlineLevel="1"/>
    <col min="117" max="117" width="11.796875" customWidth="1" collapsed="1"/>
    <col min="118" max="145" width="8.1328125" hidden="1" customWidth="1" outlineLevel="1"/>
    <col min="146" max="146" width="11.796875" customWidth="1" collapsed="1"/>
    <col min="147" max="171" width="8.1328125" customWidth="1" outlineLevel="1"/>
    <col min="172" max="172" width="11.796875" customWidth="1"/>
    <col min="173" max="208" width="8.1328125" customWidth="1" outlineLevel="1"/>
    <col min="209" max="209" width="9.46484375" customWidth="1"/>
    <col min="212" max="212" width="28.59765625" customWidth="1"/>
  </cols>
  <sheetData>
    <row r="1" spans="1:216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I1" t="s">
        <v>26</v>
      </c>
      <c r="AJ1" t="s">
        <v>27</v>
      </c>
      <c r="AK1" t="s">
        <v>28</v>
      </c>
      <c r="AL1" t="s">
        <v>17</v>
      </c>
      <c r="AQ1" t="s">
        <v>29</v>
      </c>
      <c r="AR1" t="s">
        <v>30</v>
      </c>
      <c r="AT1" t="s">
        <v>31</v>
      </c>
      <c r="AU1" t="s">
        <v>32</v>
      </c>
      <c r="AW1" t="s">
        <v>33</v>
      </c>
      <c r="AY1" s="3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17</v>
      </c>
      <c r="BJ1" t="s">
        <v>40</v>
      </c>
      <c r="BK1" t="s">
        <v>41</v>
      </c>
      <c r="BL1" t="s">
        <v>42</v>
      </c>
      <c r="BN1" t="s">
        <v>43</v>
      </c>
      <c r="BO1" t="s">
        <v>44</v>
      </c>
      <c r="BP1" t="s">
        <v>36</v>
      </c>
      <c r="BQ1" t="s">
        <v>37</v>
      </c>
      <c r="BR1" t="s">
        <v>38</v>
      </c>
      <c r="BS1" t="s">
        <v>39</v>
      </c>
      <c r="BT1" t="s">
        <v>17</v>
      </c>
      <c r="BY1" t="s">
        <v>40</v>
      </c>
      <c r="BZ1" t="s">
        <v>41</v>
      </c>
      <c r="CA1" t="s">
        <v>42</v>
      </c>
      <c r="CC1" t="s">
        <v>43</v>
      </c>
      <c r="CD1" t="s">
        <v>45</v>
      </c>
      <c r="CE1" t="s">
        <v>36</v>
      </c>
      <c r="CF1" t="s">
        <v>37</v>
      </c>
      <c r="CG1" t="s">
        <v>38</v>
      </c>
      <c r="CH1" t="s">
        <v>39</v>
      </c>
      <c r="CI1" t="s">
        <v>17</v>
      </c>
      <c r="CN1" t="s">
        <v>40</v>
      </c>
      <c r="CO1" t="s">
        <v>41</v>
      </c>
      <c r="CP1" t="s">
        <v>42</v>
      </c>
      <c r="CR1" t="s">
        <v>43</v>
      </c>
      <c r="CS1" s="3" t="s">
        <v>46</v>
      </c>
      <c r="CT1" t="s">
        <v>47</v>
      </c>
      <c r="CU1" t="s">
        <v>48</v>
      </c>
      <c r="CV1" t="s">
        <v>17</v>
      </c>
      <c r="DB1" t="s">
        <v>41</v>
      </c>
      <c r="DC1" s="3" t="s">
        <v>49</v>
      </c>
      <c r="DD1" t="s">
        <v>47</v>
      </c>
      <c r="DE1" t="s">
        <v>48</v>
      </c>
      <c r="DF1" t="s">
        <v>17</v>
      </c>
      <c r="DL1" t="s">
        <v>31</v>
      </c>
      <c r="DM1" s="3" t="s">
        <v>50</v>
      </c>
      <c r="DN1" t="s">
        <v>51</v>
      </c>
      <c r="DR1" t="s">
        <v>52</v>
      </c>
      <c r="DS1" t="s">
        <v>17</v>
      </c>
      <c r="DZ1" t="s">
        <v>53</v>
      </c>
      <c r="EH1" t="s">
        <v>54</v>
      </c>
      <c r="EP1" s="3" t="s">
        <v>55</v>
      </c>
      <c r="EQ1" t="s">
        <v>56</v>
      </c>
      <c r="ER1" t="s">
        <v>57</v>
      </c>
      <c r="ES1" t="s">
        <v>58</v>
      </c>
      <c r="ET1" t="s">
        <v>17</v>
      </c>
      <c r="EW1" t="s">
        <v>59</v>
      </c>
      <c r="EX1" t="s">
        <v>60</v>
      </c>
      <c r="EY1" t="s">
        <v>61</v>
      </c>
      <c r="EZ1" t="s">
        <v>62</v>
      </c>
      <c r="FA1" t="s">
        <v>58</v>
      </c>
      <c r="FB1" t="s">
        <v>17</v>
      </c>
      <c r="FE1" t="s">
        <v>59</v>
      </c>
      <c r="FF1" t="s">
        <v>60</v>
      </c>
      <c r="FG1" t="s">
        <v>61</v>
      </c>
      <c r="FH1" t="s">
        <v>63</v>
      </c>
      <c r="FI1" t="s">
        <v>58</v>
      </c>
      <c r="FJ1" t="s">
        <v>17</v>
      </c>
      <c r="FM1" t="s">
        <v>59</v>
      </c>
      <c r="FN1" t="s">
        <v>60</v>
      </c>
      <c r="FO1" t="s">
        <v>64</v>
      </c>
      <c r="FP1" s="3" t="s">
        <v>65</v>
      </c>
      <c r="FQ1" t="s">
        <v>66</v>
      </c>
      <c r="FR1" t="s">
        <v>67</v>
      </c>
      <c r="FS1" t="s">
        <v>57</v>
      </c>
      <c r="FT1" t="s">
        <v>68</v>
      </c>
      <c r="FU1" t="s">
        <v>17</v>
      </c>
      <c r="GC1" t="s">
        <v>69</v>
      </c>
      <c r="GD1" t="s">
        <v>70</v>
      </c>
      <c r="GE1" t="s">
        <v>68</v>
      </c>
      <c r="GF1" t="s">
        <v>17</v>
      </c>
      <c r="GM1" t="s">
        <v>71</v>
      </c>
      <c r="GN1" t="s">
        <v>72</v>
      </c>
      <c r="GO1" t="s">
        <v>68</v>
      </c>
      <c r="GP1" t="s">
        <v>17</v>
      </c>
      <c r="GW1" t="s">
        <v>71</v>
      </c>
      <c r="GX1" t="s">
        <v>73</v>
      </c>
      <c r="HA1" t="s">
        <v>74</v>
      </c>
      <c r="HB1" t="s">
        <v>75</v>
      </c>
      <c r="HD1" t="s">
        <v>76</v>
      </c>
      <c r="HF1" t="s">
        <v>77</v>
      </c>
      <c r="HG1" t="s">
        <v>78</v>
      </c>
      <c r="HH1" t="s">
        <v>79</v>
      </c>
    </row>
    <row r="2" spans="1:216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s="20" t="s">
        <v>2329</v>
      </c>
      <c r="AI2" t="s">
        <v>26</v>
      </c>
      <c r="AJ2" t="s">
        <v>27</v>
      </c>
      <c r="AK2" t="s">
        <v>28</v>
      </c>
      <c r="AL2" t="s">
        <v>86</v>
      </c>
      <c r="AM2" t="s">
        <v>2071</v>
      </c>
      <c r="AN2" t="s">
        <v>87</v>
      </c>
      <c r="AO2" t="s">
        <v>88</v>
      </c>
      <c r="AP2" t="s">
        <v>89</v>
      </c>
      <c r="AQ2" t="s">
        <v>29</v>
      </c>
      <c r="AR2" t="s">
        <v>2072</v>
      </c>
      <c r="AS2" t="s">
        <v>2073</v>
      </c>
      <c r="AT2" t="s">
        <v>31</v>
      </c>
      <c r="AU2" t="s">
        <v>32</v>
      </c>
      <c r="AV2" t="s">
        <v>2070</v>
      </c>
      <c r="AW2" t="s">
        <v>33</v>
      </c>
      <c r="AX2" t="s">
        <v>2074</v>
      </c>
      <c r="AY2" s="1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E2" s="20" t="s">
        <v>2075</v>
      </c>
      <c r="BF2" t="s">
        <v>2076</v>
      </c>
      <c r="BG2" t="s">
        <v>90</v>
      </c>
      <c r="BH2" t="s">
        <v>91</v>
      </c>
      <c r="BI2" t="s">
        <v>92</v>
      </c>
      <c r="BJ2" t="s">
        <v>40</v>
      </c>
      <c r="BK2" t="s">
        <v>41</v>
      </c>
      <c r="BL2" t="s">
        <v>42</v>
      </c>
      <c r="BM2" t="s">
        <v>2077</v>
      </c>
      <c r="BN2" t="s">
        <v>43</v>
      </c>
      <c r="BO2" t="s">
        <v>44</v>
      </c>
      <c r="BP2" t="s">
        <v>2078</v>
      </c>
      <c r="BQ2" t="s">
        <v>2079</v>
      </c>
      <c r="BR2" t="s">
        <v>2080</v>
      </c>
      <c r="BS2" t="s">
        <v>2081</v>
      </c>
      <c r="BT2" t="s">
        <v>2082</v>
      </c>
      <c r="BU2" t="s">
        <v>2083</v>
      </c>
      <c r="BV2" t="s">
        <v>2084</v>
      </c>
      <c r="BW2" t="s">
        <v>2085</v>
      </c>
      <c r="BX2" t="s">
        <v>2086</v>
      </c>
      <c r="BY2" t="s">
        <v>2087</v>
      </c>
      <c r="BZ2" t="s">
        <v>2088</v>
      </c>
      <c r="CA2" t="s">
        <v>2089</v>
      </c>
      <c r="CB2" t="s">
        <v>2090</v>
      </c>
      <c r="CC2" t="s">
        <v>2091</v>
      </c>
      <c r="CD2" t="s">
        <v>45</v>
      </c>
      <c r="CE2" t="s">
        <v>2092</v>
      </c>
      <c r="CF2" t="s">
        <v>2093</v>
      </c>
      <c r="CG2" t="s">
        <v>2094</v>
      </c>
      <c r="CH2" t="s">
        <v>2095</v>
      </c>
      <c r="CI2" t="s">
        <v>2096</v>
      </c>
      <c r="CJ2" t="s">
        <v>2097</v>
      </c>
      <c r="CK2" t="s">
        <v>2098</v>
      </c>
      <c r="CL2" t="s">
        <v>2099</v>
      </c>
      <c r="CM2" t="s">
        <v>2100</v>
      </c>
      <c r="CN2" t="s">
        <v>2101</v>
      </c>
      <c r="CO2" t="s">
        <v>2102</v>
      </c>
      <c r="CP2" t="s">
        <v>2103</v>
      </c>
      <c r="CQ2" t="s">
        <v>2104</v>
      </c>
      <c r="CR2" t="s">
        <v>2105</v>
      </c>
      <c r="CS2" s="1" t="s">
        <v>46</v>
      </c>
      <c r="CT2" t="s">
        <v>47</v>
      </c>
      <c r="CU2" t="s">
        <v>48</v>
      </c>
      <c r="CV2" t="s">
        <v>93</v>
      </c>
      <c r="CW2" t="s">
        <v>94</v>
      </c>
      <c r="CX2" t="s">
        <v>95</v>
      </c>
      <c r="CY2" t="s">
        <v>96</v>
      </c>
      <c r="CZ2" t="s">
        <v>97</v>
      </c>
      <c r="DA2" t="s">
        <v>98</v>
      </c>
      <c r="DB2" t="s">
        <v>2106</v>
      </c>
      <c r="DC2" s="1" t="s">
        <v>49</v>
      </c>
      <c r="DD2" t="s">
        <v>2107</v>
      </c>
      <c r="DE2" t="s">
        <v>2108</v>
      </c>
      <c r="DF2" t="s">
        <v>2109</v>
      </c>
      <c r="DG2" t="s">
        <v>2110</v>
      </c>
      <c r="DH2" t="s">
        <v>2111</v>
      </c>
      <c r="DI2" t="s">
        <v>2112</v>
      </c>
      <c r="DJ2" t="s">
        <v>2113</v>
      </c>
      <c r="DK2" t="s">
        <v>2114</v>
      </c>
      <c r="DL2" t="s">
        <v>2115</v>
      </c>
      <c r="DM2" s="1" t="s">
        <v>50</v>
      </c>
      <c r="DN2" t="s">
        <v>51</v>
      </c>
      <c r="DO2" t="s">
        <v>2067</v>
      </c>
      <c r="DP2" t="s">
        <v>2068</v>
      </c>
      <c r="DQ2" t="s">
        <v>2069</v>
      </c>
      <c r="DR2" t="s">
        <v>52</v>
      </c>
      <c r="DS2" t="s">
        <v>99</v>
      </c>
      <c r="DT2" t="s">
        <v>100</v>
      </c>
      <c r="DU2" t="s">
        <v>101</v>
      </c>
      <c r="DV2" t="s">
        <v>102</v>
      </c>
      <c r="DW2" t="s">
        <v>103</v>
      </c>
      <c r="DX2" t="s">
        <v>104</v>
      </c>
      <c r="DY2" t="s">
        <v>105</v>
      </c>
      <c r="DZ2" t="s">
        <v>106</v>
      </c>
      <c r="EA2" t="s">
        <v>107</v>
      </c>
      <c r="EB2" t="s">
        <v>108</v>
      </c>
      <c r="EC2" t="s">
        <v>109</v>
      </c>
      <c r="ED2" t="s">
        <v>110</v>
      </c>
      <c r="EE2" t="s">
        <v>111</v>
      </c>
      <c r="EF2" t="s">
        <v>112</v>
      </c>
      <c r="EG2" t="s">
        <v>2116</v>
      </c>
      <c r="EH2" t="s">
        <v>2117</v>
      </c>
      <c r="EI2" t="s">
        <v>2118</v>
      </c>
      <c r="EJ2" t="s">
        <v>2119</v>
      </c>
      <c r="EK2" t="s">
        <v>2120</v>
      </c>
      <c r="EL2" t="s">
        <v>2121</v>
      </c>
      <c r="EM2" t="s">
        <v>2122</v>
      </c>
      <c r="EN2" t="s">
        <v>2123</v>
      </c>
      <c r="EO2" t="s">
        <v>2124</v>
      </c>
      <c r="EP2" s="1" t="s">
        <v>55</v>
      </c>
      <c r="EQ2" t="s">
        <v>56</v>
      </c>
      <c r="ER2" t="s">
        <v>57</v>
      </c>
      <c r="ES2" t="s">
        <v>58</v>
      </c>
      <c r="ET2" s="20" t="s">
        <v>113</v>
      </c>
      <c r="EU2" t="s">
        <v>114</v>
      </c>
      <c r="EV2" t="s">
        <v>115</v>
      </c>
      <c r="EW2" t="s">
        <v>59</v>
      </c>
      <c r="EX2" t="s">
        <v>60</v>
      </c>
      <c r="EY2" t="s">
        <v>61</v>
      </c>
      <c r="EZ2" t="s">
        <v>62</v>
      </c>
      <c r="FA2" t="s">
        <v>2125</v>
      </c>
      <c r="FB2" t="s">
        <v>2126</v>
      </c>
      <c r="FC2" t="s">
        <v>2127</v>
      </c>
      <c r="FD2" t="s">
        <v>2128</v>
      </c>
      <c r="FE2" t="s">
        <v>2129</v>
      </c>
      <c r="FF2" t="s">
        <v>2130</v>
      </c>
      <c r="FG2" t="s">
        <v>2131</v>
      </c>
      <c r="FH2" t="s">
        <v>63</v>
      </c>
      <c r="FI2" t="s">
        <v>2132</v>
      </c>
      <c r="FJ2" t="s">
        <v>2133</v>
      </c>
      <c r="FK2" t="s">
        <v>2134</v>
      </c>
      <c r="FL2" t="s">
        <v>2135</v>
      </c>
      <c r="FM2" t="s">
        <v>2136</v>
      </c>
      <c r="FN2" t="s">
        <v>2137</v>
      </c>
      <c r="FO2" t="s">
        <v>64</v>
      </c>
      <c r="FP2" s="1" t="s">
        <v>65</v>
      </c>
      <c r="FQ2" t="s">
        <v>66</v>
      </c>
      <c r="FR2" t="s">
        <v>67</v>
      </c>
      <c r="FS2" t="s">
        <v>2138</v>
      </c>
      <c r="FT2" t="s">
        <v>68</v>
      </c>
      <c r="FU2" s="20" t="s">
        <v>116</v>
      </c>
      <c r="FV2" t="s">
        <v>2139</v>
      </c>
      <c r="FW2" t="s">
        <v>2140</v>
      </c>
      <c r="FX2" t="s">
        <v>2141</v>
      </c>
      <c r="FY2" t="s">
        <v>2142</v>
      </c>
      <c r="FZ2" t="s">
        <v>2143</v>
      </c>
      <c r="GA2" t="s">
        <v>2144</v>
      </c>
      <c r="GB2" t="s">
        <v>2145</v>
      </c>
      <c r="GC2" t="s">
        <v>69</v>
      </c>
      <c r="GD2" t="s">
        <v>70</v>
      </c>
      <c r="GE2" t="s">
        <v>2146</v>
      </c>
      <c r="GF2" t="s">
        <v>2147</v>
      </c>
      <c r="GG2" t="s">
        <v>2148</v>
      </c>
      <c r="GH2" t="s">
        <v>2149</v>
      </c>
      <c r="GI2" t="s">
        <v>2150</v>
      </c>
      <c r="GJ2" t="s">
        <v>2151</v>
      </c>
      <c r="GK2" t="s">
        <v>2152</v>
      </c>
      <c r="GL2" t="s">
        <v>2153</v>
      </c>
      <c r="GM2" t="s">
        <v>71</v>
      </c>
      <c r="GN2" t="s">
        <v>72</v>
      </c>
      <c r="GO2" t="s">
        <v>2154</v>
      </c>
      <c r="GP2" t="s">
        <v>2155</v>
      </c>
      <c r="GQ2" t="s">
        <v>2156</v>
      </c>
      <c r="GR2" t="s">
        <v>2157</v>
      </c>
      <c r="GS2" t="s">
        <v>2158</v>
      </c>
      <c r="GT2" t="s">
        <v>2159</v>
      </c>
      <c r="GU2" t="s">
        <v>2160</v>
      </c>
      <c r="GV2" t="s">
        <v>2161</v>
      </c>
      <c r="GW2" t="s">
        <v>2162</v>
      </c>
      <c r="GX2" t="s">
        <v>73</v>
      </c>
      <c r="GY2" t="s">
        <v>2163</v>
      </c>
      <c r="GZ2" t="s">
        <v>2164</v>
      </c>
      <c r="HA2" t="s">
        <v>74</v>
      </c>
      <c r="HB2" t="s">
        <v>75</v>
      </c>
      <c r="HC2" s="20" t="s">
        <v>2320</v>
      </c>
      <c r="HD2" t="s">
        <v>76</v>
      </c>
      <c r="HE2" t="s">
        <v>2165</v>
      </c>
      <c r="HF2" t="s">
        <v>77</v>
      </c>
      <c r="HG2" t="s">
        <v>78</v>
      </c>
      <c r="HH2" t="s">
        <v>79</v>
      </c>
    </row>
    <row r="3" spans="1:216" x14ac:dyDescent="0.45">
      <c r="A3">
        <v>96</v>
      </c>
      <c r="B3">
        <f>_xlfn.IFNA(VLOOKUP(AnalizaCzyste[[#This Row],[Zakończono wypełnianie]],Zakończone[],2,0),"BRAK")</f>
        <v>59</v>
      </c>
      <c r="C3">
        <f t="shared" ref="C3:C34" si="0">COUNTA(O3:HH3)</f>
        <v>38</v>
      </c>
      <c r="D3" t="s">
        <v>370</v>
      </c>
      <c r="E3" t="s">
        <v>118</v>
      </c>
      <c r="F3" t="s">
        <v>774</v>
      </c>
      <c r="J3" t="s">
        <v>119</v>
      </c>
      <c r="K3" t="s">
        <v>967</v>
      </c>
      <c r="L3" t="s">
        <v>968</v>
      </c>
      <c r="M3">
        <v>5160</v>
      </c>
      <c r="N3">
        <v>0</v>
      </c>
      <c r="O3" t="s">
        <v>122</v>
      </c>
      <c r="P3" s="1" t="s">
        <v>123</v>
      </c>
      <c r="AF3" s="1" t="s">
        <v>124</v>
      </c>
      <c r="AG3" t="s">
        <v>191</v>
      </c>
      <c r="AH3" t="str">
        <f>VLOOKUP(AnalizaCzyste[[#This Row],[Jak się nazywa uczelnia którą ukończyłeś? (proszę o wybranie jednej uczelni podlegającej ocenie)]],KategorieUczelni[],2,0)</f>
        <v>Publiczna</v>
      </c>
      <c r="AI3">
        <v>2000</v>
      </c>
      <c r="AJ3" t="s">
        <v>148</v>
      </c>
      <c r="AK3" t="s">
        <v>969</v>
      </c>
      <c r="AL3" t="s">
        <v>151</v>
      </c>
      <c r="AM3" t="s">
        <v>151</v>
      </c>
      <c r="AN3" t="s">
        <v>162</v>
      </c>
      <c r="AO3" t="s">
        <v>162</v>
      </c>
      <c r="AP3" t="s">
        <v>150</v>
      </c>
      <c r="AQ3">
        <v>0</v>
      </c>
      <c r="AR3" t="s">
        <v>153</v>
      </c>
      <c r="AS3" t="s">
        <v>226</v>
      </c>
      <c r="AT3" t="s">
        <v>802</v>
      </c>
      <c r="AU3" t="s">
        <v>824</v>
      </c>
      <c r="AV3" t="s">
        <v>780</v>
      </c>
      <c r="AW3" t="s">
        <v>230</v>
      </c>
      <c r="AX3" t="s">
        <v>970</v>
      </c>
      <c r="AY3" s="1" t="s">
        <v>123</v>
      </c>
      <c r="CS3" s="1" t="s">
        <v>123</v>
      </c>
      <c r="DC3" s="1" t="s">
        <v>123</v>
      </c>
      <c r="DM3" s="1" t="s">
        <v>123</v>
      </c>
      <c r="EP3" s="1" t="s">
        <v>123</v>
      </c>
      <c r="FP3" s="1" t="s">
        <v>123</v>
      </c>
      <c r="FQ3" t="s">
        <v>132</v>
      </c>
      <c r="FS3" t="s">
        <v>132</v>
      </c>
      <c r="GX3" t="s">
        <v>786</v>
      </c>
      <c r="GY3" t="s">
        <v>787</v>
      </c>
      <c r="GZ3" t="s">
        <v>807</v>
      </c>
      <c r="HA3" t="s">
        <v>186</v>
      </c>
      <c r="HB3">
        <v>1968</v>
      </c>
      <c r="HC3" t="str">
        <f>VLOOKUP(AnalizaCzyste[[#This Row],[Rok urodzenia]],KategorieWiekowe[],2,1)</f>
        <v>46-55 lat</v>
      </c>
      <c r="HD3" t="s">
        <v>398</v>
      </c>
      <c r="HE3" t="s">
        <v>971</v>
      </c>
      <c r="HF3" t="s">
        <v>972</v>
      </c>
    </row>
    <row r="4" spans="1:216" x14ac:dyDescent="0.45">
      <c r="A4">
        <v>89</v>
      </c>
      <c r="B4">
        <f>_xlfn.IFNA(VLOOKUP(AnalizaCzyste[[#This Row],[Zakończono wypełnianie]],Zakończone[],2,0),"BRAK")</f>
        <v>54</v>
      </c>
      <c r="C4">
        <f t="shared" si="0"/>
        <v>37</v>
      </c>
      <c r="D4" t="s">
        <v>902</v>
      </c>
      <c r="E4" t="s">
        <v>118</v>
      </c>
      <c r="J4" t="s">
        <v>119</v>
      </c>
      <c r="K4" t="s">
        <v>903</v>
      </c>
      <c r="L4" t="s">
        <v>904</v>
      </c>
      <c r="M4">
        <v>255</v>
      </c>
      <c r="N4">
        <v>0</v>
      </c>
      <c r="O4" t="s">
        <v>122</v>
      </c>
      <c r="P4" s="1" t="s">
        <v>123</v>
      </c>
      <c r="AF4" s="1" t="s">
        <v>124</v>
      </c>
      <c r="AG4" t="s">
        <v>191</v>
      </c>
      <c r="AH4" t="str">
        <f>VLOOKUP(AnalizaCzyste[[#This Row],[Jak się nazywa uczelnia którą ukończyłeś? (proszę o wybranie jednej uczelni podlegającej ocenie)]],KategorieUczelni[],2,0)</f>
        <v>Publiczna</v>
      </c>
      <c r="AI4">
        <v>2009</v>
      </c>
      <c r="AJ4" t="s">
        <v>126</v>
      </c>
      <c r="AK4" t="s">
        <v>906</v>
      </c>
      <c r="AL4" t="s">
        <v>151</v>
      </c>
      <c r="AM4" t="s">
        <v>151</v>
      </c>
      <c r="AN4" t="s">
        <v>150</v>
      </c>
      <c r="AO4" t="s">
        <v>128</v>
      </c>
      <c r="AP4" t="s">
        <v>162</v>
      </c>
      <c r="AQ4" t="s">
        <v>907</v>
      </c>
      <c r="AR4" t="s">
        <v>131</v>
      </c>
      <c r="AS4" t="s">
        <v>759</v>
      </c>
      <c r="AT4" t="s">
        <v>908</v>
      </c>
      <c r="AU4" t="s">
        <v>908</v>
      </c>
      <c r="AV4" t="s">
        <v>909</v>
      </c>
      <c r="AW4" t="s">
        <v>172</v>
      </c>
      <c r="AY4" s="1" t="s">
        <v>123</v>
      </c>
      <c r="CS4" s="1" t="s">
        <v>123</v>
      </c>
      <c r="DC4" s="1" t="s">
        <v>123</v>
      </c>
      <c r="DM4" s="1" t="s">
        <v>123</v>
      </c>
      <c r="EP4" s="1" t="s">
        <v>123</v>
      </c>
      <c r="EQ4" t="s">
        <v>180</v>
      </c>
      <c r="ER4" t="s">
        <v>132</v>
      </c>
      <c r="FP4" s="1" t="s">
        <v>123</v>
      </c>
      <c r="FQ4" t="s">
        <v>132</v>
      </c>
      <c r="FS4" t="s">
        <v>132</v>
      </c>
      <c r="GX4" t="s">
        <v>910</v>
      </c>
      <c r="GY4" t="s">
        <v>911</v>
      </c>
      <c r="GZ4" t="s">
        <v>912</v>
      </c>
      <c r="HA4" t="s">
        <v>186</v>
      </c>
      <c r="HB4">
        <v>1983</v>
      </c>
      <c r="HC4" t="str">
        <f>VLOOKUP(AnalizaCzyste[[#This Row],[Rok urodzenia]],KategorieWiekowe[],2,1)</f>
        <v>36-45 lat</v>
      </c>
      <c r="HD4" t="s">
        <v>141</v>
      </c>
    </row>
    <row r="5" spans="1:216" x14ac:dyDescent="0.45">
      <c r="A5">
        <v>126</v>
      </c>
      <c r="B5">
        <f>_xlfn.IFNA(VLOOKUP(AnalizaCzyste[[#This Row],[Zakończono wypełnianie]],Zakończone[],2,0),"BRAK")</f>
        <v>75</v>
      </c>
      <c r="C5">
        <f t="shared" si="0"/>
        <v>33</v>
      </c>
      <c r="D5" t="s">
        <v>1151</v>
      </c>
      <c r="E5" t="s">
        <v>118</v>
      </c>
      <c r="F5" t="s">
        <v>359</v>
      </c>
      <c r="J5" t="s">
        <v>119</v>
      </c>
      <c r="K5" t="s">
        <v>1184</v>
      </c>
      <c r="L5" t="s">
        <v>1185</v>
      </c>
      <c r="M5">
        <v>739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 t="str">
        <f>VLOOKUP(AnalizaCzyste[[#This Row],[Jak się nazywa uczelnia którą ukończyłeś? (proszę o wybranie jednej uczelni podlegającej ocenie)]],KategorieUczelni[],2,0)</f>
        <v>Publiczna</v>
      </c>
      <c r="AI5">
        <v>2018</v>
      </c>
      <c r="AJ5" t="s">
        <v>126</v>
      </c>
      <c r="AK5" t="s">
        <v>1186</v>
      </c>
      <c r="AL5" t="s">
        <v>151</v>
      </c>
      <c r="AM5" t="s">
        <v>162</v>
      </c>
      <c r="AN5" t="s">
        <v>169</v>
      </c>
      <c r="AO5" t="s">
        <v>150</v>
      </c>
      <c r="AP5" t="s">
        <v>132</v>
      </c>
      <c r="AQ5" t="s">
        <v>959</v>
      </c>
      <c r="AR5" t="s">
        <v>302</v>
      </c>
      <c r="AS5" t="s">
        <v>226</v>
      </c>
      <c r="AT5" t="s">
        <v>1187</v>
      </c>
      <c r="AU5" t="s">
        <v>1188</v>
      </c>
      <c r="AV5" t="s">
        <v>1189</v>
      </c>
      <c r="AW5" t="s">
        <v>172</v>
      </c>
      <c r="AY5" s="1" t="s">
        <v>123</v>
      </c>
      <c r="CS5" s="1" t="s">
        <v>123</v>
      </c>
      <c r="DC5" s="1" t="s">
        <v>123</v>
      </c>
      <c r="DM5" s="1" t="s">
        <v>123</v>
      </c>
      <c r="EP5" s="1" t="s">
        <v>123</v>
      </c>
      <c r="FP5" s="1" t="s">
        <v>123</v>
      </c>
      <c r="GX5" t="s">
        <v>276</v>
      </c>
      <c r="GY5" t="s">
        <v>1190</v>
      </c>
      <c r="GZ5" t="s">
        <v>1191</v>
      </c>
      <c r="HA5" t="s">
        <v>186</v>
      </c>
      <c r="HB5">
        <v>1991</v>
      </c>
      <c r="HC5" t="str">
        <f>VLOOKUP(AnalizaCzyste[[#This Row],[Rok urodzenia]],KategorieWiekowe[],2,1)</f>
        <v>26-35 lat</v>
      </c>
      <c r="HD5" t="s">
        <v>141</v>
      </c>
    </row>
    <row r="6" spans="1:216" x14ac:dyDescent="0.45">
      <c r="A6">
        <v>114</v>
      </c>
      <c r="B6">
        <f>_xlfn.IFNA(VLOOKUP(AnalizaCzyste[[#This Row],[Zakończono wypełnianie]],Zakończone[],2,0),"BRAK")</f>
        <v>68</v>
      </c>
      <c r="C6">
        <f t="shared" si="0"/>
        <v>43</v>
      </c>
      <c r="D6" t="s">
        <v>1077</v>
      </c>
      <c r="E6" t="s">
        <v>118</v>
      </c>
      <c r="J6" t="s">
        <v>119</v>
      </c>
      <c r="K6" t="s">
        <v>1078</v>
      </c>
      <c r="L6" t="s">
        <v>1079</v>
      </c>
      <c r="M6">
        <v>862</v>
      </c>
      <c r="N6">
        <v>0</v>
      </c>
      <c r="O6" t="s">
        <v>122</v>
      </c>
      <c r="P6" s="1" t="s">
        <v>123</v>
      </c>
      <c r="AF6" s="1" t="s">
        <v>124</v>
      </c>
      <c r="AG6" t="s">
        <v>223</v>
      </c>
      <c r="AH6" t="str">
        <f>VLOOKUP(AnalizaCzyste[[#This Row],[Jak się nazywa uczelnia którą ukończyłeś? (proszę o wybranie jednej uczelni podlegającej ocenie)]],KategorieUczelni[],2,0)</f>
        <v>Publiczna</v>
      </c>
      <c r="AI6">
        <v>2007</v>
      </c>
      <c r="AJ6" t="s">
        <v>148</v>
      </c>
      <c r="AK6" t="s">
        <v>969</v>
      </c>
      <c r="AL6" t="s">
        <v>151</v>
      </c>
      <c r="AM6" t="s">
        <v>151</v>
      </c>
      <c r="AN6" t="s">
        <v>150</v>
      </c>
      <c r="AO6" t="s">
        <v>162</v>
      </c>
      <c r="AP6" t="s">
        <v>150</v>
      </c>
      <c r="AQ6" t="s">
        <v>237</v>
      </c>
      <c r="AR6" t="s">
        <v>131</v>
      </c>
      <c r="AS6" t="s">
        <v>302</v>
      </c>
      <c r="AU6" t="s">
        <v>1080</v>
      </c>
      <c r="AV6" t="s">
        <v>1081</v>
      </c>
      <c r="AW6" t="s">
        <v>230</v>
      </c>
      <c r="AY6" s="1" t="s">
        <v>123</v>
      </c>
      <c r="CS6" s="1" t="s">
        <v>123</v>
      </c>
      <c r="DC6" s="1" t="s">
        <v>123</v>
      </c>
      <c r="DM6" s="1" t="s">
        <v>123</v>
      </c>
      <c r="EP6" s="1" t="s">
        <v>123</v>
      </c>
      <c r="EQ6" t="s">
        <v>178</v>
      </c>
      <c r="ER6" t="s">
        <v>132</v>
      </c>
      <c r="ES6" t="s">
        <v>1082</v>
      </c>
      <c r="ET6" t="s">
        <v>151</v>
      </c>
      <c r="EU6" t="s">
        <v>151</v>
      </c>
      <c r="EV6" t="s">
        <v>151</v>
      </c>
      <c r="EW6" t="s">
        <v>178</v>
      </c>
      <c r="EY6" t="s">
        <v>1083</v>
      </c>
      <c r="EZ6" t="s">
        <v>173</v>
      </c>
      <c r="FP6" s="1" t="s">
        <v>123</v>
      </c>
      <c r="FQ6" t="s">
        <v>132</v>
      </c>
      <c r="FS6" t="s">
        <v>132</v>
      </c>
      <c r="GX6" t="s">
        <v>1084</v>
      </c>
      <c r="GY6" t="s">
        <v>1085</v>
      </c>
      <c r="GZ6" t="s">
        <v>1086</v>
      </c>
      <c r="HA6" t="s">
        <v>140</v>
      </c>
      <c r="HB6">
        <v>1982</v>
      </c>
      <c r="HC6" t="str">
        <f>VLOOKUP(AnalizaCzyste[[#This Row],[Rok urodzenia]],KategorieWiekowe[],2,1)</f>
        <v>36-45 lat</v>
      </c>
      <c r="HD6" t="s">
        <v>141</v>
      </c>
    </row>
    <row r="7" spans="1:216" x14ac:dyDescent="0.45">
      <c r="A7">
        <v>17</v>
      </c>
      <c r="B7">
        <f>_xlfn.IFNA(VLOOKUP(AnalizaCzyste[[#This Row],[Zakończono wypełnianie]],Zakończone[],2,0),"BRAK")</f>
        <v>16</v>
      </c>
      <c r="C7">
        <f t="shared" si="0"/>
        <v>35</v>
      </c>
      <c r="D7" t="s">
        <v>358</v>
      </c>
      <c r="E7" t="s">
        <v>118</v>
      </c>
      <c r="F7" t="s">
        <v>359</v>
      </c>
      <c r="J7" t="s">
        <v>119</v>
      </c>
      <c r="K7" t="s">
        <v>360</v>
      </c>
      <c r="L7" t="s">
        <v>361</v>
      </c>
      <c r="M7">
        <v>1534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 t="str">
        <f>VLOOKUP(AnalizaCzyste[[#This Row],[Jak się nazywa uczelnia którą ukończyłeś? (proszę o wybranie jednej uczelni podlegającej ocenie)]],KategorieUczelni[],2,0)</f>
        <v>Publiczna</v>
      </c>
      <c r="AI7">
        <v>2011</v>
      </c>
      <c r="AJ7" t="s">
        <v>148</v>
      </c>
      <c r="AK7" t="s">
        <v>362</v>
      </c>
      <c r="AL7" t="s">
        <v>151</v>
      </c>
      <c r="AM7" t="s">
        <v>236</v>
      </c>
      <c r="AN7" t="s">
        <v>129</v>
      </c>
      <c r="AO7" t="s">
        <v>129</v>
      </c>
      <c r="AP7" t="s">
        <v>129</v>
      </c>
      <c r="AQ7">
        <v>4</v>
      </c>
      <c r="AR7" t="s">
        <v>131</v>
      </c>
      <c r="AS7" t="s">
        <v>131</v>
      </c>
      <c r="AT7" t="s">
        <v>363</v>
      </c>
      <c r="AU7" t="s">
        <v>364</v>
      </c>
      <c r="AV7" t="s">
        <v>365</v>
      </c>
      <c r="AW7" t="s">
        <v>157</v>
      </c>
      <c r="AY7" s="1" t="s">
        <v>123</v>
      </c>
      <c r="CS7" s="1" t="s">
        <v>123</v>
      </c>
      <c r="DC7" s="1" t="s">
        <v>123</v>
      </c>
      <c r="DM7" s="1" t="s">
        <v>123</v>
      </c>
      <c r="EP7" s="1" t="s">
        <v>123</v>
      </c>
      <c r="FP7" s="1" t="s">
        <v>123</v>
      </c>
      <c r="FQ7" t="s">
        <v>132</v>
      </c>
      <c r="GX7" t="s">
        <v>366</v>
      </c>
      <c r="GY7" t="s">
        <v>367</v>
      </c>
      <c r="GZ7" t="s">
        <v>368</v>
      </c>
      <c r="HA7" t="s">
        <v>140</v>
      </c>
      <c r="HB7">
        <v>1987</v>
      </c>
      <c r="HC7" t="str">
        <f>VLOOKUP(AnalizaCzyste[[#This Row],[Rok urodzenia]],KategorieWiekowe[],2,1)</f>
        <v>26-35 lat</v>
      </c>
      <c r="HD7" t="s">
        <v>141</v>
      </c>
      <c r="HF7" t="s">
        <v>369</v>
      </c>
    </row>
    <row r="8" spans="1:216" x14ac:dyDescent="0.45">
      <c r="A8">
        <v>77</v>
      </c>
      <c r="B8">
        <f>_xlfn.IFNA(VLOOKUP(AnalizaCzyste[[#This Row],[Zakończono wypełnianie]],Zakończone[],2,0),"BRAK")</f>
        <v>43</v>
      </c>
      <c r="C8">
        <f t="shared" si="0"/>
        <v>35</v>
      </c>
      <c r="D8" t="s">
        <v>773</v>
      </c>
      <c r="E8" t="s">
        <v>118</v>
      </c>
      <c r="F8" t="s">
        <v>774</v>
      </c>
      <c r="J8" t="s">
        <v>119</v>
      </c>
      <c r="K8" t="s">
        <v>791</v>
      </c>
      <c r="L8" t="s">
        <v>792</v>
      </c>
      <c r="M8">
        <v>333</v>
      </c>
      <c r="N8">
        <v>0</v>
      </c>
      <c r="O8" t="s">
        <v>122</v>
      </c>
      <c r="P8" s="1" t="s">
        <v>123</v>
      </c>
      <c r="AF8" s="1" t="s">
        <v>124</v>
      </c>
      <c r="AG8" t="s">
        <v>223</v>
      </c>
      <c r="AH8" t="str">
        <f>VLOOKUP(AnalizaCzyste[[#This Row],[Jak się nazywa uczelnia którą ukończyłeś? (proszę o wybranie jednej uczelni podlegającej ocenie)]],KategorieUczelni[],2,0)</f>
        <v>Publiczna</v>
      </c>
      <c r="AI8">
        <v>2012</v>
      </c>
      <c r="AJ8" t="s">
        <v>148</v>
      </c>
      <c r="AK8" t="s">
        <v>793</v>
      </c>
      <c r="AL8" t="s">
        <v>151</v>
      </c>
      <c r="AM8" t="s">
        <v>151</v>
      </c>
      <c r="AN8" t="s">
        <v>129</v>
      </c>
      <c r="AO8" t="s">
        <v>129</v>
      </c>
      <c r="AP8" t="s">
        <v>128</v>
      </c>
      <c r="AQ8">
        <v>3</v>
      </c>
      <c r="AR8" t="s">
        <v>131</v>
      </c>
      <c r="AS8" t="s">
        <v>302</v>
      </c>
      <c r="AT8" t="s">
        <v>386</v>
      </c>
      <c r="AU8" t="s">
        <v>794</v>
      </c>
      <c r="AV8" t="s">
        <v>780</v>
      </c>
      <c r="AW8" t="s">
        <v>157</v>
      </c>
      <c r="AY8" s="1" t="s">
        <v>123</v>
      </c>
      <c r="CS8" s="1" t="s">
        <v>123</v>
      </c>
      <c r="DC8" s="1" t="s">
        <v>123</v>
      </c>
      <c r="DM8" s="1" t="s">
        <v>123</v>
      </c>
      <c r="EP8" s="1" t="s">
        <v>123</v>
      </c>
      <c r="FP8" s="1" t="s">
        <v>123</v>
      </c>
      <c r="FQ8" t="s">
        <v>132</v>
      </c>
      <c r="GX8" t="s">
        <v>786</v>
      </c>
      <c r="GY8" t="s">
        <v>787</v>
      </c>
      <c r="GZ8" t="s">
        <v>788</v>
      </c>
      <c r="HA8" t="s">
        <v>186</v>
      </c>
      <c r="HB8">
        <v>1987</v>
      </c>
      <c r="HC8" t="str">
        <f>VLOOKUP(AnalizaCzyste[[#This Row],[Rok urodzenia]],KategorieWiekowe[],2,1)</f>
        <v>26-35 lat</v>
      </c>
      <c r="HD8" t="s">
        <v>141</v>
      </c>
      <c r="HF8" t="s">
        <v>795</v>
      </c>
    </row>
    <row r="9" spans="1:216" x14ac:dyDescent="0.45">
      <c r="A9">
        <v>171</v>
      </c>
      <c r="B9">
        <f>_xlfn.IFNA(VLOOKUP(AnalizaCzyste[[#This Row],[Zakończono wypełnianie]],Zakończone[],2,0),"BRAK")</f>
        <v>98</v>
      </c>
      <c r="C9">
        <f t="shared" si="0"/>
        <v>32</v>
      </c>
      <c r="D9" t="s">
        <v>1336</v>
      </c>
      <c r="E9" t="s">
        <v>118</v>
      </c>
      <c r="J9" t="s">
        <v>119</v>
      </c>
      <c r="K9" t="s">
        <v>1481</v>
      </c>
      <c r="L9" t="s">
        <v>1482</v>
      </c>
      <c r="M9">
        <v>562</v>
      </c>
      <c r="N9">
        <v>0</v>
      </c>
      <c r="O9" t="s">
        <v>122</v>
      </c>
      <c r="P9" s="1" t="s">
        <v>123</v>
      </c>
      <c r="AF9" s="1" t="s">
        <v>124</v>
      </c>
      <c r="AG9" t="s">
        <v>223</v>
      </c>
      <c r="AH9" t="str">
        <f>VLOOKUP(AnalizaCzyste[[#This Row],[Jak się nazywa uczelnia którą ukończyłeś? (proszę o wybranie jednej uczelni podlegającej ocenie)]],KategorieUczelni[],2,0)</f>
        <v>Publiczna</v>
      </c>
      <c r="AI9">
        <v>2014</v>
      </c>
      <c r="AJ9" t="s">
        <v>148</v>
      </c>
      <c r="AK9" t="s">
        <v>1483</v>
      </c>
      <c r="AL9" t="s">
        <v>151</v>
      </c>
      <c r="AM9" t="s">
        <v>128</v>
      </c>
      <c r="AN9" t="s">
        <v>128</v>
      </c>
      <c r="AO9" t="s">
        <v>151</v>
      </c>
      <c r="AP9" t="s">
        <v>162</v>
      </c>
      <c r="AQ9" t="s">
        <v>1484</v>
      </c>
      <c r="AR9" t="s">
        <v>153</v>
      </c>
      <c r="AS9" t="s">
        <v>153</v>
      </c>
      <c r="AU9" t="s">
        <v>1485</v>
      </c>
      <c r="AV9" t="s">
        <v>1486</v>
      </c>
      <c r="AW9" t="s">
        <v>172</v>
      </c>
      <c r="AY9" s="1" t="s">
        <v>123</v>
      </c>
      <c r="CS9" s="1" t="s">
        <v>123</v>
      </c>
      <c r="DC9" s="1" t="s">
        <v>123</v>
      </c>
      <c r="DM9" s="1" t="s">
        <v>123</v>
      </c>
      <c r="EP9" s="1" t="s">
        <v>123</v>
      </c>
      <c r="FP9" s="1" t="s">
        <v>123</v>
      </c>
      <c r="GX9" t="s">
        <v>1487</v>
      </c>
      <c r="GY9" t="s">
        <v>1488</v>
      </c>
      <c r="GZ9" t="s">
        <v>1489</v>
      </c>
      <c r="HA9" t="s">
        <v>140</v>
      </c>
      <c r="HB9">
        <v>1991</v>
      </c>
      <c r="HC9" t="str">
        <f>VLOOKUP(AnalizaCzyste[[#This Row],[Rok urodzenia]],KategorieWiekowe[],2,1)</f>
        <v>26-35 lat</v>
      </c>
      <c r="HD9" t="s">
        <v>141</v>
      </c>
    </row>
    <row r="10" spans="1:216" x14ac:dyDescent="0.45">
      <c r="A10">
        <v>22</v>
      </c>
      <c r="B10">
        <f>_xlfn.IFNA(VLOOKUP(AnalizaCzyste[[#This Row],[Zakończono wypełnianie]],Zakończone[],2,0),"BRAK")</f>
        <v>19</v>
      </c>
      <c r="C10">
        <f t="shared" si="0"/>
        <v>38</v>
      </c>
      <c r="D10" t="s">
        <v>399</v>
      </c>
      <c r="E10" t="s">
        <v>118</v>
      </c>
      <c r="F10" t="s">
        <v>400</v>
      </c>
      <c r="J10" t="s">
        <v>119</v>
      </c>
      <c r="K10" t="s">
        <v>401</v>
      </c>
      <c r="L10" t="s">
        <v>402</v>
      </c>
      <c r="M10">
        <v>1075</v>
      </c>
      <c r="N10">
        <v>0</v>
      </c>
      <c r="O10" t="s">
        <v>122</v>
      </c>
      <c r="P10" s="1" t="s">
        <v>123</v>
      </c>
      <c r="AF10" s="1" t="s">
        <v>124</v>
      </c>
      <c r="AG10" t="s">
        <v>2272</v>
      </c>
      <c r="AH10" t="str">
        <f>VLOOKUP(AnalizaCzyste[[#This Row],[Jak się nazywa uczelnia którą ukończyłeś? (proszę o wybranie jednej uczelni podlegającej ocenie)]],KategorieUczelni[],2,0)</f>
        <v>Publiczna</v>
      </c>
      <c r="AI10">
        <v>2010</v>
      </c>
      <c r="AJ10" t="s">
        <v>148</v>
      </c>
      <c r="AK10" t="s">
        <v>404</v>
      </c>
      <c r="AL10" t="s">
        <v>151</v>
      </c>
      <c r="AM10" t="s">
        <v>150</v>
      </c>
      <c r="AN10" t="s">
        <v>162</v>
      </c>
      <c r="AO10" t="s">
        <v>150</v>
      </c>
      <c r="AP10" t="s">
        <v>150</v>
      </c>
      <c r="AQ10" t="s">
        <v>405</v>
      </c>
      <c r="AR10" t="s">
        <v>131</v>
      </c>
      <c r="AS10" t="s">
        <v>302</v>
      </c>
      <c r="AT10" t="s">
        <v>406</v>
      </c>
      <c r="AU10" t="s">
        <v>407</v>
      </c>
      <c r="AV10" t="s">
        <v>408</v>
      </c>
      <c r="AW10" t="s">
        <v>230</v>
      </c>
      <c r="AY10" s="1" t="s">
        <v>123</v>
      </c>
      <c r="CS10" s="1" t="s">
        <v>123</v>
      </c>
      <c r="DC10" s="1" t="s">
        <v>123</v>
      </c>
      <c r="DM10" s="1" t="s">
        <v>123</v>
      </c>
      <c r="EP10" s="1" t="s">
        <v>123</v>
      </c>
      <c r="EQ10" t="s">
        <v>180</v>
      </c>
      <c r="ER10" t="s">
        <v>132</v>
      </c>
      <c r="FP10" s="1" t="s">
        <v>123</v>
      </c>
      <c r="FQ10" t="s">
        <v>132</v>
      </c>
      <c r="FS10" t="s">
        <v>132</v>
      </c>
      <c r="GX10" t="s">
        <v>409</v>
      </c>
      <c r="GY10" t="s">
        <v>410</v>
      </c>
      <c r="GZ10" t="s">
        <v>411</v>
      </c>
      <c r="HA10" t="s">
        <v>140</v>
      </c>
      <c r="HB10">
        <v>1985</v>
      </c>
      <c r="HC10" t="str">
        <f>VLOOKUP(AnalizaCzyste[[#This Row],[Rok urodzenia]],KategorieWiekowe[],2,1)</f>
        <v>26-35 lat</v>
      </c>
      <c r="HD10" t="s">
        <v>398</v>
      </c>
      <c r="HF10" t="s">
        <v>412</v>
      </c>
    </row>
    <row r="11" spans="1:216" x14ac:dyDescent="0.45">
      <c r="A11">
        <v>259</v>
      </c>
      <c r="B11">
        <f>_xlfn.IFNA(VLOOKUP(AnalizaCzyste[[#This Row],[Zakończono wypełnianie]],Zakończone[],2,0),"BRAK")</f>
        <v>136</v>
      </c>
      <c r="C11">
        <f t="shared" si="0"/>
        <v>74</v>
      </c>
      <c r="D11" t="s">
        <v>2014</v>
      </c>
      <c r="E11" t="s">
        <v>118</v>
      </c>
      <c r="J11" t="s">
        <v>119</v>
      </c>
      <c r="K11" t="s">
        <v>2034</v>
      </c>
      <c r="L11" t="s">
        <v>2035</v>
      </c>
      <c r="M11">
        <v>1151</v>
      </c>
      <c r="N11">
        <v>0</v>
      </c>
      <c r="O11" t="s">
        <v>122</v>
      </c>
      <c r="P11" s="1" t="s">
        <v>123</v>
      </c>
      <c r="AF11" s="1" t="s">
        <v>124</v>
      </c>
      <c r="AG11" t="s">
        <v>223</v>
      </c>
      <c r="AH11" t="str">
        <f>VLOOKUP(AnalizaCzyste[[#This Row],[Jak się nazywa uczelnia którą ukończyłeś? (proszę o wybranie jednej uczelni podlegającej ocenie)]],KategorieUczelni[],2,0)</f>
        <v>Publiczna</v>
      </c>
      <c r="AI11">
        <v>1987</v>
      </c>
      <c r="AJ11" t="s">
        <v>148</v>
      </c>
      <c r="AK11" t="s">
        <v>554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2036</v>
      </c>
      <c r="AR11" t="s">
        <v>132</v>
      </c>
      <c r="AS11" t="s">
        <v>132</v>
      </c>
      <c r="AU11" t="s">
        <v>1229</v>
      </c>
      <c r="AV11" t="s">
        <v>1229</v>
      </c>
      <c r="AW11" t="s">
        <v>157</v>
      </c>
      <c r="AX11" t="s">
        <v>2037</v>
      </c>
      <c r="AY11" s="1" t="s">
        <v>159</v>
      </c>
      <c r="AZ11">
        <v>3</v>
      </c>
      <c r="BA11" t="s">
        <v>191</v>
      </c>
      <c r="BB11">
        <v>2020</v>
      </c>
      <c r="BC11" t="s">
        <v>126</v>
      </c>
      <c r="BD11" t="s">
        <v>2038</v>
      </c>
      <c r="BE11" t="s">
        <v>150</v>
      </c>
      <c r="BF11" t="s">
        <v>162</v>
      </c>
      <c r="BG11" t="s">
        <v>169</v>
      </c>
      <c r="BH11" t="s">
        <v>150</v>
      </c>
      <c r="BI11" t="s">
        <v>132</v>
      </c>
      <c r="BJ11" t="s">
        <v>2039</v>
      </c>
      <c r="BK11" t="s">
        <v>2040</v>
      </c>
      <c r="BL11" t="s">
        <v>157</v>
      </c>
      <c r="BO11" t="s">
        <v>166</v>
      </c>
      <c r="BP11" t="s">
        <v>191</v>
      </c>
      <c r="BQ11">
        <v>2013</v>
      </c>
      <c r="BR11" t="s">
        <v>126</v>
      </c>
      <c r="BS11" t="s">
        <v>1867</v>
      </c>
      <c r="BT11" t="s">
        <v>162</v>
      </c>
      <c r="BU11" t="s">
        <v>150</v>
      </c>
      <c r="BV11" t="s">
        <v>162</v>
      </c>
      <c r="BW11" t="s">
        <v>162</v>
      </c>
      <c r="BX11" t="s">
        <v>162</v>
      </c>
      <c r="BY11" t="s">
        <v>237</v>
      </c>
      <c r="CA11" t="s">
        <v>157</v>
      </c>
      <c r="CC11" t="s">
        <v>2041</v>
      </c>
      <c r="CD11" t="s">
        <v>238</v>
      </c>
      <c r="CE11" t="s">
        <v>191</v>
      </c>
      <c r="CF11">
        <v>2016</v>
      </c>
      <c r="CG11" t="s">
        <v>126</v>
      </c>
      <c r="CH11" t="s">
        <v>2042</v>
      </c>
      <c r="CI11" t="s">
        <v>151</v>
      </c>
      <c r="CJ11" t="s">
        <v>162</v>
      </c>
      <c r="CK11" t="s">
        <v>150</v>
      </c>
      <c r="CL11" t="s">
        <v>169</v>
      </c>
      <c r="CM11" t="s">
        <v>150</v>
      </c>
      <c r="CN11" t="s">
        <v>237</v>
      </c>
      <c r="CO11" t="s">
        <v>2043</v>
      </c>
      <c r="CP11" t="s">
        <v>157</v>
      </c>
      <c r="CS11" s="1" t="s">
        <v>123</v>
      </c>
      <c r="DC11" s="1" t="s">
        <v>123</v>
      </c>
      <c r="DM11" s="1" t="s">
        <v>123</v>
      </c>
      <c r="EP11" s="1" t="s">
        <v>123</v>
      </c>
      <c r="FP11" s="1" t="s">
        <v>123</v>
      </c>
      <c r="GX11" t="s">
        <v>1229</v>
      </c>
      <c r="GY11" t="s">
        <v>1229</v>
      </c>
      <c r="GZ11" t="s">
        <v>1229</v>
      </c>
      <c r="HA11" t="s">
        <v>186</v>
      </c>
      <c r="HB11">
        <v>1962</v>
      </c>
      <c r="HC11" t="str">
        <f>VLOOKUP(AnalizaCzyste[[#This Row],[Rok urodzenia]],KategorieWiekowe[],2,1)</f>
        <v>56-65 lat</v>
      </c>
      <c r="HD11" t="s">
        <v>141</v>
      </c>
      <c r="HG11" t="s">
        <v>2044</v>
      </c>
      <c r="HH11" t="s">
        <v>2045</v>
      </c>
    </row>
    <row r="12" spans="1:216" x14ac:dyDescent="0.45">
      <c r="A12">
        <v>12</v>
      </c>
      <c r="B12">
        <f>_xlfn.IFNA(VLOOKUP(AnalizaCzyste[[#This Row],[Zakończono wypełnianie]],Zakończone[],2,0),"BRAK")</f>
        <v>11</v>
      </c>
      <c r="C12">
        <f t="shared" si="0"/>
        <v>37</v>
      </c>
      <c r="D12" t="s">
        <v>316</v>
      </c>
      <c r="E12" t="s">
        <v>118</v>
      </c>
      <c r="J12" t="s">
        <v>119</v>
      </c>
      <c r="K12" t="s">
        <v>317</v>
      </c>
      <c r="L12" t="s">
        <v>318</v>
      </c>
      <c r="M12">
        <v>349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 t="str">
        <f>VLOOKUP(AnalizaCzyste[[#This Row],[Jak się nazywa uczelnia którą ukończyłeś? (proszę o wybranie jednej uczelni podlegającej ocenie)]],KategorieUczelni[],2,0)</f>
        <v>Publiczna</v>
      </c>
      <c r="AI12">
        <v>2010</v>
      </c>
      <c r="AJ12" t="s">
        <v>126</v>
      </c>
      <c r="AK12" t="s">
        <v>319</v>
      </c>
      <c r="AL12" t="s">
        <v>236</v>
      </c>
      <c r="AM12" t="s">
        <v>128</v>
      </c>
      <c r="AN12" t="s">
        <v>162</v>
      </c>
      <c r="AO12" t="s">
        <v>162</v>
      </c>
      <c r="AP12" t="s">
        <v>162</v>
      </c>
      <c r="AQ12">
        <v>6</v>
      </c>
      <c r="AR12" t="s">
        <v>131</v>
      </c>
      <c r="AS12" t="s">
        <v>302</v>
      </c>
      <c r="AT12" t="s">
        <v>320</v>
      </c>
      <c r="AU12" t="s">
        <v>321</v>
      </c>
      <c r="AV12" t="s">
        <v>322</v>
      </c>
      <c r="AW12" t="s">
        <v>157</v>
      </c>
      <c r="AY12" s="1" t="s">
        <v>123</v>
      </c>
      <c r="CS12" s="1" t="s">
        <v>123</v>
      </c>
      <c r="DC12" s="1" t="s">
        <v>123</v>
      </c>
      <c r="DM12" s="1" t="s">
        <v>123</v>
      </c>
      <c r="EP12" s="1" t="s">
        <v>123</v>
      </c>
      <c r="EQ12" t="s">
        <v>180</v>
      </c>
      <c r="ER12" t="s">
        <v>132</v>
      </c>
      <c r="FP12" s="1" t="s">
        <v>123</v>
      </c>
      <c r="FQ12" t="s">
        <v>132</v>
      </c>
      <c r="FS12" t="s">
        <v>132</v>
      </c>
      <c r="GX12" t="s">
        <v>323</v>
      </c>
      <c r="GY12" t="s">
        <v>324</v>
      </c>
      <c r="GZ12" t="s">
        <v>325</v>
      </c>
      <c r="HA12" t="s">
        <v>186</v>
      </c>
      <c r="HB12">
        <v>1985</v>
      </c>
      <c r="HC12" t="str">
        <f>VLOOKUP(AnalizaCzyste[[#This Row],[Rok urodzenia]],KategorieWiekowe[],2,1)</f>
        <v>26-35 lat</v>
      </c>
      <c r="HD12" t="s">
        <v>141</v>
      </c>
    </row>
    <row r="13" spans="1:216" x14ac:dyDescent="0.45">
      <c r="A13">
        <v>182</v>
      </c>
      <c r="B13">
        <f>_xlfn.IFNA(VLOOKUP(AnalizaCzyste[[#This Row],[Zakończono wypełnianie]],Zakończone[],2,0),"BRAK")</f>
        <v>103</v>
      </c>
      <c r="C13">
        <f t="shared" si="0"/>
        <v>35</v>
      </c>
      <c r="D13" t="s">
        <v>1540</v>
      </c>
      <c r="E13" t="s">
        <v>118</v>
      </c>
      <c r="J13" t="s">
        <v>119</v>
      </c>
      <c r="K13" t="s">
        <v>1541</v>
      </c>
      <c r="L13" t="s">
        <v>1542</v>
      </c>
      <c r="M13">
        <v>193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 t="str">
        <f>VLOOKUP(AnalizaCzyste[[#This Row],[Jak się nazywa uczelnia którą ukończyłeś? (proszę o wybranie jednej uczelni podlegającej ocenie)]],KategorieUczelni[],2,0)</f>
        <v>Publiczna</v>
      </c>
      <c r="AI13">
        <v>2013</v>
      </c>
      <c r="AJ13" t="s">
        <v>126</v>
      </c>
      <c r="AK13" t="s">
        <v>1544</v>
      </c>
      <c r="AL13" t="s">
        <v>236</v>
      </c>
      <c r="AM13" t="s">
        <v>236</v>
      </c>
      <c r="AN13" t="s">
        <v>162</v>
      </c>
      <c r="AO13" t="s">
        <v>236</v>
      </c>
      <c r="AP13" t="s">
        <v>236</v>
      </c>
      <c r="AQ13">
        <v>1</v>
      </c>
      <c r="AR13" t="s">
        <v>131</v>
      </c>
      <c r="AS13" t="s">
        <v>302</v>
      </c>
      <c r="AU13" t="s">
        <v>267</v>
      </c>
      <c r="AV13" t="s">
        <v>267</v>
      </c>
      <c r="AW13" t="s">
        <v>157</v>
      </c>
      <c r="AY13" s="1" t="s">
        <v>123</v>
      </c>
      <c r="CS13" s="1" t="s">
        <v>123</v>
      </c>
      <c r="DC13" s="1" t="s">
        <v>123</v>
      </c>
      <c r="DM13" s="1" t="s">
        <v>123</v>
      </c>
      <c r="EP13" s="1" t="s">
        <v>123</v>
      </c>
      <c r="FP13" s="1" t="s">
        <v>123</v>
      </c>
      <c r="GX13" t="s">
        <v>267</v>
      </c>
      <c r="GY13" t="s">
        <v>267</v>
      </c>
      <c r="GZ13" t="s">
        <v>267</v>
      </c>
      <c r="HA13" t="s">
        <v>186</v>
      </c>
      <c r="HB13">
        <v>1989</v>
      </c>
      <c r="HC13" t="str">
        <f>VLOOKUP(AnalizaCzyste[[#This Row],[Rok urodzenia]],KategorieWiekowe[],2,1)</f>
        <v>26-35 lat</v>
      </c>
      <c r="HD13" t="s">
        <v>141</v>
      </c>
      <c r="HF13" t="s">
        <v>267</v>
      </c>
      <c r="HG13" t="s">
        <v>267</v>
      </c>
      <c r="HH13" t="s">
        <v>267</v>
      </c>
    </row>
    <row r="14" spans="1:216" x14ac:dyDescent="0.45">
      <c r="A14">
        <v>218</v>
      </c>
      <c r="B14">
        <f>_xlfn.IFNA(VLOOKUP(AnalizaCzyste[[#This Row],[Zakończono wypełnianie]],Zakończone[],2,0),"BRAK")</f>
        <v>120</v>
      </c>
      <c r="C14">
        <f t="shared" si="0"/>
        <v>33</v>
      </c>
      <c r="D14" t="s">
        <v>1792</v>
      </c>
      <c r="E14" t="s">
        <v>118</v>
      </c>
      <c r="F14" t="s">
        <v>359</v>
      </c>
      <c r="J14" t="s">
        <v>119</v>
      </c>
      <c r="K14" t="s">
        <v>1793</v>
      </c>
      <c r="L14" t="s">
        <v>1794</v>
      </c>
      <c r="M14">
        <v>465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 t="str">
        <f>VLOOKUP(AnalizaCzyste[[#This Row],[Jak się nazywa uczelnia którą ukończyłeś? (proszę o wybranie jednej uczelni podlegającej ocenie)]],KategorieUczelni[],2,0)</f>
        <v>Publiczna</v>
      </c>
      <c r="AI14">
        <v>2016</v>
      </c>
      <c r="AJ14" t="s">
        <v>126</v>
      </c>
      <c r="AK14" t="s">
        <v>1795</v>
      </c>
      <c r="AL14" t="s">
        <v>236</v>
      </c>
      <c r="AM14" t="s">
        <v>236</v>
      </c>
      <c r="AN14" t="s">
        <v>129</v>
      </c>
      <c r="AO14" t="s">
        <v>129</v>
      </c>
      <c r="AP14" t="s">
        <v>129</v>
      </c>
      <c r="AQ14">
        <v>34</v>
      </c>
      <c r="AR14" t="s">
        <v>152</v>
      </c>
      <c r="AS14" t="s">
        <v>152</v>
      </c>
      <c r="AT14" t="s">
        <v>1796</v>
      </c>
      <c r="AU14" t="s">
        <v>1797</v>
      </c>
      <c r="AV14" t="s">
        <v>1798</v>
      </c>
      <c r="AW14" t="s">
        <v>157</v>
      </c>
      <c r="AY14" s="1" t="s">
        <v>123</v>
      </c>
      <c r="CS14" s="1" t="s">
        <v>123</v>
      </c>
      <c r="DC14" s="1" t="s">
        <v>123</v>
      </c>
      <c r="DM14" s="1" t="s">
        <v>123</v>
      </c>
      <c r="EP14" s="1" t="s">
        <v>123</v>
      </c>
      <c r="FP14" s="1" t="s">
        <v>123</v>
      </c>
      <c r="GX14" t="s">
        <v>1799</v>
      </c>
      <c r="GY14" t="s">
        <v>1800</v>
      </c>
      <c r="GZ14" t="s">
        <v>1801</v>
      </c>
      <c r="HA14" t="s">
        <v>140</v>
      </c>
      <c r="HB14" s="42">
        <v>1995</v>
      </c>
      <c r="HC14" t="str">
        <f>VLOOKUP(AnalizaCzyste[[#This Row],[Rok urodzenia]],KategorieWiekowe[],2,1)</f>
        <v>poniżej 26 lat</v>
      </c>
      <c r="HD14" t="s">
        <v>483</v>
      </c>
    </row>
    <row r="15" spans="1:216" x14ac:dyDescent="0.45">
      <c r="A15">
        <v>74</v>
      </c>
      <c r="B15">
        <f>_xlfn.IFNA(VLOOKUP(AnalizaCzyste[[#This Row],[Zakończono wypełnianie]],Zakończone[],2,0),"BRAK")</f>
        <v>40</v>
      </c>
      <c r="C15">
        <f t="shared" si="0"/>
        <v>48</v>
      </c>
      <c r="D15" t="s">
        <v>739</v>
      </c>
      <c r="E15" t="s">
        <v>118</v>
      </c>
      <c r="J15" t="s">
        <v>119</v>
      </c>
      <c r="K15" t="s">
        <v>740</v>
      </c>
      <c r="L15" t="s">
        <v>741</v>
      </c>
      <c r="M15">
        <v>341</v>
      </c>
      <c r="N15">
        <v>0</v>
      </c>
      <c r="O15" t="s">
        <v>122</v>
      </c>
      <c r="P15" s="1" t="s">
        <v>123</v>
      </c>
      <c r="AF15" s="1" t="s">
        <v>124</v>
      </c>
      <c r="AG15" t="s">
        <v>223</v>
      </c>
      <c r="AH15" t="str">
        <f>VLOOKUP(AnalizaCzyste[[#This Row],[Jak się nazywa uczelnia którą ukończyłeś? (proszę o wybranie jednej uczelni podlegającej ocenie)]],KategorieUczelni[],2,0)</f>
        <v>Publiczna</v>
      </c>
      <c r="AI15">
        <v>2007</v>
      </c>
      <c r="AJ15" t="s">
        <v>148</v>
      </c>
      <c r="AK15" t="s">
        <v>743</v>
      </c>
      <c r="AL15" t="s">
        <v>236</v>
      </c>
      <c r="AM15" t="s">
        <v>129</v>
      </c>
      <c r="AN15" t="s">
        <v>128</v>
      </c>
      <c r="AO15" t="s">
        <v>162</v>
      </c>
      <c r="AP15" t="s">
        <v>150</v>
      </c>
      <c r="AQ15" t="s">
        <v>237</v>
      </c>
      <c r="AR15" t="s">
        <v>302</v>
      </c>
      <c r="AS15" t="s">
        <v>153</v>
      </c>
      <c r="AT15" t="s">
        <v>744</v>
      </c>
      <c r="AU15" t="s">
        <v>745</v>
      </c>
      <c r="AV15" t="s">
        <v>746</v>
      </c>
      <c r="AW15" t="s">
        <v>172</v>
      </c>
      <c r="AY15" s="1" t="s">
        <v>123</v>
      </c>
      <c r="CS15" s="1" t="s">
        <v>387</v>
      </c>
      <c r="CT15" t="s">
        <v>191</v>
      </c>
      <c r="CU15" t="s">
        <v>748</v>
      </c>
      <c r="CV15" t="s">
        <v>150</v>
      </c>
      <c r="CW15" t="s">
        <v>150</v>
      </c>
      <c r="CX15" t="s">
        <v>169</v>
      </c>
      <c r="CY15" t="s">
        <v>169</v>
      </c>
      <c r="CZ15" t="s">
        <v>150</v>
      </c>
      <c r="DA15" t="s">
        <v>150</v>
      </c>
      <c r="DB15" t="s">
        <v>749</v>
      </c>
      <c r="DC15" s="1" t="s">
        <v>123</v>
      </c>
      <c r="DM15" s="1" t="s">
        <v>123</v>
      </c>
      <c r="EP15" s="1" t="s">
        <v>123</v>
      </c>
      <c r="EQ15" t="s">
        <v>178</v>
      </c>
      <c r="ER15" t="s">
        <v>132</v>
      </c>
      <c r="FP15" s="1" t="s">
        <v>123</v>
      </c>
      <c r="FQ15" t="s">
        <v>132</v>
      </c>
      <c r="FS15" t="s">
        <v>132</v>
      </c>
      <c r="GX15" t="s">
        <v>750</v>
      </c>
      <c r="GY15" t="s">
        <v>751</v>
      </c>
      <c r="GZ15" t="s">
        <v>752</v>
      </c>
      <c r="HA15" t="s">
        <v>186</v>
      </c>
      <c r="HB15">
        <v>1983</v>
      </c>
      <c r="HC15" t="str">
        <f>VLOOKUP(AnalizaCzyste[[#This Row],[Rok urodzenia]],KategorieWiekowe[],2,1)</f>
        <v>36-45 lat</v>
      </c>
      <c r="HD15" t="s">
        <v>398</v>
      </c>
      <c r="HF15" t="s">
        <v>753</v>
      </c>
      <c r="HG15" t="s">
        <v>532</v>
      </c>
    </row>
    <row r="16" spans="1:216" x14ac:dyDescent="0.45">
      <c r="A16">
        <v>75</v>
      </c>
      <c r="B16">
        <f>_xlfn.IFNA(VLOOKUP(AnalizaCzyste[[#This Row],[Zakończono wypełnianie]],Zakończone[],2,0),"BRAK")</f>
        <v>41</v>
      </c>
      <c r="C16">
        <f t="shared" si="0"/>
        <v>53</v>
      </c>
      <c r="D16" t="s">
        <v>754</v>
      </c>
      <c r="E16" t="s">
        <v>118</v>
      </c>
      <c r="F16" t="s">
        <v>755</v>
      </c>
      <c r="J16" t="s">
        <v>119</v>
      </c>
      <c r="K16" t="s">
        <v>756</v>
      </c>
      <c r="L16" t="s">
        <v>757</v>
      </c>
      <c r="M16">
        <v>487</v>
      </c>
      <c r="N16">
        <v>0</v>
      </c>
      <c r="O16" t="s">
        <v>122</v>
      </c>
      <c r="P16" s="1" t="s">
        <v>416</v>
      </c>
      <c r="Q16" t="s">
        <v>147</v>
      </c>
      <c r="R16" t="s">
        <v>148</v>
      </c>
      <c r="S16" t="s">
        <v>758</v>
      </c>
      <c r="T16" t="s">
        <v>236</v>
      </c>
      <c r="U16" t="s">
        <v>129</v>
      </c>
      <c r="V16" t="s">
        <v>236</v>
      </c>
      <c r="W16" t="s">
        <v>718</v>
      </c>
      <c r="X16" t="s">
        <v>759</v>
      </c>
      <c r="Y16" t="s">
        <v>194</v>
      </c>
      <c r="Z16" t="s">
        <v>760</v>
      </c>
      <c r="AA16" t="s">
        <v>761</v>
      </c>
      <c r="AB16" t="s">
        <v>762</v>
      </c>
      <c r="AC16" t="s">
        <v>157</v>
      </c>
      <c r="AE16">
        <v>2</v>
      </c>
      <c r="AF16" s="1" t="s">
        <v>124</v>
      </c>
      <c r="AG16" t="s">
        <v>223</v>
      </c>
      <c r="AH16" t="str">
        <f>VLOOKUP(AnalizaCzyste[[#This Row],[Jak się nazywa uczelnia którą ukończyłeś? (proszę o wybranie jednej uczelni podlegającej ocenie)]],KategorieUczelni[],2,0)</f>
        <v>Publiczna</v>
      </c>
      <c r="AI16">
        <v>2012</v>
      </c>
      <c r="AJ16" t="s">
        <v>148</v>
      </c>
      <c r="AK16" t="s">
        <v>764</v>
      </c>
      <c r="AL16" t="s">
        <v>236</v>
      </c>
      <c r="AM16" t="s">
        <v>236</v>
      </c>
      <c r="AN16" t="s">
        <v>236</v>
      </c>
      <c r="AO16" t="s">
        <v>129</v>
      </c>
      <c r="AP16" t="s">
        <v>236</v>
      </c>
      <c r="AQ16" t="s">
        <v>237</v>
      </c>
      <c r="AR16" t="s">
        <v>302</v>
      </c>
      <c r="AS16" t="s">
        <v>153</v>
      </c>
      <c r="AT16" t="s">
        <v>765</v>
      </c>
      <c r="AU16" t="s">
        <v>766</v>
      </c>
      <c r="AV16" t="s">
        <v>767</v>
      </c>
      <c r="AW16" t="s">
        <v>230</v>
      </c>
      <c r="AY16" s="1" t="s">
        <v>123</v>
      </c>
      <c r="CS16" s="1" t="s">
        <v>123</v>
      </c>
      <c r="DC16" s="1" t="s">
        <v>123</v>
      </c>
      <c r="DM16" s="1" t="s">
        <v>123</v>
      </c>
      <c r="EP16" s="1" t="s">
        <v>123</v>
      </c>
      <c r="EQ16" t="s">
        <v>180</v>
      </c>
      <c r="ER16" t="s">
        <v>132</v>
      </c>
      <c r="FP16" s="1" t="s">
        <v>123</v>
      </c>
      <c r="FQ16" t="s">
        <v>132</v>
      </c>
      <c r="FS16" t="s">
        <v>132</v>
      </c>
      <c r="GX16" t="s">
        <v>768</v>
      </c>
      <c r="GY16" t="s">
        <v>769</v>
      </c>
      <c r="GZ16" t="s">
        <v>770</v>
      </c>
      <c r="HA16" t="s">
        <v>186</v>
      </c>
      <c r="HB16">
        <v>1990</v>
      </c>
      <c r="HC16" t="str">
        <f>VLOOKUP(AnalizaCzyste[[#This Row],[Rok urodzenia]],KategorieWiekowe[],2,1)</f>
        <v>26-35 lat</v>
      </c>
      <c r="HD16" t="s">
        <v>141</v>
      </c>
      <c r="HF16" t="s">
        <v>771</v>
      </c>
      <c r="HG16" t="s">
        <v>772</v>
      </c>
    </row>
    <row r="17" spans="1:216" x14ac:dyDescent="0.45">
      <c r="A17">
        <v>149</v>
      </c>
      <c r="B17">
        <f>_xlfn.IFNA(VLOOKUP(AnalizaCzyste[[#This Row],[Zakończono wypełnianie]],Zakończone[],2,0),"BRAK")</f>
        <v>87</v>
      </c>
      <c r="C17">
        <f t="shared" si="0"/>
        <v>34</v>
      </c>
      <c r="D17" t="s">
        <v>1352</v>
      </c>
      <c r="E17" t="s">
        <v>118</v>
      </c>
      <c r="J17" t="s">
        <v>119</v>
      </c>
      <c r="K17" t="s">
        <v>1359</v>
      </c>
      <c r="L17" t="s">
        <v>1360</v>
      </c>
      <c r="M17">
        <v>8266</v>
      </c>
      <c r="N17">
        <v>0</v>
      </c>
      <c r="O17" t="s">
        <v>122</v>
      </c>
      <c r="P17" s="1" t="s">
        <v>123</v>
      </c>
      <c r="AF17" s="1" t="s">
        <v>124</v>
      </c>
      <c r="AG17" t="s">
        <v>160</v>
      </c>
      <c r="AH17" t="str">
        <f>VLOOKUP(AnalizaCzyste[[#This Row],[Jak się nazywa uczelnia którą ukończyłeś? (proszę o wybranie jednej uczelni podlegającej ocenie)]],KategorieUczelni[],2,0)</f>
        <v>Publiczna</v>
      </c>
      <c r="AI17">
        <v>2010</v>
      </c>
      <c r="AJ17" t="s">
        <v>148</v>
      </c>
      <c r="AK17" t="s">
        <v>1361</v>
      </c>
      <c r="AL17" t="s">
        <v>236</v>
      </c>
      <c r="AM17" t="s">
        <v>150</v>
      </c>
      <c r="AN17" t="s">
        <v>129</v>
      </c>
      <c r="AO17" t="s">
        <v>129</v>
      </c>
      <c r="AP17" t="s">
        <v>129</v>
      </c>
      <c r="AQ17" t="s">
        <v>1362</v>
      </c>
      <c r="AR17" t="s">
        <v>153</v>
      </c>
      <c r="AS17" t="s">
        <v>153</v>
      </c>
      <c r="AT17" t="s">
        <v>1363</v>
      </c>
      <c r="AU17" t="s">
        <v>1364</v>
      </c>
      <c r="AV17" t="s">
        <v>1365</v>
      </c>
      <c r="AW17" t="s">
        <v>157</v>
      </c>
      <c r="AY17" s="1" t="s">
        <v>123</v>
      </c>
      <c r="CS17" s="1" t="s">
        <v>123</v>
      </c>
      <c r="DC17" s="1" t="s">
        <v>123</v>
      </c>
      <c r="DM17" s="1" t="s">
        <v>123</v>
      </c>
      <c r="EP17" s="1" t="s">
        <v>123</v>
      </c>
      <c r="FP17" s="1" t="s">
        <v>123</v>
      </c>
      <c r="GX17" t="s">
        <v>1366</v>
      </c>
      <c r="GY17" t="s">
        <v>1367</v>
      </c>
      <c r="GZ17" t="s">
        <v>532</v>
      </c>
      <c r="HA17" t="s">
        <v>140</v>
      </c>
      <c r="HB17">
        <v>1986</v>
      </c>
      <c r="HC17" t="str">
        <f>VLOOKUP(AnalizaCzyste[[#This Row],[Rok urodzenia]],KategorieWiekowe[],2,1)</f>
        <v>26-35 lat</v>
      </c>
      <c r="HD17" t="s">
        <v>398</v>
      </c>
      <c r="HF17" t="s">
        <v>1368</v>
      </c>
    </row>
    <row r="18" spans="1:216" x14ac:dyDescent="0.45">
      <c r="A18">
        <v>76</v>
      </c>
      <c r="B18">
        <f>_xlfn.IFNA(VLOOKUP(AnalizaCzyste[[#This Row],[Zakończono wypełnianie]],Zakończone[],2,0),"BRAK")</f>
        <v>42</v>
      </c>
      <c r="C18">
        <f t="shared" si="0"/>
        <v>55</v>
      </c>
      <c r="D18" t="s">
        <v>773</v>
      </c>
      <c r="E18" t="s">
        <v>118</v>
      </c>
      <c r="F18" t="s">
        <v>774</v>
      </c>
      <c r="J18" t="s">
        <v>119</v>
      </c>
      <c r="K18" t="s">
        <v>775</v>
      </c>
      <c r="L18" t="s">
        <v>776</v>
      </c>
      <c r="M18">
        <v>1636</v>
      </c>
      <c r="N18">
        <v>0</v>
      </c>
      <c r="O18" t="s">
        <v>122</v>
      </c>
      <c r="P18" s="1" t="s">
        <v>123</v>
      </c>
      <c r="AF18" s="1" t="s">
        <v>124</v>
      </c>
      <c r="AG18" t="s">
        <v>1461</v>
      </c>
      <c r="AH18" t="str">
        <f>VLOOKUP(AnalizaCzyste[[#This Row],[Jak się nazywa uczelnia którą ukończyłeś? (proszę o wybranie jednej uczelni podlegającej ocenie)]],KategorieUczelni[],2,0)</f>
        <v>Publiczna</v>
      </c>
      <c r="AI18">
        <v>2013</v>
      </c>
      <c r="AJ18" t="s">
        <v>148</v>
      </c>
      <c r="AK18" t="s">
        <v>429</v>
      </c>
      <c r="AL18" t="s">
        <v>128</v>
      </c>
      <c r="AM18" t="s">
        <v>151</v>
      </c>
      <c r="AN18" t="s">
        <v>162</v>
      </c>
      <c r="AO18" t="s">
        <v>129</v>
      </c>
      <c r="AP18" t="s">
        <v>236</v>
      </c>
      <c r="AQ18">
        <v>0</v>
      </c>
      <c r="AR18" t="s">
        <v>131</v>
      </c>
      <c r="AS18" t="s">
        <v>131</v>
      </c>
      <c r="AT18" t="s">
        <v>778</v>
      </c>
      <c r="AU18" t="s">
        <v>779</v>
      </c>
      <c r="AV18" t="s">
        <v>780</v>
      </c>
      <c r="AW18" t="s">
        <v>157</v>
      </c>
      <c r="AY18" s="1" t="s">
        <v>123</v>
      </c>
      <c r="CS18" s="1" t="s">
        <v>123</v>
      </c>
      <c r="DC18" s="1" t="s">
        <v>214</v>
      </c>
      <c r="DD18" t="s">
        <v>1461</v>
      </c>
      <c r="DE18" t="s">
        <v>781</v>
      </c>
      <c r="DF18" t="s">
        <v>129</v>
      </c>
      <c r="DG18" t="s">
        <v>150</v>
      </c>
      <c r="DH18" t="s">
        <v>129</v>
      </c>
      <c r="DI18" t="s">
        <v>236</v>
      </c>
      <c r="DJ18" t="s">
        <v>151</v>
      </c>
      <c r="DK18" t="s">
        <v>151</v>
      </c>
      <c r="DL18" t="s">
        <v>782</v>
      </c>
      <c r="DM18" s="1" t="s">
        <v>123</v>
      </c>
      <c r="EP18" s="1" t="s">
        <v>177</v>
      </c>
      <c r="EQ18" t="s">
        <v>180</v>
      </c>
      <c r="ER18">
        <v>1</v>
      </c>
      <c r="ES18" t="s">
        <v>783</v>
      </c>
      <c r="ET18" t="s">
        <v>150</v>
      </c>
      <c r="EU18" t="s">
        <v>150</v>
      </c>
      <c r="EV18" t="s">
        <v>236</v>
      </c>
      <c r="EW18" t="s">
        <v>178</v>
      </c>
      <c r="EX18" t="s">
        <v>784</v>
      </c>
      <c r="EY18" t="s">
        <v>785</v>
      </c>
      <c r="EZ18" t="s">
        <v>173</v>
      </c>
      <c r="FP18" s="1" t="s">
        <v>123</v>
      </c>
      <c r="FQ18" t="s">
        <v>132</v>
      </c>
      <c r="GX18" t="s">
        <v>786</v>
      </c>
      <c r="GY18" t="s">
        <v>787</v>
      </c>
      <c r="GZ18" t="s">
        <v>788</v>
      </c>
      <c r="HA18" t="s">
        <v>140</v>
      </c>
      <c r="HB18">
        <v>1988</v>
      </c>
      <c r="HC18" t="str">
        <f>VLOOKUP(AnalizaCzyste[[#This Row],[Rok urodzenia]],KategorieWiekowe[],2,1)</f>
        <v>26-35 lat</v>
      </c>
      <c r="HD18" t="s">
        <v>246</v>
      </c>
      <c r="HF18" t="s">
        <v>789</v>
      </c>
      <c r="HH18" t="s">
        <v>790</v>
      </c>
    </row>
    <row r="19" spans="1:216" x14ac:dyDescent="0.45">
      <c r="A19">
        <v>122</v>
      </c>
      <c r="B19">
        <f>_xlfn.IFNA(VLOOKUP(AnalizaCzyste[[#This Row],[Zakończono wypełnianie]],Zakończone[],2,0),"BRAK")</f>
        <v>71</v>
      </c>
      <c r="C19">
        <f t="shared" si="0"/>
        <v>34</v>
      </c>
      <c r="D19" t="s">
        <v>1131</v>
      </c>
      <c r="E19" t="s">
        <v>118</v>
      </c>
      <c r="J19" t="s">
        <v>119</v>
      </c>
      <c r="K19" t="s">
        <v>1132</v>
      </c>
      <c r="L19" t="s">
        <v>1133</v>
      </c>
      <c r="M19">
        <v>3215</v>
      </c>
      <c r="N19">
        <v>0</v>
      </c>
      <c r="O19" t="s">
        <v>122</v>
      </c>
      <c r="P19" s="1" t="s">
        <v>123</v>
      </c>
      <c r="AF19" s="1" t="s">
        <v>124</v>
      </c>
      <c r="AG19" t="s">
        <v>191</v>
      </c>
      <c r="AH19" t="str">
        <f>VLOOKUP(AnalizaCzyste[[#This Row],[Jak się nazywa uczelnia którą ukończyłeś? (proszę o wybranie jednej uczelni podlegającej ocenie)]],KategorieUczelni[],2,0)</f>
        <v>Publiczna</v>
      </c>
      <c r="AI19">
        <v>2015</v>
      </c>
      <c r="AJ19" t="s">
        <v>126</v>
      </c>
      <c r="AK19" t="s">
        <v>1134</v>
      </c>
      <c r="AL19" t="s">
        <v>128</v>
      </c>
      <c r="AM19" t="s">
        <v>151</v>
      </c>
      <c r="AN19" t="s">
        <v>169</v>
      </c>
      <c r="AO19" t="s">
        <v>162</v>
      </c>
      <c r="AP19" t="s">
        <v>150</v>
      </c>
      <c r="AQ19">
        <v>1</v>
      </c>
      <c r="AR19" t="s">
        <v>302</v>
      </c>
      <c r="AS19" t="s">
        <v>226</v>
      </c>
      <c r="AT19" t="s">
        <v>1135</v>
      </c>
      <c r="AU19" t="s">
        <v>1136</v>
      </c>
      <c r="AV19" t="s">
        <v>1137</v>
      </c>
      <c r="AW19" t="s">
        <v>172</v>
      </c>
      <c r="AY19" s="1" t="s">
        <v>123</v>
      </c>
      <c r="CS19" s="1" t="s">
        <v>123</v>
      </c>
      <c r="DC19" s="1" t="s">
        <v>123</v>
      </c>
      <c r="DM19" s="1" t="s">
        <v>123</v>
      </c>
      <c r="EP19" s="1" t="s">
        <v>123</v>
      </c>
      <c r="FP19" s="1" t="s">
        <v>123</v>
      </c>
      <c r="GX19" t="s">
        <v>1138</v>
      </c>
      <c r="GY19" t="s">
        <v>1139</v>
      </c>
      <c r="GZ19" t="s">
        <v>1140</v>
      </c>
      <c r="HA19" t="s">
        <v>186</v>
      </c>
      <c r="HB19">
        <v>1991</v>
      </c>
      <c r="HC19" t="str">
        <f>VLOOKUP(AnalizaCzyste[[#This Row],[Rok urodzenia]],KategorieWiekowe[],2,1)</f>
        <v>26-35 lat</v>
      </c>
      <c r="HD19" t="s">
        <v>141</v>
      </c>
      <c r="HF19" t="s">
        <v>1141</v>
      </c>
    </row>
    <row r="20" spans="1:216" x14ac:dyDescent="0.45">
      <c r="A20">
        <v>1</v>
      </c>
      <c r="B20">
        <f>_xlfn.IFNA(VLOOKUP(AnalizaCzyste[[#This Row],[Zakończono wypełnianie]],Zakończone[],2,0),"BRAK")</f>
        <v>1</v>
      </c>
      <c r="C20">
        <f t="shared" si="0"/>
        <v>37</v>
      </c>
      <c r="D20" t="s">
        <v>117</v>
      </c>
      <c r="E20" t="s">
        <v>118</v>
      </c>
      <c r="J20" t="s">
        <v>119</v>
      </c>
      <c r="K20" t="s">
        <v>120</v>
      </c>
      <c r="L20" t="s">
        <v>121</v>
      </c>
      <c r="M20">
        <v>65871</v>
      </c>
      <c r="N20">
        <v>0</v>
      </c>
      <c r="O20" t="s">
        <v>122</v>
      </c>
      <c r="P20" s="1" t="s">
        <v>123</v>
      </c>
      <c r="AF20" s="1" t="s">
        <v>124</v>
      </c>
      <c r="AG20" s="20" t="s">
        <v>191</v>
      </c>
      <c r="AH20" s="20" t="str">
        <f>VLOOKUP(AnalizaCzyste[[#This Row],[Jak się nazywa uczelnia którą ukończyłeś? (proszę o wybranie jednej uczelni podlegającej ocenie)]],KategorieUczelni[],2,0)</f>
        <v>Publiczna</v>
      </c>
      <c r="AI20" s="42">
        <v>2011</v>
      </c>
      <c r="AJ20" t="s">
        <v>126</v>
      </c>
      <c r="AK20" t="s">
        <v>127</v>
      </c>
      <c r="AL20" t="s">
        <v>128</v>
      </c>
      <c r="AM20" t="s">
        <v>128</v>
      </c>
      <c r="AN20" t="s">
        <v>129</v>
      </c>
      <c r="AO20" t="s">
        <v>129</v>
      </c>
      <c r="AP20" t="s">
        <v>129</v>
      </c>
      <c r="AQ20" t="s">
        <v>130</v>
      </c>
      <c r="AR20" t="s">
        <v>131</v>
      </c>
      <c r="AS20" t="s">
        <v>132</v>
      </c>
      <c r="AT20" t="s">
        <v>133</v>
      </c>
      <c r="AU20" t="s">
        <v>134</v>
      </c>
      <c r="AV20" t="s">
        <v>135</v>
      </c>
      <c r="AX20" t="s">
        <v>136</v>
      </c>
      <c r="AY20" s="1" t="s">
        <v>123</v>
      </c>
      <c r="CS20" s="1" t="s">
        <v>123</v>
      </c>
      <c r="DC20" s="1" t="s">
        <v>123</v>
      </c>
      <c r="DM20" s="1" t="s">
        <v>123</v>
      </c>
      <c r="EP20" s="1" t="s">
        <v>123</v>
      </c>
      <c r="FP20" s="1" t="s">
        <v>123</v>
      </c>
      <c r="FQ20" t="s">
        <v>132</v>
      </c>
      <c r="GX20" t="s">
        <v>137</v>
      </c>
      <c r="GY20" t="s">
        <v>138</v>
      </c>
      <c r="GZ20" t="s">
        <v>139</v>
      </c>
      <c r="HA20" t="s">
        <v>140</v>
      </c>
      <c r="HB20">
        <v>1987</v>
      </c>
      <c r="HC20" t="str">
        <f>VLOOKUP(AnalizaCzyste[[#This Row],[Rok urodzenia]],KategorieWiekowe[],2,1)</f>
        <v>26-35 lat</v>
      </c>
      <c r="HD20" t="s">
        <v>141</v>
      </c>
      <c r="HF20" t="s">
        <v>142</v>
      </c>
      <c r="HG20" t="s">
        <v>142</v>
      </c>
      <c r="HH20" t="s">
        <v>143</v>
      </c>
    </row>
    <row r="21" spans="1:216" x14ac:dyDescent="0.45">
      <c r="A21">
        <v>110</v>
      </c>
      <c r="B21">
        <f>_xlfn.IFNA(VLOOKUP(AnalizaCzyste[[#This Row],[Zakończono wypełnianie]],Zakończone[],2,0),"BRAK")</f>
        <v>65</v>
      </c>
      <c r="C21">
        <f t="shared" si="0"/>
        <v>37</v>
      </c>
      <c r="D21" t="s">
        <v>1033</v>
      </c>
      <c r="E21" t="s">
        <v>118</v>
      </c>
      <c r="F21" t="s">
        <v>1034</v>
      </c>
      <c r="J21" t="s">
        <v>119</v>
      </c>
      <c r="K21" t="s">
        <v>1035</v>
      </c>
      <c r="L21" t="s">
        <v>1036</v>
      </c>
      <c r="M21">
        <v>1167</v>
      </c>
      <c r="N21">
        <v>0</v>
      </c>
      <c r="O21" t="s">
        <v>122</v>
      </c>
      <c r="P21" s="1" t="s">
        <v>123</v>
      </c>
      <c r="AF21" s="1" t="s">
        <v>124</v>
      </c>
      <c r="AG21" s="42" t="s">
        <v>2322</v>
      </c>
      <c r="AH21" s="42" t="str">
        <f>VLOOKUP(AnalizaCzyste[[#This Row],[Jak się nazywa uczelnia którą ukończyłeś? (proszę o wybranie jednej uczelni podlegającej ocenie)]],KategorieUczelni[],2,0)</f>
        <v>Publiczna</v>
      </c>
      <c r="AI21" s="42">
        <v>2007</v>
      </c>
      <c r="AJ21" t="s">
        <v>126</v>
      </c>
      <c r="AK21" t="s">
        <v>1039</v>
      </c>
      <c r="AL21" t="s">
        <v>128</v>
      </c>
      <c r="AM21" t="s">
        <v>151</v>
      </c>
      <c r="AN21" t="s">
        <v>236</v>
      </c>
      <c r="AO21" t="s">
        <v>129</v>
      </c>
      <c r="AP21" t="s">
        <v>129</v>
      </c>
      <c r="AQ21">
        <v>5</v>
      </c>
      <c r="AR21" t="s">
        <v>302</v>
      </c>
      <c r="AS21" t="s">
        <v>302</v>
      </c>
      <c r="AU21" t="s">
        <v>1040</v>
      </c>
      <c r="AV21" t="s">
        <v>1041</v>
      </c>
      <c r="AW21" t="s">
        <v>892</v>
      </c>
      <c r="AX21" t="s">
        <v>1042</v>
      </c>
      <c r="AY21" s="1" t="s">
        <v>123</v>
      </c>
      <c r="CS21" s="1" t="s">
        <v>123</v>
      </c>
      <c r="DC21" s="1" t="s">
        <v>123</v>
      </c>
      <c r="DM21" s="1" t="s">
        <v>123</v>
      </c>
      <c r="EP21" s="1" t="s">
        <v>123</v>
      </c>
      <c r="EQ21" t="s">
        <v>180</v>
      </c>
      <c r="ER21" t="s">
        <v>132</v>
      </c>
      <c r="FP21" s="1" t="s">
        <v>123</v>
      </c>
      <c r="FQ21" t="s">
        <v>132</v>
      </c>
      <c r="FS21" t="s">
        <v>132</v>
      </c>
      <c r="GX21" t="s">
        <v>1043</v>
      </c>
      <c r="GY21" t="s">
        <v>1044</v>
      </c>
      <c r="GZ21" t="s">
        <v>1045</v>
      </c>
      <c r="HA21" t="s">
        <v>186</v>
      </c>
      <c r="HB21">
        <v>1982</v>
      </c>
      <c r="HC21" t="str">
        <f>VLOOKUP(AnalizaCzyste[[#This Row],[Rok urodzenia]],KategorieWiekowe[],2,1)</f>
        <v>36-45 lat</v>
      </c>
      <c r="HD21" t="s">
        <v>246</v>
      </c>
    </row>
    <row r="22" spans="1:216" x14ac:dyDescent="0.45">
      <c r="A22">
        <v>131</v>
      </c>
      <c r="B22">
        <f>_xlfn.IFNA(VLOOKUP(AnalizaCzyste[[#This Row],[Zakończono wypełnianie]],Zakończone[],2,0),"BRAK")</f>
        <v>80</v>
      </c>
      <c r="C22">
        <f t="shared" si="0"/>
        <v>37</v>
      </c>
      <c r="D22" t="s">
        <v>1238</v>
      </c>
      <c r="E22" t="s">
        <v>118</v>
      </c>
      <c r="J22" t="s">
        <v>119</v>
      </c>
      <c r="K22" t="s">
        <v>1239</v>
      </c>
      <c r="L22" t="s">
        <v>1240</v>
      </c>
      <c r="M22">
        <v>356</v>
      </c>
      <c r="N22">
        <v>0</v>
      </c>
      <c r="O22" t="s">
        <v>122</v>
      </c>
      <c r="P22" s="1" t="s">
        <v>123</v>
      </c>
      <c r="AF22" s="1" t="s">
        <v>124</v>
      </c>
      <c r="AG22" t="s">
        <v>223</v>
      </c>
      <c r="AH22" t="str">
        <f>VLOOKUP(AnalizaCzyste[[#This Row],[Jak się nazywa uczelnia którą ukończyłeś? (proszę o wybranie jednej uczelni podlegającej ocenie)]],KategorieUczelni[],2,0)</f>
        <v>Publiczna</v>
      </c>
      <c r="AI22">
        <v>1997</v>
      </c>
      <c r="AJ22" t="s">
        <v>148</v>
      </c>
      <c r="AK22" t="s">
        <v>161</v>
      </c>
      <c r="AL22" t="s">
        <v>128</v>
      </c>
      <c r="AM22" t="s">
        <v>128</v>
      </c>
      <c r="AN22" t="s">
        <v>162</v>
      </c>
      <c r="AO22" t="s">
        <v>162</v>
      </c>
      <c r="AP22" t="s">
        <v>162</v>
      </c>
      <c r="AQ22">
        <v>1</v>
      </c>
      <c r="AR22" t="s">
        <v>131</v>
      </c>
      <c r="AS22" t="s">
        <v>131</v>
      </c>
      <c r="AT22" t="s">
        <v>1241</v>
      </c>
      <c r="AU22" t="s">
        <v>1242</v>
      </c>
      <c r="AV22" t="s">
        <v>1243</v>
      </c>
      <c r="AW22" t="s">
        <v>157</v>
      </c>
      <c r="AX22" t="s">
        <v>1244</v>
      </c>
      <c r="AY22" s="1" t="s">
        <v>123</v>
      </c>
      <c r="CS22" s="1" t="s">
        <v>123</v>
      </c>
      <c r="DC22" s="1" t="s">
        <v>123</v>
      </c>
      <c r="DM22" s="1" t="s">
        <v>123</v>
      </c>
      <c r="EP22" s="1" t="s">
        <v>123</v>
      </c>
      <c r="EQ22" t="s">
        <v>178</v>
      </c>
      <c r="ER22" t="s">
        <v>132</v>
      </c>
      <c r="FP22" s="1" t="s">
        <v>123</v>
      </c>
      <c r="GX22" t="s">
        <v>1245</v>
      </c>
      <c r="GY22" t="s">
        <v>1246</v>
      </c>
      <c r="GZ22" t="s">
        <v>1247</v>
      </c>
      <c r="HA22" t="s">
        <v>186</v>
      </c>
      <c r="HB22">
        <v>1974</v>
      </c>
      <c r="HC22" t="str">
        <f>VLOOKUP(AnalizaCzyste[[#This Row],[Rok urodzenia]],KategorieWiekowe[],2,1)</f>
        <v>46-55 lat</v>
      </c>
      <c r="HD22" t="s">
        <v>398</v>
      </c>
      <c r="HF22" t="s">
        <v>1248</v>
      </c>
    </row>
    <row r="23" spans="1:216" x14ac:dyDescent="0.45">
      <c r="A23">
        <v>105</v>
      </c>
      <c r="B23">
        <f>_xlfn.IFNA(VLOOKUP(AnalizaCzyste[[#This Row],[Zakończono wypełnianie]],Zakończone[],2,0),"BRAK")</f>
        <v>64</v>
      </c>
      <c r="C23">
        <f t="shared" si="0"/>
        <v>37</v>
      </c>
      <c r="D23" t="s">
        <v>1014</v>
      </c>
      <c r="E23" t="s">
        <v>118</v>
      </c>
      <c r="J23" t="s">
        <v>119</v>
      </c>
      <c r="K23" t="s">
        <v>1015</v>
      </c>
      <c r="L23" t="s">
        <v>1016</v>
      </c>
      <c r="M23">
        <v>1293</v>
      </c>
      <c r="N23">
        <v>0</v>
      </c>
      <c r="O23" t="s">
        <v>122</v>
      </c>
      <c r="P23" s="1" t="s">
        <v>123</v>
      </c>
      <c r="AF23" s="1" t="s">
        <v>124</v>
      </c>
      <c r="AG23" t="s">
        <v>223</v>
      </c>
      <c r="AH23" t="str">
        <f>VLOOKUP(AnalizaCzyste[[#This Row],[Jak się nazywa uczelnia którą ukończyłeś? (proszę o wybranie jednej uczelni podlegającej ocenie)]],KategorieUczelni[],2,0)</f>
        <v>Publiczna</v>
      </c>
      <c r="AI23">
        <v>2003</v>
      </c>
      <c r="AJ23" t="s">
        <v>148</v>
      </c>
      <c r="AK23" t="s">
        <v>1017</v>
      </c>
      <c r="AL23" t="s">
        <v>128</v>
      </c>
      <c r="AM23" t="s">
        <v>128</v>
      </c>
      <c r="AN23" t="s">
        <v>128</v>
      </c>
      <c r="AO23" t="s">
        <v>236</v>
      </c>
      <c r="AP23" t="s">
        <v>132</v>
      </c>
      <c r="AQ23" t="s">
        <v>1018</v>
      </c>
      <c r="AR23" t="s">
        <v>131</v>
      </c>
      <c r="AS23" t="s">
        <v>131</v>
      </c>
      <c r="AU23" t="s">
        <v>1019</v>
      </c>
      <c r="AV23" t="s">
        <v>1020</v>
      </c>
      <c r="AW23" t="s">
        <v>157</v>
      </c>
      <c r="AY23" s="1" t="s">
        <v>123</v>
      </c>
      <c r="CS23" s="1" t="s">
        <v>123</v>
      </c>
      <c r="DC23" s="1" t="s">
        <v>123</v>
      </c>
      <c r="DM23" s="1" t="s">
        <v>123</v>
      </c>
      <c r="EP23" s="1" t="s">
        <v>123</v>
      </c>
      <c r="EQ23" t="s">
        <v>180</v>
      </c>
      <c r="ER23" t="s">
        <v>132</v>
      </c>
      <c r="FP23" s="1" t="s">
        <v>123</v>
      </c>
      <c r="FQ23" t="s">
        <v>132</v>
      </c>
      <c r="FS23" t="s">
        <v>132</v>
      </c>
      <c r="GX23" t="s">
        <v>276</v>
      </c>
      <c r="GY23" t="s">
        <v>1021</v>
      </c>
      <c r="GZ23" t="s">
        <v>1022</v>
      </c>
      <c r="HA23" t="s">
        <v>140</v>
      </c>
      <c r="HB23">
        <v>1980</v>
      </c>
      <c r="HC23" t="str">
        <f>VLOOKUP(AnalizaCzyste[[#This Row],[Rok urodzenia]],KategorieWiekowe[],2,1)</f>
        <v>36-45 lat</v>
      </c>
      <c r="HD23" t="s">
        <v>483</v>
      </c>
      <c r="HF23" t="s">
        <v>1023</v>
      </c>
    </row>
    <row r="24" spans="1:216" x14ac:dyDescent="0.45">
      <c r="A24">
        <v>165</v>
      </c>
      <c r="B24">
        <f>_xlfn.IFNA(VLOOKUP(AnalizaCzyste[[#This Row],[Zakończono wypełnianie]],Zakończone[],2,0),"BRAK")</f>
        <v>95</v>
      </c>
      <c r="C24">
        <f t="shared" si="0"/>
        <v>35</v>
      </c>
      <c r="D24" t="s">
        <v>1352</v>
      </c>
      <c r="E24" t="s">
        <v>118</v>
      </c>
      <c r="J24" t="s">
        <v>119</v>
      </c>
      <c r="K24" t="s">
        <v>1450</v>
      </c>
      <c r="L24" t="s">
        <v>1451</v>
      </c>
      <c r="M24">
        <v>402</v>
      </c>
      <c r="N24">
        <v>0</v>
      </c>
      <c r="O24" t="s">
        <v>122</v>
      </c>
      <c r="P24" s="1" t="s">
        <v>123</v>
      </c>
      <c r="AF24" s="1" t="s">
        <v>124</v>
      </c>
      <c r="AG24" t="s">
        <v>223</v>
      </c>
      <c r="AH24" t="str">
        <f>VLOOKUP(AnalizaCzyste[[#This Row],[Jak się nazywa uczelnia którą ukończyłeś? (proszę o wybranie jednej uczelni podlegającej ocenie)]],KategorieUczelni[],2,0)</f>
        <v>Publiczna</v>
      </c>
      <c r="AI24">
        <v>2008</v>
      </c>
      <c r="AJ24" t="s">
        <v>148</v>
      </c>
      <c r="AK24" t="s">
        <v>1452</v>
      </c>
      <c r="AL24" t="s">
        <v>128</v>
      </c>
      <c r="AM24" t="s">
        <v>236</v>
      </c>
      <c r="AN24" t="s">
        <v>129</v>
      </c>
      <c r="AO24" t="s">
        <v>129</v>
      </c>
      <c r="AP24" t="s">
        <v>128</v>
      </c>
      <c r="AQ24" t="s">
        <v>237</v>
      </c>
      <c r="AR24" t="s">
        <v>131</v>
      </c>
      <c r="AS24" t="s">
        <v>131</v>
      </c>
      <c r="AT24" t="s">
        <v>1453</v>
      </c>
      <c r="AU24" t="s">
        <v>1454</v>
      </c>
      <c r="AV24" t="s">
        <v>1005</v>
      </c>
      <c r="AW24" t="s">
        <v>157</v>
      </c>
      <c r="AY24" s="1" t="s">
        <v>123</v>
      </c>
      <c r="CS24" s="1" t="s">
        <v>123</v>
      </c>
      <c r="DC24" s="1" t="s">
        <v>123</v>
      </c>
      <c r="DM24" s="1" t="s">
        <v>123</v>
      </c>
      <c r="EP24" s="1" t="s">
        <v>123</v>
      </c>
      <c r="FP24" s="1" t="s">
        <v>123</v>
      </c>
      <c r="GX24" t="s">
        <v>1455</v>
      </c>
      <c r="GY24" t="s">
        <v>1456</v>
      </c>
      <c r="GZ24" t="s">
        <v>1457</v>
      </c>
      <c r="HA24" t="s">
        <v>140</v>
      </c>
      <c r="HB24">
        <v>1984</v>
      </c>
      <c r="HC24" t="str">
        <f>VLOOKUP(AnalizaCzyste[[#This Row],[Rok urodzenia]],KategorieWiekowe[],2,1)</f>
        <v>36-45 lat</v>
      </c>
      <c r="HD24" t="s">
        <v>220</v>
      </c>
      <c r="HF24" t="s">
        <v>386</v>
      </c>
      <c r="HG24" t="s">
        <v>386</v>
      </c>
    </row>
    <row r="25" spans="1:216" x14ac:dyDescent="0.45">
      <c r="A25">
        <v>158</v>
      </c>
      <c r="B25">
        <f>_xlfn.IFNA(VLOOKUP(AnalizaCzyste[[#This Row],[Zakończono wypełnianie]],Zakończone[],2,0),"BRAK")</f>
        <v>91</v>
      </c>
      <c r="C25">
        <f t="shared" si="0"/>
        <v>34</v>
      </c>
      <c r="D25" t="s">
        <v>1131</v>
      </c>
      <c r="E25" t="s">
        <v>118</v>
      </c>
      <c r="J25" t="s">
        <v>119</v>
      </c>
      <c r="K25" t="s">
        <v>1403</v>
      </c>
      <c r="L25" t="s">
        <v>1404</v>
      </c>
      <c r="M25">
        <v>325</v>
      </c>
      <c r="N25">
        <v>0</v>
      </c>
      <c r="O25" t="s">
        <v>122</v>
      </c>
      <c r="P25" s="1" t="s">
        <v>123</v>
      </c>
      <c r="AF25" s="1" t="s">
        <v>124</v>
      </c>
      <c r="AG25" t="s">
        <v>223</v>
      </c>
      <c r="AH25" t="str">
        <f>VLOOKUP(AnalizaCzyste[[#This Row],[Jak się nazywa uczelnia którą ukończyłeś? (proszę o wybranie jednej uczelni podlegającej ocenie)]],KategorieUczelni[],2,0)</f>
        <v>Publiczna</v>
      </c>
      <c r="AI25">
        <v>2013</v>
      </c>
      <c r="AJ25" t="s">
        <v>148</v>
      </c>
      <c r="AK25" t="s">
        <v>958</v>
      </c>
      <c r="AL25" t="s">
        <v>128</v>
      </c>
      <c r="AM25" t="s">
        <v>128</v>
      </c>
      <c r="AN25" t="s">
        <v>162</v>
      </c>
      <c r="AO25" t="s">
        <v>151</v>
      </c>
      <c r="AP25" t="s">
        <v>151</v>
      </c>
      <c r="AQ25">
        <v>3</v>
      </c>
      <c r="AR25" t="s">
        <v>131</v>
      </c>
      <c r="AS25" t="s">
        <v>153</v>
      </c>
      <c r="AT25" t="s">
        <v>1405</v>
      </c>
      <c r="AU25" t="s">
        <v>1406</v>
      </c>
      <c r="AV25" t="s">
        <v>1407</v>
      </c>
      <c r="AW25" t="s">
        <v>157</v>
      </c>
      <c r="AY25" s="1" t="s">
        <v>123</v>
      </c>
      <c r="CS25" s="1" t="s">
        <v>123</v>
      </c>
      <c r="DC25" s="1" t="s">
        <v>123</v>
      </c>
      <c r="DM25" s="1" t="s">
        <v>123</v>
      </c>
      <c r="EP25" s="1" t="s">
        <v>123</v>
      </c>
      <c r="FP25" s="1" t="s">
        <v>123</v>
      </c>
      <c r="GX25" t="s">
        <v>1408</v>
      </c>
      <c r="GY25" t="s">
        <v>1409</v>
      </c>
      <c r="GZ25" t="s">
        <v>1410</v>
      </c>
      <c r="HA25" t="s">
        <v>140</v>
      </c>
      <c r="HB25">
        <v>1984</v>
      </c>
      <c r="HC25" t="str">
        <f>VLOOKUP(AnalizaCzyste[[#This Row],[Rok urodzenia]],KategorieWiekowe[],2,1)</f>
        <v>36-45 lat</v>
      </c>
      <c r="HD25" t="s">
        <v>398</v>
      </c>
      <c r="HF25" t="s">
        <v>1411</v>
      </c>
    </row>
    <row r="26" spans="1:216" x14ac:dyDescent="0.45">
      <c r="A26">
        <v>243</v>
      </c>
      <c r="B26">
        <f>_xlfn.IFNA(VLOOKUP(AnalizaCzyste[[#This Row],[Zakończono wypełnianie]],Zakończone[],2,0),"BRAK")</f>
        <v>130</v>
      </c>
      <c r="C26">
        <f t="shared" si="0"/>
        <v>35</v>
      </c>
      <c r="D26" t="s">
        <v>1951</v>
      </c>
      <c r="E26" t="s">
        <v>118</v>
      </c>
      <c r="J26" t="s">
        <v>119</v>
      </c>
      <c r="K26" t="s">
        <v>1952</v>
      </c>
      <c r="L26" t="s">
        <v>1953</v>
      </c>
      <c r="M26">
        <v>942</v>
      </c>
      <c r="N26">
        <v>0</v>
      </c>
      <c r="O26" t="s">
        <v>122</v>
      </c>
      <c r="P26" s="1" t="s">
        <v>123</v>
      </c>
      <c r="AF26" s="1" t="s">
        <v>124</v>
      </c>
      <c r="AG26" t="s">
        <v>223</v>
      </c>
      <c r="AH26" t="str">
        <f>VLOOKUP(AnalizaCzyste[[#This Row],[Jak się nazywa uczelnia którą ukończyłeś? (proszę o wybranie jednej uczelni podlegającej ocenie)]],KategorieUczelni[],2,0)</f>
        <v>Publiczna</v>
      </c>
      <c r="AI26">
        <v>2012</v>
      </c>
      <c r="AJ26" t="s">
        <v>148</v>
      </c>
      <c r="AK26" t="s">
        <v>161</v>
      </c>
      <c r="AL26" t="s">
        <v>128</v>
      </c>
      <c r="AM26" t="s">
        <v>162</v>
      </c>
      <c r="AN26" t="s">
        <v>128</v>
      </c>
      <c r="AO26" t="s">
        <v>128</v>
      </c>
      <c r="AP26" t="s">
        <v>236</v>
      </c>
      <c r="AQ26" t="s">
        <v>530</v>
      </c>
      <c r="AR26" t="s">
        <v>302</v>
      </c>
      <c r="AS26" t="s">
        <v>131</v>
      </c>
      <c r="AT26" t="s">
        <v>1955</v>
      </c>
      <c r="AU26" t="s">
        <v>1956</v>
      </c>
      <c r="AV26" t="s">
        <v>1957</v>
      </c>
      <c r="AW26" t="s">
        <v>157</v>
      </c>
      <c r="AY26" s="1" t="s">
        <v>123</v>
      </c>
      <c r="CS26" s="1" t="s">
        <v>123</v>
      </c>
      <c r="DC26" s="1" t="s">
        <v>123</v>
      </c>
      <c r="DM26" s="1" t="s">
        <v>123</v>
      </c>
      <c r="EP26" s="1" t="s">
        <v>123</v>
      </c>
      <c r="FP26" s="1" t="s">
        <v>123</v>
      </c>
      <c r="GX26" t="s">
        <v>1958</v>
      </c>
      <c r="GY26" t="s">
        <v>1959</v>
      </c>
      <c r="GZ26" t="s">
        <v>1960</v>
      </c>
      <c r="HA26" t="s">
        <v>140</v>
      </c>
      <c r="HB26">
        <v>1986</v>
      </c>
      <c r="HC26" t="str">
        <f>VLOOKUP(AnalizaCzyste[[#This Row],[Rok urodzenia]],KategorieWiekowe[],2,1)</f>
        <v>26-35 lat</v>
      </c>
      <c r="HD26" t="s">
        <v>1630</v>
      </c>
      <c r="HF26" t="s">
        <v>1961</v>
      </c>
      <c r="HG26" t="s">
        <v>142</v>
      </c>
    </row>
    <row r="27" spans="1:216" x14ac:dyDescent="0.45">
      <c r="A27">
        <v>97</v>
      </c>
      <c r="B27">
        <f>_xlfn.IFNA(VLOOKUP(AnalizaCzyste[[#This Row],[Zakończono wypełnianie]],Zakończone[],2,0),"BRAK")</f>
        <v>60</v>
      </c>
      <c r="C27">
        <f t="shared" si="0"/>
        <v>39</v>
      </c>
      <c r="D27" t="s">
        <v>370</v>
      </c>
      <c r="E27" t="s">
        <v>118</v>
      </c>
      <c r="F27" t="s">
        <v>774</v>
      </c>
      <c r="J27" t="s">
        <v>119</v>
      </c>
      <c r="K27" t="s">
        <v>973</v>
      </c>
      <c r="L27" t="s">
        <v>974</v>
      </c>
      <c r="M27">
        <v>1963</v>
      </c>
      <c r="N27">
        <v>0</v>
      </c>
      <c r="O27" t="s">
        <v>122</v>
      </c>
      <c r="P27" s="1" t="s">
        <v>123</v>
      </c>
      <c r="AF27" s="1" t="s">
        <v>124</v>
      </c>
      <c r="AG27" t="s">
        <v>975</v>
      </c>
      <c r="AH27" t="str">
        <f>VLOOKUP(AnalizaCzyste[[#This Row],[Jak się nazywa uczelnia którą ukończyłeś? (proszę o wybranie jednej uczelni podlegającej ocenie)]],KategorieUczelni[],2,0)</f>
        <v>Publiczna</v>
      </c>
      <c r="AI27">
        <v>1996</v>
      </c>
      <c r="AJ27" t="s">
        <v>148</v>
      </c>
      <c r="AK27" t="s">
        <v>601</v>
      </c>
      <c r="AL27" t="s">
        <v>128</v>
      </c>
      <c r="AM27" t="s">
        <v>151</v>
      </c>
      <c r="AN27" t="s">
        <v>169</v>
      </c>
      <c r="AO27" t="s">
        <v>129</v>
      </c>
      <c r="AP27" t="s">
        <v>129</v>
      </c>
      <c r="AQ27" t="s">
        <v>976</v>
      </c>
      <c r="AR27" t="s">
        <v>131</v>
      </c>
      <c r="AS27" t="s">
        <v>131</v>
      </c>
      <c r="AT27" t="s">
        <v>802</v>
      </c>
      <c r="AU27" t="s">
        <v>824</v>
      </c>
      <c r="AV27" t="s">
        <v>977</v>
      </c>
      <c r="AW27" t="s">
        <v>230</v>
      </c>
      <c r="AY27" s="1" t="s">
        <v>123</v>
      </c>
      <c r="CS27" s="1" t="s">
        <v>123</v>
      </c>
      <c r="DC27" s="1" t="s">
        <v>123</v>
      </c>
      <c r="DM27" s="1" t="s">
        <v>123</v>
      </c>
      <c r="EP27" s="1" t="s">
        <v>123</v>
      </c>
      <c r="EQ27" t="s">
        <v>178</v>
      </c>
      <c r="ER27" t="s">
        <v>132</v>
      </c>
      <c r="FP27" s="1" t="s">
        <v>123</v>
      </c>
      <c r="FQ27" t="s">
        <v>132</v>
      </c>
      <c r="FS27" t="s">
        <v>132</v>
      </c>
      <c r="GX27" t="s">
        <v>978</v>
      </c>
      <c r="GY27" t="s">
        <v>819</v>
      </c>
      <c r="GZ27" t="s">
        <v>979</v>
      </c>
      <c r="HA27" t="s">
        <v>140</v>
      </c>
      <c r="HB27">
        <v>1962</v>
      </c>
      <c r="HC27" t="str">
        <f>VLOOKUP(AnalizaCzyste[[#This Row],[Rok urodzenia]],KategorieWiekowe[],2,1)</f>
        <v>56-65 lat</v>
      </c>
      <c r="HD27" t="s">
        <v>220</v>
      </c>
      <c r="HF27" t="s">
        <v>980</v>
      </c>
      <c r="HG27" t="s">
        <v>386</v>
      </c>
    </row>
    <row r="28" spans="1:216" x14ac:dyDescent="0.45">
      <c r="A28">
        <v>164</v>
      </c>
      <c r="B28">
        <f>_xlfn.IFNA(VLOOKUP(AnalizaCzyste[[#This Row],[Zakończono wypełnianie]],Zakończone[],2,0),"BRAK")</f>
        <v>94</v>
      </c>
      <c r="C28">
        <f t="shared" si="0"/>
        <v>36</v>
      </c>
      <c r="D28" t="s">
        <v>1436</v>
      </c>
      <c r="E28" t="s">
        <v>118</v>
      </c>
      <c r="J28" t="s">
        <v>119</v>
      </c>
      <c r="K28" t="s">
        <v>1437</v>
      </c>
      <c r="L28" t="s">
        <v>1438</v>
      </c>
      <c r="M28">
        <v>880</v>
      </c>
      <c r="N28">
        <v>0</v>
      </c>
      <c r="O28" t="s">
        <v>122</v>
      </c>
      <c r="P28" s="1" t="s">
        <v>123</v>
      </c>
      <c r="AF28" s="1" t="s">
        <v>124</v>
      </c>
      <c r="AG28" t="s">
        <v>1439</v>
      </c>
      <c r="AH28" t="str">
        <f>VLOOKUP(AnalizaCzyste[[#This Row],[Jak się nazywa uczelnia którą ukończyłeś? (proszę o wybranie jednej uczelni podlegającej ocenie)]],KategorieUczelni[],2,0)</f>
        <v>Niepubliczna</v>
      </c>
      <c r="AI28">
        <v>2019</v>
      </c>
      <c r="AJ28" t="s">
        <v>148</v>
      </c>
      <c r="AK28" t="s">
        <v>1440</v>
      </c>
      <c r="AL28" t="s">
        <v>128</v>
      </c>
      <c r="AM28" t="s">
        <v>128</v>
      </c>
      <c r="AN28" t="s">
        <v>150</v>
      </c>
      <c r="AO28" t="s">
        <v>169</v>
      </c>
      <c r="AP28" t="s">
        <v>169</v>
      </c>
      <c r="AQ28" t="s">
        <v>1441</v>
      </c>
      <c r="AR28" t="s">
        <v>302</v>
      </c>
      <c r="AS28" t="s">
        <v>226</v>
      </c>
      <c r="AT28" t="s">
        <v>1442</v>
      </c>
      <c r="AU28" t="s">
        <v>1443</v>
      </c>
      <c r="AV28" t="s">
        <v>1444</v>
      </c>
      <c r="AW28" t="s">
        <v>230</v>
      </c>
      <c r="AY28" s="1" t="s">
        <v>123</v>
      </c>
      <c r="CS28" s="1" t="s">
        <v>123</v>
      </c>
      <c r="DC28" s="1" t="s">
        <v>123</v>
      </c>
      <c r="DM28" s="1" t="s">
        <v>123</v>
      </c>
      <c r="EP28" s="1" t="s">
        <v>123</v>
      </c>
      <c r="EQ28" t="s">
        <v>178</v>
      </c>
      <c r="FP28" s="1" t="s">
        <v>123</v>
      </c>
      <c r="GX28" t="s">
        <v>1445</v>
      </c>
      <c r="GY28" t="s">
        <v>1446</v>
      </c>
      <c r="GZ28" t="s">
        <v>1447</v>
      </c>
      <c r="HA28" t="s">
        <v>140</v>
      </c>
      <c r="HB28">
        <v>1990</v>
      </c>
      <c r="HC28" t="str">
        <f>VLOOKUP(AnalizaCzyste[[#This Row],[Rok urodzenia]],KategorieWiekowe[],2,1)</f>
        <v>26-35 lat</v>
      </c>
      <c r="HD28" t="s">
        <v>398</v>
      </c>
      <c r="HF28" t="s">
        <v>1448</v>
      </c>
      <c r="HG28" t="s">
        <v>1449</v>
      </c>
    </row>
    <row r="29" spans="1:216" x14ac:dyDescent="0.45">
      <c r="A29">
        <v>113</v>
      </c>
      <c r="B29">
        <f>_xlfn.IFNA(VLOOKUP(AnalizaCzyste[[#This Row],[Zakończono wypełnianie]],Zakończone[],2,0),"BRAK")</f>
        <v>67</v>
      </c>
      <c r="C29">
        <f t="shared" si="0"/>
        <v>34</v>
      </c>
      <c r="D29" t="s">
        <v>1065</v>
      </c>
      <c r="E29" t="s">
        <v>118</v>
      </c>
      <c r="J29" t="s">
        <v>119</v>
      </c>
      <c r="K29" t="s">
        <v>1066</v>
      </c>
      <c r="L29" t="s">
        <v>1067</v>
      </c>
      <c r="M29">
        <v>2803</v>
      </c>
      <c r="N29">
        <v>0</v>
      </c>
      <c r="O29" t="s">
        <v>122</v>
      </c>
      <c r="P29" s="1" t="s">
        <v>123</v>
      </c>
      <c r="AF29" s="1" t="s">
        <v>124</v>
      </c>
      <c r="AG29" t="s">
        <v>1439</v>
      </c>
      <c r="AH29" t="str">
        <f>VLOOKUP(AnalizaCzyste[[#This Row],[Jak się nazywa uczelnia którą ukończyłeś? (proszę o wybranie jednej uczelni podlegającej ocenie)]],KategorieUczelni[],2,0)</f>
        <v>Niepubliczna</v>
      </c>
      <c r="AI29">
        <v>2019</v>
      </c>
      <c r="AJ29" t="s">
        <v>148</v>
      </c>
      <c r="AK29" t="s">
        <v>1069</v>
      </c>
      <c r="AL29" t="s">
        <v>128</v>
      </c>
      <c r="AM29" t="s">
        <v>151</v>
      </c>
      <c r="AN29" t="s">
        <v>128</v>
      </c>
      <c r="AO29" t="s">
        <v>129</v>
      </c>
      <c r="AP29" t="s">
        <v>132</v>
      </c>
      <c r="AQ29" t="s">
        <v>1070</v>
      </c>
      <c r="AR29" t="s">
        <v>153</v>
      </c>
      <c r="AS29" t="s">
        <v>132</v>
      </c>
      <c r="AU29" t="s">
        <v>1071</v>
      </c>
      <c r="AV29" t="s">
        <v>1072</v>
      </c>
      <c r="AW29" t="s">
        <v>892</v>
      </c>
      <c r="AY29" s="1" t="s">
        <v>123</v>
      </c>
      <c r="CS29" s="1" t="s">
        <v>123</v>
      </c>
      <c r="DC29" s="1" t="s">
        <v>123</v>
      </c>
      <c r="DM29" s="1" t="s">
        <v>123</v>
      </c>
      <c r="EP29" s="1" t="s">
        <v>123</v>
      </c>
      <c r="FP29" s="1" t="s">
        <v>123</v>
      </c>
      <c r="FQ29" t="s">
        <v>132</v>
      </c>
      <c r="GX29" t="s">
        <v>1073</v>
      </c>
      <c r="GY29" t="s">
        <v>1074</v>
      </c>
      <c r="GZ29" t="s">
        <v>1075</v>
      </c>
      <c r="HA29" t="s">
        <v>140</v>
      </c>
      <c r="HB29">
        <v>1991</v>
      </c>
      <c r="HC29" t="str">
        <f>VLOOKUP(AnalizaCzyste[[#This Row],[Rok urodzenia]],KategorieWiekowe[],2,1)</f>
        <v>26-35 lat</v>
      </c>
      <c r="HD29" t="s">
        <v>398</v>
      </c>
      <c r="HG29" t="s">
        <v>1076</v>
      </c>
    </row>
    <row r="30" spans="1:216" x14ac:dyDescent="0.45">
      <c r="A30">
        <v>238</v>
      </c>
      <c r="B30">
        <f>_xlfn.IFNA(VLOOKUP(AnalizaCzyste[[#This Row],[Zakończono wypełnianie]],Zakończone[],2,0),"BRAK")</f>
        <v>129</v>
      </c>
      <c r="C30">
        <f t="shared" si="0"/>
        <v>34</v>
      </c>
      <c r="D30" t="s">
        <v>1142</v>
      </c>
      <c r="E30" t="s">
        <v>118</v>
      </c>
      <c r="F30" t="s">
        <v>1927</v>
      </c>
      <c r="J30" t="s">
        <v>119</v>
      </c>
      <c r="K30" t="s">
        <v>1928</v>
      </c>
      <c r="L30" t="s">
        <v>1929</v>
      </c>
      <c r="M30">
        <v>1449</v>
      </c>
      <c r="N30">
        <v>0</v>
      </c>
      <c r="O30" t="s">
        <v>122</v>
      </c>
      <c r="P30" s="1" t="s">
        <v>123</v>
      </c>
      <c r="AF30" s="1" t="s">
        <v>124</v>
      </c>
      <c r="AG30" t="s">
        <v>2270</v>
      </c>
      <c r="AH30" t="str">
        <f>VLOOKUP(AnalizaCzyste[[#This Row],[Jak się nazywa uczelnia którą ukończyłeś? (proszę o wybranie jednej uczelni podlegającej ocenie)]],KategorieUczelni[],2,0)</f>
        <v>Publiczna</v>
      </c>
      <c r="AI30">
        <v>2007</v>
      </c>
      <c r="AJ30" t="s">
        <v>126</v>
      </c>
      <c r="AK30" t="s">
        <v>1931</v>
      </c>
      <c r="AL30" t="s">
        <v>162</v>
      </c>
      <c r="AM30" t="s">
        <v>162</v>
      </c>
      <c r="AN30" t="s">
        <v>169</v>
      </c>
      <c r="AO30" t="s">
        <v>169</v>
      </c>
      <c r="AP30" t="s">
        <v>169</v>
      </c>
      <c r="AQ30" t="s">
        <v>1932</v>
      </c>
      <c r="AR30" t="s">
        <v>302</v>
      </c>
      <c r="AS30" t="s">
        <v>153</v>
      </c>
      <c r="AT30" t="s">
        <v>1933</v>
      </c>
      <c r="AU30" t="s">
        <v>1934</v>
      </c>
      <c r="AV30" t="s">
        <v>1935</v>
      </c>
      <c r="AX30" t="s">
        <v>1936</v>
      </c>
      <c r="AY30" s="1" t="s">
        <v>123</v>
      </c>
      <c r="CS30" s="1" t="s">
        <v>123</v>
      </c>
      <c r="DC30" s="1" t="s">
        <v>123</v>
      </c>
      <c r="DM30" s="1" t="s">
        <v>123</v>
      </c>
      <c r="EP30" s="1" t="s">
        <v>123</v>
      </c>
      <c r="FP30" s="1" t="s">
        <v>123</v>
      </c>
      <c r="GX30" t="s">
        <v>1937</v>
      </c>
      <c r="GY30" t="s">
        <v>1938</v>
      </c>
      <c r="GZ30" t="s">
        <v>1939</v>
      </c>
      <c r="HA30" t="s">
        <v>186</v>
      </c>
      <c r="HB30" s="42">
        <v>1995</v>
      </c>
      <c r="HC30" t="str">
        <f>VLOOKUP(AnalizaCzyste[[#This Row],[Rok urodzenia]],KategorieWiekowe[],2,1)</f>
        <v>poniżej 26 lat</v>
      </c>
      <c r="HD30" t="s">
        <v>398</v>
      </c>
      <c r="HF30" t="s">
        <v>1940</v>
      </c>
    </row>
    <row r="31" spans="1:216" x14ac:dyDescent="0.45">
      <c r="A31">
        <v>167</v>
      </c>
      <c r="B31">
        <f>_xlfn.IFNA(VLOOKUP(AnalizaCzyste[[#This Row],[Zakończono wypełnianie]],Zakończone[],2,0),"BRAK")</f>
        <v>96</v>
      </c>
      <c r="C31">
        <f t="shared" si="0"/>
        <v>34</v>
      </c>
      <c r="D31" t="s">
        <v>1131</v>
      </c>
      <c r="E31" t="s">
        <v>118</v>
      </c>
      <c r="J31" t="s">
        <v>119</v>
      </c>
      <c r="K31" t="s">
        <v>1459</v>
      </c>
      <c r="L31" t="s">
        <v>1460</v>
      </c>
      <c r="M31">
        <v>665</v>
      </c>
      <c r="N31">
        <v>0</v>
      </c>
      <c r="O31" t="s">
        <v>122</v>
      </c>
      <c r="P31" s="1" t="s">
        <v>123</v>
      </c>
      <c r="AF31" s="1" t="s">
        <v>124</v>
      </c>
      <c r="AG31" t="s">
        <v>1461</v>
      </c>
      <c r="AH31" t="str">
        <f>VLOOKUP(AnalizaCzyste[[#This Row],[Jak się nazywa uczelnia którą ukończyłeś? (proszę o wybranie jednej uczelni podlegającej ocenie)]],KategorieUczelni[],2,0)</f>
        <v>Publiczna</v>
      </c>
      <c r="AI31">
        <v>2007</v>
      </c>
      <c r="AJ31" t="s">
        <v>148</v>
      </c>
      <c r="AK31" t="s">
        <v>1462</v>
      </c>
      <c r="AL31" t="s">
        <v>162</v>
      </c>
      <c r="AM31" t="s">
        <v>151</v>
      </c>
      <c r="AN31" t="s">
        <v>151</v>
      </c>
      <c r="AO31" t="s">
        <v>150</v>
      </c>
      <c r="AP31" t="s">
        <v>128</v>
      </c>
      <c r="AQ31">
        <v>2</v>
      </c>
      <c r="AR31" t="s">
        <v>302</v>
      </c>
      <c r="AS31" t="s">
        <v>302</v>
      </c>
      <c r="AT31" t="s">
        <v>1463</v>
      </c>
      <c r="AU31" t="s">
        <v>1464</v>
      </c>
      <c r="AV31" t="s">
        <v>1465</v>
      </c>
      <c r="AW31" t="s">
        <v>157</v>
      </c>
      <c r="AY31" s="1" t="s">
        <v>123</v>
      </c>
      <c r="CS31" s="1" t="s">
        <v>123</v>
      </c>
      <c r="DC31" s="1" t="s">
        <v>123</v>
      </c>
      <c r="DM31" s="1" t="s">
        <v>123</v>
      </c>
      <c r="EP31" s="1" t="s">
        <v>123</v>
      </c>
      <c r="FP31" s="1" t="s">
        <v>123</v>
      </c>
      <c r="GX31" t="s">
        <v>1466</v>
      </c>
      <c r="GY31" t="s">
        <v>1467</v>
      </c>
      <c r="GZ31" t="s">
        <v>1468</v>
      </c>
      <c r="HA31" t="s">
        <v>140</v>
      </c>
      <c r="HB31">
        <v>1982</v>
      </c>
      <c r="HC31" t="str">
        <f>VLOOKUP(AnalizaCzyste[[#This Row],[Rok urodzenia]],KategorieWiekowe[],2,1)</f>
        <v>36-45 lat</v>
      </c>
      <c r="HD31" t="s">
        <v>398</v>
      </c>
      <c r="HF31" t="s">
        <v>1469</v>
      </c>
    </row>
    <row r="32" spans="1:216" x14ac:dyDescent="0.45">
      <c r="A32">
        <v>26</v>
      </c>
      <c r="B32">
        <f>_xlfn.IFNA(VLOOKUP(AnalizaCzyste[[#This Row],[Zakończono wypełnianie]],Zakończone[],2,0),"BRAK")</f>
        <v>20</v>
      </c>
      <c r="C32">
        <f t="shared" si="0"/>
        <v>37</v>
      </c>
      <c r="D32" t="s">
        <v>425</v>
      </c>
      <c r="E32" t="s">
        <v>118</v>
      </c>
      <c r="J32" t="s">
        <v>119</v>
      </c>
      <c r="K32" t="s">
        <v>426</v>
      </c>
      <c r="L32" t="s">
        <v>427</v>
      </c>
      <c r="M32">
        <v>1039</v>
      </c>
      <c r="N32">
        <v>0</v>
      </c>
      <c r="O32" t="s">
        <v>122</v>
      </c>
      <c r="P32" s="1" t="s">
        <v>123</v>
      </c>
      <c r="AF32" s="1" t="s">
        <v>124</v>
      </c>
      <c r="AG32" t="s">
        <v>428</v>
      </c>
      <c r="AH32" t="str">
        <f>VLOOKUP(AnalizaCzyste[[#This Row],[Jak się nazywa uczelnia którą ukończyłeś? (proszę o wybranie jednej uczelni podlegającej ocenie)]],KategorieUczelni[],2,0)</f>
        <v>Publiczna</v>
      </c>
      <c r="AI32">
        <v>2011</v>
      </c>
      <c r="AJ32" t="s">
        <v>148</v>
      </c>
      <c r="AK32" t="s">
        <v>429</v>
      </c>
      <c r="AL32" t="s">
        <v>162</v>
      </c>
      <c r="AM32" t="s">
        <v>162</v>
      </c>
      <c r="AN32" t="s">
        <v>128</v>
      </c>
      <c r="AO32" t="s">
        <v>128</v>
      </c>
      <c r="AP32" t="s">
        <v>128</v>
      </c>
      <c r="AQ32">
        <v>2</v>
      </c>
      <c r="AR32" t="s">
        <v>131</v>
      </c>
      <c r="AS32" t="s">
        <v>302</v>
      </c>
      <c r="AT32" t="s">
        <v>430</v>
      </c>
      <c r="AU32" t="s">
        <v>431</v>
      </c>
      <c r="AV32" t="s">
        <v>432</v>
      </c>
      <c r="AW32" t="s">
        <v>157</v>
      </c>
      <c r="AY32" s="1" t="s">
        <v>123</v>
      </c>
      <c r="CS32" s="1" t="s">
        <v>123</v>
      </c>
      <c r="DC32" s="1" t="s">
        <v>123</v>
      </c>
      <c r="DM32" s="1" t="s">
        <v>123</v>
      </c>
      <c r="EP32" s="1" t="s">
        <v>123</v>
      </c>
      <c r="EQ32" t="s">
        <v>180</v>
      </c>
      <c r="ER32" t="s">
        <v>132</v>
      </c>
      <c r="FP32" s="1" t="s">
        <v>123</v>
      </c>
      <c r="FQ32" t="s">
        <v>132</v>
      </c>
      <c r="FS32" t="s">
        <v>132</v>
      </c>
      <c r="GX32" t="s">
        <v>433</v>
      </c>
      <c r="GY32" t="s">
        <v>434</v>
      </c>
      <c r="GZ32" t="s">
        <v>435</v>
      </c>
      <c r="HA32" t="s">
        <v>140</v>
      </c>
      <c r="HB32">
        <v>1987</v>
      </c>
      <c r="HC32" t="str">
        <f>VLOOKUP(AnalizaCzyste[[#This Row],[Rok urodzenia]],KategorieWiekowe[],2,1)</f>
        <v>26-35 lat</v>
      </c>
      <c r="HD32" t="s">
        <v>141</v>
      </c>
    </row>
    <row r="33" spans="1:216" x14ac:dyDescent="0.45">
      <c r="A33">
        <v>86</v>
      </c>
      <c r="B33">
        <f>_xlfn.IFNA(VLOOKUP(AnalizaCzyste[[#This Row],[Zakończono wypełnianie]],Zakończone[],2,0),"BRAK")</f>
        <v>51</v>
      </c>
      <c r="C33">
        <f t="shared" si="0"/>
        <v>45</v>
      </c>
      <c r="D33" t="s">
        <v>873</v>
      </c>
      <c r="E33" t="s">
        <v>118</v>
      </c>
      <c r="F33" t="s">
        <v>797</v>
      </c>
      <c r="J33" t="s">
        <v>119</v>
      </c>
      <c r="K33" t="s">
        <v>880</v>
      </c>
      <c r="L33" t="s">
        <v>881</v>
      </c>
      <c r="M33">
        <v>2138</v>
      </c>
      <c r="N33">
        <v>0</v>
      </c>
      <c r="O33" t="s">
        <v>122</v>
      </c>
      <c r="P33" s="1" t="s">
        <v>123</v>
      </c>
      <c r="AF33" s="1" t="s">
        <v>124</v>
      </c>
      <c r="AG33" t="s">
        <v>191</v>
      </c>
      <c r="AH33" t="str">
        <f>VLOOKUP(AnalizaCzyste[[#This Row],[Jak się nazywa uczelnia którą ukończyłeś? (proszę o wybranie jednej uczelni podlegającej ocenie)]],KategorieUczelni[],2,0)</f>
        <v>Publiczna</v>
      </c>
      <c r="AI33">
        <v>2005</v>
      </c>
      <c r="AJ33" t="s">
        <v>126</v>
      </c>
      <c r="AK33" t="s">
        <v>882</v>
      </c>
      <c r="AL33" t="s">
        <v>162</v>
      </c>
      <c r="AM33" t="s">
        <v>162</v>
      </c>
      <c r="AN33" t="s">
        <v>162</v>
      </c>
      <c r="AO33" t="s">
        <v>236</v>
      </c>
      <c r="AP33" t="s">
        <v>128</v>
      </c>
      <c r="AQ33" t="s">
        <v>883</v>
      </c>
      <c r="AR33" t="s">
        <v>131</v>
      </c>
      <c r="AS33" t="s">
        <v>302</v>
      </c>
      <c r="AT33" t="s">
        <v>884</v>
      </c>
      <c r="AU33" t="s">
        <v>532</v>
      </c>
      <c r="AV33" t="s">
        <v>532</v>
      </c>
      <c r="AW33" t="s">
        <v>157</v>
      </c>
      <c r="AX33" t="s">
        <v>878</v>
      </c>
      <c r="AY33" s="1" t="s">
        <v>123</v>
      </c>
      <c r="CS33" s="1" t="s">
        <v>123</v>
      </c>
      <c r="DC33" s="1" t="s">
        <v>123</v>
      </c>
      <c r="DM33" s="1" t="s">
        <v>123</v>
      </c>
      <c r="EP33" s="1" t="s">
        <v>177</v>
      </c>
      <c r="EQ33" t="s">
        <v>178</v>
      </c>
      <c r="ER33">
        <v>1</v>
      </c>
      <c r="ES33" t="s">
        <v>747</v>
      </c>
      <c r="ET33" t="s">
        <v>162</v>
      </c>
      <c r="EU33" t="s">
        <v>162</v>
      </c>
      <c r="EV33" t="s">
        <v>151</v>
      </c>
      <c r="EW33" t="s">
        <v>178</v>
      </c>
      <c r="EX33" t="s">
        <v>885</v>
      </c>
      <c r="EY33" t="s">
        <v>886</v>
      </c>
      <c r="EZ33" t="s">
        <v>173</v>
      </c>
      <c r="FP33" s="1" t="s">
        <v>123</v>
      </c>
      <c r="FQ33" t="s">
        <v>132</v>
      </c>
      <c r="GX33" t="s">
        <v>887</v>
      </c>
      <c r="GY33" t="s">
        <v>532</v>
      </c>
      <c r="GZ33" t="s">
        <v>532</v>
      </c>
      <c r="HA33" t="s">
        <v>140</v>
      </c>
      <c r="HB33">
        <v>1981</v>
      </c>
      <c r="HC33" t="str">
        <f>VLOOKUP(AnalizaCzyste[[#This Row],[Rok urodzenia]],KategorieWiekowe[],2,1)</f>
        <v>36-45 lat</v>
      </c>
      <c r="HD33" t="s">
        <v>141</v>
      </c>
    </row>
    <row r="34" spans="1:216" x14ac:dyDescent="0.45">
      <c r="A34">
        <v>145</v>
      </c>
      <c r="B34">
        <f>_xlfn.IFNA(VLOOKUP(AnalizaCzyste[[#This Row],[Zakończono wypełnianie]],Zakończone[],2,0),"BRAK")</f>
        <v>86</v>
      </c>
      <c r="C34">
        <f t="shared" si="0"/>
        <v>45</v>
      </c>
      <c r="D34" t="s">
        <v>1336</v>
      </c>
      <c r="E34" t="s">
        <v>118</v>
      </c>
      <c r="J34" t="s">
        <v>119</v>
      </c>
      <c r="K34" t="s">
        <v>1337</v>
      </c>
      <c r="L34" t="s">
        <v>1338</v>
      </c>
      <c r="M34">
        <v>516</v>
      </c>
      <c r="N34">
        <v>0</v>
      </c>
      <c r="O34" t="s">
        <v>122</v>
      </c>
      <c r="P34" s="1" t="s">
        <v>123</v>
      </c>
      <c r="AF34" s="1" t="s">
        <v>124</v>
      </c>
      <c r="AG34" t="s">
        <v>191</v>
      </c>
      <c r="AH34" t="str">
        <f>VLOOKUP(AnalizaCzyste[[#This Row],[Jak się nazywa uczelnia którą ukończyłeś? (proszę o wybranie jednej uczelni podlegającej ocenie)]],KategorieUczelni[],2,0)</f>
        <v>Publiczna</v>
      </c>
      <c r="AI34">
        <v>2007</v>
      </c>
      <c r="AJ34" t="s">
        <v>126</v>
      </c>
      <c r="AK34" t="s">
        <v>1339</v>
      </c>
      <c r="AL34" t="s">
        <v>162</v>
      </c>
      <c r="AM34" t="s">
        <v>162</v>
      </c>
      <c r="AN34" t="s">
        <v>150</v>
      </c>
      <c r="AO34" t="s">
        <v>169</v>
      </c>
      <c r="AP34" t="s">
        <v>169</v>
      </c>
      <c r="AQ34" t="s">
        <v>1340</v>
      </c>
      <c r="AR34" t="s">
        <v>131</v>
      </c>
      <c r="AS34" t="s">
        <v>759</v>
      </c>
      <c r="AT34" t="s">
        <v>1341</v>
      </c>
      <c r="AU34" t="s">
        <v>1342</v>
      </c>
      <c r="AV34" t="s">
        <v>1343</v>
      </c>
      <c r="AW34" t="s">
        <v>157</v>
      </c>
      <c r="AX34" t="s">
        <v>1344</v>
      </c>
      <c r="AY34" s="1" t="s">
        <v>123</v>
      </c>
      <c r="CS34" s="1" t="s">
        <v>123</v>
      </c>
      <c r="DC34" s="1" t="s">
        <v>123</v>
      </c>
      <c r="DM34" s="1" t="s">
        <v>123</v>
      </c>
      <c r="EP34" s="1" t="s">
        <v>177</v>
      </c>
      <c r="EQ34" t="s">
        <v>178</v>
      </c>
      <c r="ER34" t="s">
        <v>132</v>
      </c>
      <c r="ES34" t="s">
        <v>191</v>
      </c>
      <c r="ET34" t="s">
        <v>236</v>
      </c>
      <c r="EU34" t="s">
        <v>236</v>
      </c>
      <c r="EV34" t="s">
        <v>151</v>
      </c>
      <c r="EW34" t="s">
        <v>178</v>
      </c>
      <c r="EX34" t="s">
        <v>1345</v>
      </c>
      <c r="EY34" t="s">
        <v>1346</v>
      </c>
      <c r="EZ34" t="s">
        <v>173</v>
      </c>
      <c r="FP34" s="1" t="s">
        <v>123</v>
      </c>
      <c r="GX34" t="s">
        <v>1347</v>
      </c>
      <c r="GY34" t="s">
        <v>1348</v>
      </c>
      <c r="GZ34" t="s">
        <v>1349</v>
      </c>
      <c r="HA34" t="s">
        <v>186</v>
      </c>
      <c r="HB34">
        <v>1982</v>
      </c>
      <c r="HC34" t="str">
        <f>VLOOKUP(AnalizaCzyste[[#This Row],[Rok urodzenia]],KategorieWiekowe[],2,1)</f>
        <v>36-45 lat</v>
      </c>
      <c r="HD34" t="s">
        <v>141</v>
      </c>
      <c r="HF34" t="s">
        <v>1350</v>
      </c>
    </row>
    <row r="35" spans="1:216" hidden="1" x14ac:dyDescent="0.45">
      <c r="A35">
        <v>128</v>
      </c>
      <c r="B35">
        <f>_xlfn.IFNA(VLOOKUP(AnalizaCzyste[[#This Row],[Zakończono wypełnianie]],Zakończone[],2,0),"BRAK")</f>
        <v>77</v>
      </c>
      <c r="C35">
        <f t="shared" ref="C35:C66" si="1">COUNTA(O35:HH35)</f>
        <v>45</v>
      </c>
      <c r="D35" t="s">
        <v>1200</v>
      </c>
      <c r="E35" t="s">
        <v>118</v>
      </c>
      <c r="J35" t="s">
        <v>119</v>
      </c>
      <c r="K35" t="s">
        <v>1201</v>
      </c>
      <c r="L35" t="s">
        <v>1202</v>
      </c>
      <c r="M35">
        <v>658</v>
      </c>
      <c r="N35">
        <v>0</v>
      </c>
      <c r="O35" t="s">
        <v>122</v>
      </c>
      <c r="P35" s="1" t="s">
        <v>123</v>
      </c>
      <c r="AF35" s="1" t="s">
        <v>123</v>
      </c>
      <c r="AH35" t="e">
        <f>VLOOKUP(AnalizaCzyste[[#This Row],[Jak się nazywa uczelnia którą ukończyłeś? (proszę o wybranie jednej uczelni podlegającej ocenie)]],KategorieUczelni[],2,0)</f>
        <v>#N/A</v>
      </c>
      <c r="AY35" s="1" t="s">
        <v>123</v>
      </c>
      <c r="CS35" s="1" t="s">
        <v>123</v>
      </c>
      <c r="DC35" s="1" t="s">
        <v>214</v>
      </c>
      <c r="DD35" t="s">
        <v>191</v>
      </c>
      <c r="DE35" t="s">
        <v>308</v>
      </c>
      <c r="DF35" t="s">
        <v>162</v>
      </c>
      <c r="DG35" t="s">
        <v>162</v>
      </c>
      <c r="DH35" t="s">
        <v>150</v>
      </c>
      <c r="DI35" t="s">
        <v>150</v>
      </c>
      <c r="DJ35" t="s">
        <v>150</v>
      </c>
      <c r="DK35" t="s">
        <v>169</v>
      </c>
      <c r="DL35" t="s">
        <v>1203</v>
      </c>
      <c r="DM35" s="1" t="s">
        <v>123</v>
      </c>
      <c r="EP35" s="1" t="s">
        <v>177</v>
      </c>
      <c r="EQ35" t="s">
        <v>178</v>
      </c>
      <c r="ER35">
        <v>2</v>
      </c>
      <c r="ES35" t="s">
        <v>191</v>
      </c>
      <c r="ET35" t="s">
        <v>169</v>
      </c>
      <c r="EU35" t="s">
        <v>169</v>
      </c>
      <c r="EV35" t="s">
        <v>169</v>
      </c>
      <c r="EW35" t="s">
        <v>178</v>
      </c>
      <c r="EX35" t="s">
        <v>1204</v>
      </c>
      <c r="EY35" t="s">
        <v>1205</v>
      </c>
      <c r="EZ35" t="s">
        <v>1206</v>
      </c>
      <c r="FA35" t="s">
        <v>223</v>
      </c>
      <c r="FB35" t="s">
        <v>128</v>
      </c>
      <c r="FC35" t="s">
        <v>236</v>
      </c>
      <c r="FD35" t="s">
        <v>129</v>
      </c>
      <c r="FE35" t="s">
        <v>178</v>
      </c>
      <c r="FF35" t="s">
        <v>960</v>
      </c>
      <c r="FG35" t="s">
        <v>1207</v>
      </c>
      <c r="FH35" t="s">
        <v>173</v>
      </c>
      <c r="FP35" s="1" t="s">
        <v>123</v>
      </c>
      <c r="GX35" t="s">
        <v>1208</v>
      </c>
      <c r="GY35" t="s">
        <v>1209</v>
      </c>
      <c r="GZ35" t="s">
        <v>1210</v>
      </c>
      <c r="HA35" t="s">
        <v>186</v>
      </c>
      <c r="HB35">
        <v>1987</v>
      </c>
      <c r="HC35" t="str">
        <f>VLOOKUP(AnalizaCzyste[[#This Row],[Rok urodzenia]],KategorieWiekowe[],2,1)</f>
        <v>26-35 lat</v>
      </c>
      <c r="HD35" t="s">
        <v>141</v>
      </c>
      <c r="HF35" t="s">
        <v>191</v>
      </c>
    </row>
    <row r="36" spans="1:216" x14ac:dyDescent="0.45">
      <c r="A36">
        <v>70</v>
      </c>
      <c r="B36">
        <f>_xlfn.IFNA(VLOOKUP(AnalizaCzyste[[#This Row],[Zakończono wypełnianie]],Zakończone[],2,0),"BRAK")</f>
        <v>39</v>
      </c>
      <c r="C36">
        <f t="shared" si="1"/>
        <v>56</v>
      </c>
      <c r="D36" t="s">
        <v>714</v>
      </c>
      <c r="E36" t="s">
        <v>118</v>
      </c>
      <c r="J36" t="s">
        <v>119</v>
      </c>
      <c r="K36" t="s">
        <v>715</v>
      </c>
      <c r="L36" t="s">
        <v>716</v>
      </c>
      <c r="M36">
        <v>1868</v>
      </c>
      <c r="N36">
        <v>0</v>
      </c>
      <c r="O36" t="s">
        <v>122</v>
      </c>
      <c r="P36" s="1" t="s">
        <v>123</v>
      </c>
      <c r="AF36" s="1" t="s">
        <v>124</v>
      </c>
      <c r="AG36" t="s">
        <v>191</v>
      </c>
      <c r="AH36" t="str">
        <f>VLOOKUP(AnalizaCzyste[[#This Row],[Jak się nazywa uczelnia którą ukończyłeś? (proszę o wybranie jednej uczelni podlegającej ocenie)]],KategorieUczelni[],2,0)</f>
        <v>Publiczna</v>
      </c>
      <c r="AI36">
        <v>2008</v>
      </c>
      <c r="AJ36" t="s">
        <v>126</v>
      </c>
      <c r="AK36" t="s">
        <v>717</v>
      </c>
      <c r="AL36" t="s">
        <v>162</v>
      </c>
      <c r="AM36" t="s">
        <v>151</v>
      </c>
      <c r="AN36" t="s">
        <v>162</v>
      </c>
      <c r="AO36" t="s">
        <v>236</v>
      </c>
      <c r="AP36" t="s">
        <v>236</v>
      </c>
      <c r="AQ36" t="s">
        <v>718</v>
      </c>
      <c r="AR36" t="s">
        <v>131</v>
      </c>
      <c r="AS36" t="s">
        <v>302</v>
      </c>
      <c r="AT36" t="s">
        <v>719</v>
      </c>
      <c r="AU36" t="s">
        <v>720</v>
      </c>
      <c r="AV36" t="s">
        <v>721</v>
      </c>
      <c r="AW36" t="s">
        <v>172</v>
      </c>
      <c r="AY36" s="1" t="s">
        <v>123</v>
      </c>
      <c r="CS36" s="1" t="s">
        <v>123</v>
      </c>
      <c r="DC36" s="1" t="s">
        <v>214</v>
      </c>
      <c r="DD36" t="s">
        <v>2275</v>
      </c>
      <c r="DE36" t="s">
        <v>2276</v>
      </c>
      <c r="DF36" t="s">
        <v>150</v>
      </c>
      <c r="DG36" t="s">
        <v>162</v>
      </c>
      <c r="DH36" t="s">
        <v>151</v>
      </c>
      <c r="DI36" t="s">
        <v>162</v>
      </c>
      <c r="DJ36" t="s">
        <v>128</v>
      </c>
      <c r="DK36" t="s">
        <v>128</v>
      </c>
      <c r="DL36" t="s">
        <v>724</v>
      </c>
      <c r="DM36" s="1" t="s">
        <v>123</v>
      </c>
      <c r="EP36" s="1" t="s">
        <v>177</v>
      </c>
      <c r="EQ36" t="s">
        <v>180</v>
      </c>
      <c r="ER36">
        <v>1</v>
      </c>
      <c r="ES36" t="s">
        <v>722</v>
      </c>
      <c r="ET36" t="s">
        <v>162</v>
      </c>
      <c r="EU36" t="s">
        <v>150</v>
      </c>
      <c r="EV36" t="s">
        <v>236</v>
      </c>
      <c r="EW36" t="s">
        <v>178</v>
      </c>
      <c r="EX36" t="s">
        <v>725</v>
      </c>
      <c r="EY36" t="s">
        <v>726</v>
      </c>
      <c r="EZ36" t="s">
        <v>173</v>
      </c>
      <c r="FP36" s="1" t="s">
        <v>123</v>
      </c>
      <c r="FQ36" t="s">
        <v>132</v>
      </c>
      <c r="FS36" t="s">
        <v>132</v>
      </c>
      <c r="GX36" t="s">
        <v>727</v>
      </c>
      <c r="GY36" t="s">
        <v>728</v>
      </c>
      <c r="GZ36" t="s">
        <v>729</v>
      </c>
      <c r="HA36" t="s">
        <v>186</v>
      </c>
      <c r="HB36">
        <v>1983</v>
      </c>
      <c r="HC36" t="str">
        <f>VLOOKUP(AnalizaCzyste[[#This Row],[Rok urodzenia]],KategorieWiekowe[],2,1)</f>
        <v>36-45 lat</v>
      </c>
      <c r="HD36" t="s">
        <v>141</v>
      </c>
      <c r="HF36" t="s">
        <v>730</v>
      </c>
      <c r="HH36" t="s">
        <v>731</v>
      </c>
    </row>
    <row r="37" spans="1:216" x14ac:dyDescent="0.45">
      <c r="A37">
        <v>212</v>
      </c>
      <c r="B37">
        <f>_xlfn.IFNA(VLOOKUP(AnalizaCzyste[[#This Row],[Zakończono wypełnianie]],Zakończone[],2,0),"BRAK")</f>
        <v>116</v>
      </c>
      <c r="C37">
        <f t="shared" si="1"/>
        <v>32</v>
      </c>
      <c r="D37" t="s">
        <v>1751</v>
      </c>
      <c r="E37" t="s">
        <v>118</v>
      </c>
      <c r="J37" t="s">
        <v>119</v>
      </c>
      <c r="K37" t="s">
        <v>1752</v>
      </c>
      <c r="L37" t="s">
        <v>1753</v>
      </c>
      <c r="M37">
        <v>625</v>
      </c>
      <c r="N37">
        <v>0</v>
      </c>
      <c r="O37" t="s">
        <v>122</v>
      </c>
      <c r="P37" s="1" t="s">
        <v>123</v>
      </c>
      <c r="AF37" s="1" t="s">
        <v>124</v>
      </c>
      <c r="AG37" t="s">
        <v>191</v>
      </c>
      <c r="AH37" t="str">
        <f>VLOOKUP(AnalizaCzyste[[#This Row],[Jak się nazywa uczelnia którą ukończyłeś? (proszę o wybranie jednej uczelni podlegającej ocenie)]],KategorieUczelni[],2,0)</f>
        <v>Publiczna</v>
      </c>
      <c r="AI37">
        <v>2009</v>
      </c>
      <c r="AJ37" t="s">
        <v>126</v>
      </c>
      <c r="AK37" t="s">
        <v>192</v>
      </c>
      <c r="AL37" t="s">
        <v>162</v>
      </c>
      <c r="AM37" t="s">
        <v>150</v>
      </c>
      <c r="AN37" t="s">
        <v>169</v>
      </c>
      <c r="AO37" t="s">
        <v>169</v>
      </c>
      <c r="AP37" t="s">
        <v>169</v>
      </c>
      <c r="AQ37" t="s">
        <v>530</v>
      </c>
      <c r="AR37" t="s">
        <v>226</v>
      </c>
      <c r="AS37" t="s">
        <v>759</v>
      </c>
      <c r="AU37" t="s">
        <v>1754</v>
      </c>
      <c r="AV37" t="s">
        <v>1755</v>
      </c>
      <c r="AX37" t="s">
        <v>1756</v>
      </c>
      <c r="AY37" s="1" t="s">
        <v>123</v>
      </c>
      <c r="CS37" s="1" t="s">
        <v>123</v>
      </c>
      <c r="DC37" s="1" t="s">
        <v>123</v>
      </c>
      <c r="DM37" s="1" t="s">
        <v>123</v>
      </c>
      <c r="EP37" s="1" t="s">
        <v>123</v>
      </c>
      <c r="FP37" s="1" t="s">
        <v>123</v>
      </c>
      <c r="GX37" t="s">
        <v>1757</v>
      </c>
      <c r="GY37" t="s">
        <v>1758</v>
      </c>
      <c r="GZ37" t="s">
        <v>1759</v>
      </c>
      <c r="HA37" t="s">
        <v>186</v>
      </c>
      <c r="HB37">
        <v>1984</v>
      </c>
      <c r="HC37" t="str">
        <f>VLOOKUP(AnalizaCzyste[[#This Row],[Rok urodzenia]],KategorieWiekowe[],2,1)</f>
        <v>36-45 lat</v>
      </c>
      <c r="HD37" t="s">
        <v>141</v>
      </c>
    </row>
    <row r="38" spans="1:216" x14ac:dyDescent="0.45">
      <c r="A38">
        <v>187</v>
      </c>
      <c r="B38">
        <f>_xlfn.IFNA(VLOOKUP(AnalizaCzyste[[#This Row],[Zakończono wypełnianie]],Zakończone[],2,0),"BRAK")</f>
        <v>106</v>
      </c>
      <c r="C38">
        <f t="shared" si="1"/>
        <v>35</v>
      </c>
      <c r="D38" t="s">
        <v>1574</v>
      </c>
      <c r="E38" t="s">
        <v>118</v>
      </c>
      <c r="J38" t="s">
        <v>119</v>
      </c>
      <c r="K38" t="s">
        <v>1575</v>
      </c>
      <c r="L38" t="s">
        <v>1576</v>
      </c>
      <c r="M38">
        <v>701</v>
      </c>
      <c r="N38">
        <v>0</v>
      </c>
      <c r="O38" t="s">
        <v>122</v>
      </c>
      <c r="P38" s="1" t="s">
        <v>123</v>
      </c>
      <c r="AF38" s="1" t="s">
        <v>124</v>
      </c>
      <c r="AG38" t="s">
        <v>191</v>
      </c>
      <c r="AH38" t="str">
        <f>VLOOKUP(AnalizaCzyste[[#This Row],[Jak się nazywa uczelnia którą ukończyłeś? (proszę o wybranie jednej uczelni podlegającej ocenie)]],KategorieUczelni[],2,0)</f>
        <v>Publiczna</v>
      </c>
      <c r="AI38" s="42">
        <v>2009</v>
      </c>
      <c r="AJ38" t="s">
        <v>126</v>
      </c>
      <c r="AK38" t="s">
        <v>1578</v>
      </c>
      <c r="AL38" t="s">
        <v>162</v>
      </c>
      <c r="AM38" t="s">
        <v>162</v>
      </c>
      <c r="AN38" t="s">
        <v>151</v>
      </c>
      <c r="AO38" t="s">
        <v>162</v>
      </c>
      <c r="AP38" t="s">
        <v>151</v>
      </c>
      <c r="AQ38" t="s">
        <v>530</v>
      </c>
      <c r="AR38" t="s">
        <v>302</v>
      </c>
      <c r="AS38" t="s">
        <v>302</v>
      </c>
      <c r="AU38" t="s">
        <v>1579</v>
      </c>
      <c r="AV38" t="s">
        <v>1580</v>
      </c>
      <c r="AW38" t="s">
        <v>157</v>
      </c>
      <c r="AX38" t="s">
        <v>1581</v>
      </c>
      <c r="AY38" s="1" t="s">
        <v>123</v>
      </c>
      <c r="CS38" s="1" t="s">
        <v>123</v>
      </c>
      <c r="DC38" s="1" t="s">
        <v>123</v>
      </c>
      <c r="DM38" s="1" t="s">
        <v>123</v>
      </c>
      <c r="EP38" s="1" t="s">
        <v>123</v>
      </c>
      <c r="FP38" s="1" t="s">
        <v>123</v>
      </c>
      <c r="GX38" t="s">
        <v>1582</v>
      </c>
      <c r="GY38" t="s">
        <v>1583</v>
      </c>
      <c r="GZ38" t="s">
        <v>1584</v>
      </c>
      <c r="HA38" t="s">
        <v>140</v>
      </c>
      <c r="HB38">
        <v>1985</v>
      </c>
      <c r="HC38" t="str">
        <f>VLOOKUP(AnalizaCzyste[[#This Row],[Rok urodzenia]],KategorieWiekowe[],2,1)</f>
        <v>26-35 lat</v>
      </c>
      <c r="HD38" t="s">
        <v>220</v>
      </c>
      <c r="HF38" t="s">
        <v>1585</v>
      </c>
      <c r="HG38" t="s">
        <v>1586</v>
      </c>
    </row>
    <row r="39" spans="1:216" x14ac:dyDescent="0.45">
      <c r="A39">
        <v>156</v>
      </c>
      <c r="B39">
        <f>_xlfn.IFNA(VLOOKUP(AnalizaCzyste[[#This Row],[Zakończono wypełnianie]],Zakończone[],2,0),"BRAK")</f>
        <v>90</v>
      </c>
      <c r="C39">
        <f t="shared" si="1"/>
        <v>34</v>
      </c>
      <c r="D39" t="s">
        <v>1142</v>
      </c>
      <c r="E39" t="s">
        <v>118</v>
      </c>
      <c r="J39" t="s">
        <v>119</v>
      </c>
      <c r="K39" t="s">
        <v>1391</v>
      </c>
      <c r="L39" t="s">
        <v>1392</v>
      </c>
      <c r="M39">
        <v>415</v>
      </c>
      <c r="N39">
        <v>0</v>
      </c>
      <c r="O39" t="s">
        <v>122</v>
      </c>
      <c r="P39" s="1" t="s">
        <v>123</v>
      </c>
      <c r="AF39" s="1" t="s">
        <v>124</v>
      </c>
      <c r="AG39" t="s">
        <v>191</v>
      </c>
      <c r="AH39" t="str">
        <f>VLOOKUP(AnalizaCzyste[[#This Row],[Jak się nazywa uczelnia którą ukończyłeś? (proszę o wybranie jednej uczelni podlegającej ocenie)]],KategorieUczelni[],2,0)</f>
        <v>Publiczna</v>
      </c>
      <c r="AI39">
        <v>2012</v>
      </c>
      <c r="AJ39" t="s">
        <v>126</v>
      </c>
      <c r="AK39" t="s">
        <v>1393</v>
      </c>
      <c r="AL39" t="s">
        <v>162</v>
      </c>
      <c r="AM39" t="s">
        <v>150</v>
      </c>
      <c r="AN39" t="s">
        <v>150</v>
      </c>
      <c r="AO39" t="s">
        <v>236</v>
      </c>
      <c r="AP39" t="s">
        <v>236</v>
      </c>
      <c r="AQ39" t="s">
        <v>1340</v>
      </c>
      <c r="AR39" t="s">
        <v>302</v>
      </c>
      <c r="AS39" t="s">
        <v>153</v>
      </c>
      <c r="AT39" t="s">
        <v>1394</v>
      </c>
      <c r="AU39" t="s">
        <v>1395</v>
      </c>
      <c r="AV39" t="s">
        <v>1396</v>
      </c>
      <c r="AX39" t="s">
        <v>1397</v>
      </c>
      <c r="AY39" s="1" t="s">
        <v>123</v>
      </c>
      <c r="CS39" s="1" t="s">
        <v>123</v>
      </c>
      <c r="DC39" s="1" t="s">
        <v>123</v>
      </c>
      <c r="DM39" s="1" t="s">
        <v>123</v>
      </c>
      <c r="EP39" s="1" t="s">
        <v>123</v>
      </c>
      <c r="FP39" s="1" t="s">
        <v>123</v>
      </c>
      <c r="GX39" t="s">
        <v>1398</v>
      </c>
      <c r="GY39" t="s">
        <v>1399</v>
      </c>
      <c r="GZ39" t="s">
        <v>1400</v>
      </c>
      <c r="HA39" t="s">
        <v>140</v>
      </c>
      <c r="HB39">
        <v>1985</v>
      </c>
      <c r="HC39" t="str">
        <f>VLOOKUP(AnalizaCzyste[[#This Row],[Rok urodzenia]],KategorieWiekowe[],2,1)</f>
        <v>26-35 lat</v>
      </c>
      <c r="HD39" t="s">
        <v>141</v>
      </c>
      <c r="HF39" t="s">
        <v>1401</v>
      </c>
    </row>
    <row r="40" spans="1:216" x14ac:dyDescent="0.45">
      <c r="A40">
        <v>6</v>
      </c>
      <c r="B40">
        <f>_xlfn.IFNA(VLOOKUP(AnalizaCzyste[[#This Row],[Zakończono wypełnianie]],Zakończone[],2,0),"BRAK")</f>
        <v>6</v>
      </c>
      <c r="C40">
        <f t="shared" si="1"/>
        <v>34</v>
      </c>
      <c r="D40" t="s">
        <v>248</v>
      </c>
      <c r="E40" t="s">
        <v>118</v>
      </c>
      <c r="J40" t="s">
        <v>119</v>
      </c>
      <c r="K40" t="s">
        <v>249</v>
      </c>
      <c r="L40" t="s">
        <v>250</v>
      </c>
      <c r="M40">
        <v>902</v>
      </c>
      <c r="N40">
        <v>0</v>
      </c>
      <c r="O40" t="s">
        <v>122</v>
      </c>
      <c r="P40" s="1" t="s">
        <v>123</v>
      </c>
      <c r="AF40" s="1" t="s">
        <v>124</v>
      </c>
      <c r="AG40" t="s">
        <v>191</v>
      </c>
      <c r="AH40" t="str">
        <f>VLOOKUP(AnalizaCzyste[[#This Row],[Jak się nazywa uczelnia którą ukończyłeś? (proszę o wybranie jednej uczelni podlegającej ocenie)]],KategorieUczelni[],2,0)</f>
        <v>Publiczna</v>
      </c>
      <c r="AI40">
        <v>2013</v>
      </c>
      <c r="AJ40" t="s">
        <v>126</v>
      </c>
      <c r="AK40" t="s">
        <v>251</v>
      </c>
      <c r="AL40" t="s">
        <v>162</v>
      </c>
      <c r="AM40" t="s">
        <v>162</v>
      </c>
      <c r="AN40" t="s">
        <v>151</v>
      </c>
      <c r="AO40" t="s">
        <v>132</v>
      </c>
      <c r="AP40" t="s">
        <v>132</v>
      </c>
      <c r="AQ40" t="s">
        <v>252</v>
      </c>
      <c r="AR40" t="s">
        <v>132</v>
      </c>
      <c r="AS40" t="s">
        <v>132</v>
      </c>
      <c r="AT40" t="s">
        <v>253</v>
      </c>
      <c r="AU40" t="s">
        <v>254</v>
      </c>
      <c r="AV40" t="s">
        <v>255</v>
      </c>
      <c r="AW40" t="s">
        <v>157</v>
      </c>
      <c r="AY40" s="1" t="s">
        <v>123</v>
      </c>
      <c r="CS40" s="1" t="s">
        <v>123</v>
      </c>
      <c r="DC40" s="1" t="s">
        <v>123</v>
      </c>
      <c r="DM40" s="1" t="s">
        <v>123</v>
      </c>
      <c r="EP40" s="1" t="s">
        <v>123</v>
      </c>
      <c r="FP40" s="1" t="s">
        <v>123</v>
      </c>
      <c r="FQ40" t="s">
        <v>132</v>
      </c>
      <c r="GX40" t="s">
        <v>256</v>
      </c>
      <c r="GY40" t="s">
        <v>257</v>
      </c>
      <c r="GZ40" t="s">
        <v>258</v>
      </c>
      <c r="HA40" t="s">
        <v>140</v>
      </c>
      <c r="HB40">
        <v>1988</v>
      </c>
      <c r="HC40" t="str">
        <f>VLOOKUP(AnalizaCzyste[[#This Row],[Rok urodzenia]],KategorieWiekowe[],2,1)</f>
        <v>26-35 lat</v>
      </c>
      <c r="HD40" t="s">
        <v>141</v>
      </c>
    </row>
    <row r="41" spans="1:216" x14ac:dyDescent="0.45">
      <c r="A41">
        <v>215</v>
      </c>
      <c r="B41">
        <f>_xlfn.IFNA(VLOOKUP(AnalizaCzyste[[#This Row],[Zakończono wypełnianie]],Zakończone[],2,0),"BRAK")</f>
        <v>118</v>
      </c>
      <c r="C41">
        <f t="shared" si="1"/>
        <v>34</v>
      </c>
      <c r="D41" t="s">
        <v>1131</v>
      </c>
      <c r="E41" t="s">
        <v>118</v>
      </c>
      <c r="J41" t="s">
        <v>119</v>
      </c>
      <c r="K41" t="s">
        <v>1770</v>
      </c>
      <c r="L41" t="s">
        <v>1771</v>
      </c>
      <c r="M41">
        <v>1129</v>
      </c>
      <c r="N41">
        <v>0</v>
      </c>
      <c r="O41" t="s">
        <v>122</v>
      </c>
      <c r="P41" s="1" t="s">
        <v>123</v>
      </c>
      <c r="AF41" s="1" t="s">
        <v>124</v>
      </c>
      <c r="AG41" t="s">
        <v>191</v>
      </c>
      <c r="AH41" t="str">
        <f>VLOOKUP(AnalizaCzyste[[#This Row],[Jak się nazywa uczelnia którą ukończyłeś? (proszę o wybranie jednej uczelni podlegającej ocenie)]],KategorieUczelni[],2,0)</f>
        <v>Publiczna</v>
      </c>
      <c r="AI41">
        <v>2014</v>
      </c>
      <c r="AJ41" t="s">
        <v>126</v>
      </c>
      <c r="AK41" t="s">
        <v>1186</v>
      </c>
      <c r="AL41" t="s">
        <v>162</v>
      </c>
      <c r="AM41" t="s">
        <v>150</v>
      </c>
      <c r="AN41" t="s">
        <v>162</v>
      </c>
      <c r="AO41" t="s">
        <v>162</v>
      </c>
      <c r="AP41" t="s">
        <v>150</v>
      </c>
      <c r="AQ41">
        <v>1</v>
      </c>
      <c r="AR41" t="s">
        <v>131</v>
      </c>
      <c r="AS41" t="s">
        <v>153</v>
      </c>
      <c r="AU41" t="s">
        <v>766</v>
      </c>
      <c r="AV41" t="s">
        <v>1772</v>
      </c>
      <c r="AW41" t="s">
        <v>172</v>
      </c>
      <c r="AY41" s="1" t="s">
        <v>123</v>
      </c>
      <c r="CS41" s="1" t="s">
        <v>123</v>
      </c>
      <c r="DC41" s="1" t="s">
        <v>123</v>
      </c>
      <c r="DM41" s="1" t="s">
        <v>123</v>
      </c>
      <c r="EP41" s="1" t="s">
        <v>123</v>
      </c>
      <c r="FP41" s="1" t="s">
        <v>123</v>
      </c>
      <c r="GX41" t="s">
        <v>1773</v>
      </c>
      <c r="GY41" t="s">
        <v>1774</v>
      </c>
      <c r="GZ41" t="s">
        <v>1775</v>
      </c>
      <c r="HA41" t="s">
        <v>140</v>
      </c>
      <c r="HB41">
        <v>1990</v>
      </c>
      <c r="HC41" t="str">
        <f>VLOOKUP(AnalizaCzyste[[#This Row],[Rok urodzenia]],KategorieWiekowe[],2,1)</f>
        <v>26-35 lat</v>
      </c>
      <c r="HD41" t="s">
        <v>141</v>
      </c>
      <c r="HF41" t="s">
        <v>1776</v>
      </c>
      <c r="HG41" t="s">
        <v>1777</v>
      </c>
    </row>
    <row r="42" spans="1:216" x14ac:dyDescent="0.45">
      <c r="A42">
        <v>231</v>
      </c>
      <c r="B42">
        <f>_xlfn.IFNA(VLOOKUP(AnalizaCzyste[[#This Row],[Zakończono wypełnianie]],Zakończone[],2,0),"BRAK")</f>
        <v>124</v>
      </c>
      <c r="C42">
        <f t="shared" si="1"/>
        <v>33</v>
      </c>
      <c r="D42" t="s">
        <v>1864</v>
      </c>
      <c r="E42" t="s">
        <v>118</v>
      </c>
      <c r="F42" t="s">
        <v>359</v>
      </c>
      <c r="J42" t="s">
        <v>119</v>
      </c>
      <c r="K42" t="s">
        <v>1865</v>
      </c>
      <c r="L42" t="s">
        <v>1866</v>
      </c>
      <c r="M42">
        <v>607</v>
      </c>
      <c r="N42">
        <v>0</v>
      </c>
      <c r="O42" t="s">
        <v>122</v>
      </c>
      <c r="P42" s="1" t="s">
        <v>123</v>
      </c>
      <c r="AF42" s="1" t="s">
        <v>124</v>
      </c>
      <c r="AG42" t="s">
        <v>191</v>
      </c>
      <c r="AH42" t="str">
        <f>VLOOKUP(AnalizaCzyste[[#This Row],[Jak się nazywa uczelnia którą ukończyłeś? (proszę o wybranie jednej uczelni podlegającej ocenie)]],KategorieUczelni[],2,0)</f>
        <v>Publiczna</v>
      </c>
      <c r="AI42">
        <v>2015</v>
      </c>
      <c r="AJ42" t="s">
        <v>148</v>
      </c>
      <c r="AK42" t="s">
        <v>1867</v>
      </c>
      <c r="AL42" t="s">
        <v>162</v>
      </c>
      <c r="AM42" t="s">
        <v>150</v>
      </c>
      <c r="AN42" t="s">
        <v>169</v>
      </c>
      <c r="AO42" t="s">
        <v>151</v>
      </c>
      <c r="AP42" t="s">
        <v>162</v>
      </c>
      <c r="AQ42" t="s">
        <v>1868</v>
      </c>
      <c r="AR42" t="s">
        <v>153</v>
      </c>
      <c r="AS42" t="s">
        <v>226</v>
      </c>
      <c r="AT42" t="s">
        <v>1869</v>
      </c>
      <c r="AU42" t="s">
        <v>1870</v>
      </c>
      <c r="AV42" t="s">
        <v>1871</v>
      </c>
      <c r="AW42" t="s">
        <v>172</v>
      </c>
      <c r="AY42" s="1" t="s">
        <v>123</v>
      </c>
      <c r="CS42" s="1" t="s">
        <v>123</v>
      </c>
      <c r="DC42" s="1" t="s">
        <v>123</v>
      </c>
      <c r="DM42" s="1" t="s">
        <v>123</v>
      </c>
      <c r="EP42" s="1" t="s">
        <v>123</v>
      </c>
      <c r="FP42" s="1" t="s">
        <v>123</v>
      </c>
      <c r="GX42" t="s">
        <v>276</v>
      </c>
      <c r="GY42" t="s">
        <v>1872</v>
      </c>
      <c r="GZ42" t="s">
        <v>1873</v>
      </c>
      <c r="HA42" t="s">
        <v>186</v>
      </c>
      <c r="HB42">
        <v>1991</v>
      </c>
      <c r="HC42" t="str">
        <f>VLOOKUP(AnalizaCzyste[[#This Row],[Rok urodzenia]],KategorieWiekowe[],2,1)</f>
        <v>26-35 lat</v>
      </c>
      <c r="HD42" t="s">
        <v>398</v>
      </c>
    </row>
    <row r="43" spans="1:216" x14ac:dyDescent="0.45">
      <c r="A43">
        <v>139</v>
      </c>
      <c r="B43">
        <f>_xlfn.IFNA(VLOOKUP(AnalizaCzyste[[#This Row],[Zakończono wypełnianie]],Zakończone[],2,0),"BRAK")</f>
        <v>84</v>
      </c>
      <c r="C43">
        <f t="shared" si="1"/>
        <v>49</v>
      </c>
      <c r="D43" t="s">
        <v>1302</v>
      </c>
      <c r="E43" t="s">
        <v>118</v>
      </c>
      <c r="J43" t="s">
        <v>119</v>
      </c>
      <c r="K43" t="s">
        <v>1303</v>
      </c>
      <c r="L43" t="s">
        <v>1304</v>
      </c>
      <c r="M43">
        <v>558</v>
      </c>
      <c r="N43">
        <v>0</v>
      </c>
      <c r="O43" t="s">
        <v>122</v>
      </c>
      <c r="P43" s="1" t="s">
        <v>416</v>
      </c>
      <c r="Q43" t="s">
        <v>191</v>
      </c>
      <c r="R43" t="s">
        <v>126</v>
      </c>
      <c r="S43" t="s">
        <v>1305</v>
      </c>
      <c r="T43" t="s">
        <v>162</v>
      </c>
      <c r="U43" t="s">
        <v>128</v>
      </c>
      <c r="V43" t="s">
        <v>150</v>
      </c>
      <c r="W43" t="s">
        <v>1306</v>
      </c>
      <c r="X43" t="s">
        <v>153</v>
      </c>
      <c r="Y43" t="s">
        <v>759</v>
      </c>
      <c r="Z43" t="s">
        <v>1307</v>
      </c>
      <c r="AA43" t="s">
        <v>1308</v>
      </c>
      <c r="AB43" t="s">
        <v>1309</v>
      </c>
      <c r="AC43" t="s">
        <v>230</v>
      </c>
      <c r="AE43">
        <v>2</v>
      </c>
      <c r="AF43" s="1" t="s">
        <v>124</v>
      </c>
      <c r="AG43" t="s">
        <v>191</v>
      </c>
      <c r="AH43" t="str">
        <f>VLOOKUP(AnalizaCzyste[[#This Row],[Jak się nazywa uczelnia którą ukończyłeś? (proszę o wybranie jednej uczelni podlegającej ocenie)]],KategorieUczelni[],2,0)</f>
        <v>Publiczna</v>
      </c>
      <c r="AI43">
        <v>2015</v>
      </c>
      <c r="AJ43" t="s">
        <v>126</v>
      </c>
      <c r="AK43" t="s">
        <v>1312</v>
      </c>
      <c r="AL43" t="s">
        <v>162</v>
      </c>
      <c r="AM43" t="s">
        <v>128</v>
      </c>
      <c r="AN43" t="s">
        <v>162</v>
      </c>
      <c r="AO43" t="s">
        <v>162</v>
      </c>
      <c r="AP43" t="s">
        <v>162</v>
      </c>
      <c r="AQ43" t="s">
        <v>237</v>
      </c>
      <c r="AR43" t="s">
        <v>302</v>
      </c>
      <c r="AS43" t="s">
        <v>153</v>
      </c>
      <c r="AT43" t="s">
        <v>1313</v>
      </c>
      <c r="AU43" t="s">
        <v>1314</v>
      </c>
      <c r="AV43" t="s">
        <v>1315</v>
      </c>
      <c r="AW43" t="s">
        <v>172</v>
      </c>
      <c r="AY43" s="1" t="s">
        <v>123</v>
      </c>
      <c r="CS43" s="1" t="s">
        <v>123</v>
      </c>
      <c r="DC43" s="1" t="s">
        <v>123</v>
      </c>
      <c r="DM43" s="1" t="s">
        <v>123</v>
      </c>
      <c r="EP43" s="1" t="s">
        <v>123</v>
      </c>
      <c r="FP43" s="1" t="s">
        <v>123</v>
      </c>
      <c r="GX43" t="s">
        <v>1316</v>
      </c>
      <c r="GY43" t="s">
        <v>1317</v>
      </c>
      <c r="GZ43" t="s">
        <v>1318</v>
      </c>
      <c r="HA43" t="s">
        <v>186</v>
      </c>
      <c r="HB43">
        <v>1992</v>
      </c>
      <c r="HC43" t="str">
        <f>VLOOKUP(AnalizaCzyste[[#This Row],[Rok urodzenia]],KategorieWiekowe[],2,1)</f>
        <v>26-35 lat</v>
      </c>
      <c r="HD43" t="s">
        <v>398</v>
      </c>
      <c r="HF43" t="s">
        <v>1319</v>
      </c>
      <c r="HG43" t="s">
        <v>1320</v>
      </c>
    </row>
    <row r="44" spans="1:216" x14ac:dyDescent="0.45">
      <c r="A44">
        <v>195</v>
      </c>
      <c r="B44">
        <f>_xlfn.IFNA(VLOOKUP(AnalizaCzyste[[#This Row],[Zakończono wypełnianie]],Zakończone[],2,0),"BRAK")</f>
        <v>111</v>
      </c>
      <c r="C44">
        <f t="shared" si="1"/>
        <v>34</v>
      </c>
      <c r="D44" t="s">
        <v>1649</v>
      </c>
      <c r="E44" t="s">
        <v>118</v>
      </c>
      <c r="F44" t="s">
        <v>359</v>
      </c>
      <c r="J44" t="s">
        <v>119</v>
      </c>
      <c r="K44" t="s">
        <v>1650</v>
      </c>
      <c r="L44" t="s">
        <v>1651</v>
      </c>
      <c r="M44">
        <v>386</v>
      </c>
      <c r="N44">
        <v>0</v>
      </c>
      <c r="O44" t="s">
        <v>122</v>
      </c>
      <c r="P44" s="1" t="s">
        <v>123</v>
      </c>
      <c r="AF44" s="1" t="s">
        <v>124</v>
      </c>
      <c r="AG44" t="s">
        <v>191</v>
      </c>
      <c r="AH44" t="str">
        <f>VLOOKUP(AnalizaCzyste[[#This Row],[Jak się nazywa uczelnia którą ukończyłeś? (proszę o wybranie jednej uczelni podlegającej ocenie)]],KategorieUczelni[],2,0)</f>
        <v>Publiczna</v>
      </c>
      <c r="AI44">
        <v>2016</v>
      </c>
      <c r="AJ44" t="s">
        <v>126</v>
      </c>
      <c r="AK44" t="s">
        <v>1652</v>
      </c>
      <c r="AL44" t="s">
        <v>162</v>
      </c>
      <c r="AM44" t="s">
        <v>151</v>
      </c>
      <c r="AN44" t="s">
        <v>162</v>
      </c>
      <c r="AO44" t="s">
        <v>150</v>
      </c>
      <c r="AP44" t="s">
        <v>236</v>
      </c>
      <c r="AQ44" t="s">
        <v>530</v>
      </c>
      <c r="AR44" t="s">
        <v>153</v>
      </c>
      <c r="AS44" t="s">
        <v>153</v>
      </c>
      <c r="AT44" t="s">
        <v>1653</v>
      </c>
      <c r="AU44" t="s">
        <v>1654</v>
      </c>
      <c r="AV44" t="s">
        <v>1655</v>
      </c>
      <c r="AW44" t="s">
        <v>172</v>
      </c>
      <c r="AY44" s="1" t="s">
        <v>123</v>
      </c>
      <c r="CS44" s="1" t="s">
        <v>123</v>
      </c>
      <c r="DC44" s="1" t="s">
        <v>123</v>
      </c>
      <c r="DM44" s="1" t="s">
        <v>123</v>
      </c>
      <c r="EP44" s="1" t="s">
        <v>123</v>
      </c>
      <c r="EQ44" t="s">
        <v>178</v>
      </c>
      <c r="FP44" s="1" t="s">
        <v>123</v>
      </c>
      <c r="GX44" t="s">
        <v>1656</v>
      </c>
      <c r="GY44" t="s">
        <v>1657</v>
      </c>
      <c r="GZ44" t="s">
        <v>1658</v>
      </c>
      <c r="HA44" t="s">
        <v>140</v>
      </c>
      <c r="HB44">
        <v>1993</v>
      </c>
      <c r="HC44" t="str">
        <f>VLOOKUP(AnalizaCzyste[[#This Row],[Rok urodzenia]],KategorieWiekowe[],2,1)</f>
        <v>26-35 lat</v>
      </c>
      <c r="HD44" t="s">
        <v>220</v>
      </c>
    </row>
    <row r="45" spans="1:216" x14ac:dyDescent="0.45">
      <c r="A45">
        <v>115</v>
      </c>
      <c r="B45">
        <f>_xlfn.IFNA(VLOOKUP(AnalizaCzyste[[#This Row],[Zakończono wypełnianie]],Zakończone[],2,0),"BRAK")</f>
        <v>69</v>
      </c>
      <c r="C45">
        <f t="shared" si="1"/>
        <v>34</v>
      </c>
      <c r="D45" t="s">
        <v>1087</v>
      </c>
      <c r="E45" t="s">
        <v>118</v>
      </c>
      <c r="J45" t="s">
        <v>119</v>
      </c>
      <c r="K45" t="s">
        <v>1088</v>
      </c>
      <c r="L45" t="s">
        <v>1089</v>
      </c>
      <c r="M45">
        <v>1206</v>
      </c>
      <c r="N45">
        <v>0</v>
      </c>
      <c r="O45" t="s">
        <v>122</v>
      </c>
      <c r="P45" s="1" t="s">
        <v>123</v>
      </c>
      <c r="AF45" s="1" t="s">
        <v>124</v>
      </c>
      <c r="AG45" t="s">
        <v>1090</v>
      </c>
      <c r="AH45" t="str">
        <f>VLOOKUP(AnalizaCzyste[[#This Row],[Jak się nazywa uczelnia którą ukończyłeś? (proszę o wybranie jednej uczelni podlegającej ocenie)]],KategorieUczelni[],2,0)</f>
        <v>Publiczna</v>
      </c>
      <c r="AI45">
        <v>2004</v>
      </c>
      <c r="AJ45" t="s">
        <v>126</v>
      </c>
      <c r="AK45" t="s">
        <v>844</v>
      </c>
      <c r="AL45" t="s">
        <v>162</v>
      </c>
      <c r="AM45" t="s">
        <v>162</v>
      </c>
      <c r="AN45" t="s">
        <v>150</v>
      </c>
      <c r="AO45" t="s">
        <v>151</v>
      </c>
      <c r="AP45" t="s">
        <v>150</v>
      </c>
      <c r="AQ45" t="s">
        <v>237</v>
      </c>
      <c r="AR45" t="s">
        <v>302</v>
      </c>
      <c r="AS45" t="s">
        <v>226</v>
      </c>
      <c r="AT45" t="s">
        <v>1091</v>
      </c>
      <c r="AU45" t="s">
        <v>1092</v>
      </c>
      <c r="AV45" t="s">
        <v>1093</v>
      </c>
      <c r="AW45" t="s">
        <v>157</v>
      </c>
      <c r="AY45" s="1" t="s">
        <v>123</v>
      </c>
      <c r="CS45" s="1" t="s">
        <v>123</v>
      </c>
      <c r="DC45" s="1" t="s">
        <v>123</v>
      </c>
      <c r="DM45" s="1" t="s">
        <v>123</v>
      </c>
      <c r="EP45" s="1" t="s">
        <v>123</v>
      </c>
      <c r="FP45" s="1" t="s">
        <v>123</v>
      </c>
      <c r="FQ45" t="s">
        <v>132</v>
      </c>
      <c r="GX45" t="s">
        <v>1094</v>
      </c>
      <c r="GY45" t="s">
        <v>1095</v>
      </c>
      <c r="GZ45" t="s">
        <v>1096</v>
      </c>
      <c r="HA45" t="s">
        <v>140</v>
      </c>
      <c r="HB45">
        <v>1976</v>
      </c>
      <c r="HC45" t="str">
        <f>VLOOKUP(AnalizaCzyste[[#This Row],[Rok urodzenia]],KategorieWiekowe[],2,1)</f>
        <v>36-45 lat</v>
      </c>
      <c r="HD45" t="s">
        <v>141</v>
      </c>
    </row>
    <row r="46" spans="1:216" x14ac:dyDescent="0.45">
      <c r="A46">
        <v>137</v>
      </c>
      <c r="B46">
        <f>_xlfn.IFNA(VLOOKUP(AnalizaCzyste[[#This Row],[Zakończono wypełnianie]],Zakończone[],2,0),"BRAK")</f>
        <v>83</v>
      </c>
      <c r="C46">
        <f t="shared" si="1"/>
        <v>45</v>
      </c>
      <c r="D46" t="s">
        <v>1142</v>
      </c>
      <c r="E46" t="s">
        <v>118</v>
      </c>
      <c r="J46" t="s">
        <v>119</v>
      </c>
      <c r="K46" t="s">
        <v>1288</v>
      </c>
      <c r="L46" t="s">
        <v>1289</v>
      </c>
      <c r="M46">
        <v>1208727</v>
      </c>
      <c r="N46">
        <v>0</v>
      </c>
      <c r="O46" t="s">
        <v>122</v>
      </c>
      <c r="P46" s="1" t="s">
        <v>123</v>
      </c>
      <c r="AF46" s="1" t="s">
        <v>124</v>
      </c>
      <c r="AG46" t="s">
        <v>1290</v>
      </c>
      <c r="AH46" t="str">
        <f>VLOOKUP(AnalizaCzyste[[#This Row],[Jak się nazywa uczelnia którą ukończyłeś? (proszę o wybranie jednej uczelni podlegającej ocenie)]],KategorieUczelni[],2,0)</f>
        <v>Niepubliczna</v>
      </c>
      <c r="AI46">
        <v>2012</v>
      </c>
      <c r="AJ46" t="s">
        <v>148</v>
      </c>
      <c r="AK46" t="s">
        <v>1050</v>
      </c>
      <c r="AL46" t="s">
        <v>162</v>
      </c>
      <c r="AM46" t="s">
        <v>151</v>
      </c>
      <c r="AN46" t="s">
        <v>162</v>
      </c>
      <c r="AO46" t="s">
        <v>151</v>
      </c>
      <c r="AP46" t="s">
        <v>128</v>
      </c>
      <c r="AQ46" t="s">
        <v>237</v>
      </c>
      <c r="AR46" t="s">
        <v>132</v>
      </c>
      <c r="AS46" t="s">
        <v>132</v>
      </c>
      <c r="AT46" t="s">
        <v>1291</v>
      </c>
      <c r="AU46" t="s">
        <v>1292</v>
      </c>
      <c r="AV46" t="s">
        <v>1293</v>
      </c>
      <c r="AW46" t="s">
        <v>892</v>
      </c>
      <c r="AY46" s="1" t="s">
        <v>123</v>
      </c>
      <c r="CS46" s="1" t="s">
        <v>123</v>
      </c>
      <c r="DC46" s="1" t="s">
        <v>123</v>
      </c>
      <c r="DM46" s="1" t="s">
        <v>123</v>
      </c>
      <c r="EP46" s="1" t="s">
        <v>177</v>
      </c>
      <c r="EQ46" t="s">
        <v>178</v>
      </c>
      <c r="ER46" t="s">
        <v>132</v>
      </c>
      <c r="ES46" t="s">
        <v>191</v>
      </c>
      <c r="ET46" t="s">
        <v>162</v>
      </c>
      <c r="EU46" t="s">
        <v>151</v>
      </c>
      <c r="EV46" t="s">
        <v>128</v>
      </c>
      <c r="EW46" t="s">
        <v>178</v>
      </c>
      <c r="EX46" t="s">
        <v>1294</v>
      </c>
      <c r="EY46" t="s">
        <v>1295</v>
      </c>
      <c r="EZ46" t="s">
        <v>173</v>
      </c>
      <c r="FP46" s="1" t="s">
        <v>123</v>
      </c>
      <c r="GX46" t="s">
        <v>1296</v>
      </c>
      <c r="GY46" t="s">
        <v>1297</v>
      </c>
      <c r="GZ46" t="s">
        <v>1298</v>
      </c>
      <c r="HA46" t="s">
        <v>186</v>
      </c>
      <c r="HB46">
        <v>1987</v>
      </c>
      <c r="HC46" t="str">
        <f>VLOOKUP(AnalizaCzyste[[#This Row],[Rok urodzenia]],KategorieWiekowe[],2,1)</f>
        <v>26-35 lat</v>
      </c>
      <c r="HD46" t="s">
        <v>246</v>
      </c>
      <c r="HF46" t="s">
        <v>1299</v>
      </c>
      <c r="HG46" t="s">
        <v>1300</v>
      </c>
    </row>
    <row r="47" spans="1:216" x14ac:dyDescent="0.45">
      <c r="A47">
        <v>179</v>
      </c>
      <c r="B47">
        <f>_xlfn.IFNA(VLOOKUP(AnalizaCzyste[[#This Row],[Zakończono wypełnianie]],Zakończone[],2,0),"BRAK")</f>
        <v>101</v>
      </c>
      <c r="C47">
        <f t="shared" si="1"/>
        <v>44</v>
      </c>
      <c r="D47" t="s">
        <v>1511</v>
      </c>
      <c r="E47" t="s">
        <v>118</v>
      </c>
      <c r="J47" t="s">
        <v>119</v>
      </c>
      <c r="K47" t="s">
        <v>1512</v>
      </c>
      <c r="L47" t="s">
        <v>1513</v>
      </c>
      <c r="M47">
        <v>2685</v>
      </c>
      <c r="N47">
        <v>0</v>
      </c>
      <c r="O47" t="s">
        <v>122</v>
      </c>
      <c r="P47" s="1" t="s">
        <v>123</v>
      </c>
      <c r="AF47" s="1" t="s">
        <v>124</v>
      </c>
      <c r="AG47" t="s">
        <v>1514</v>
      </c>
      <c r="AH47" t="str">
        <f>VLOOKUP(AnalizaCzyste[[#This Row],[Jak się nazywa uczelnia którą ukończyłeś? (proszę o wybranie jednej uczelni podlegającej ocenie)]],KategorieUczelni[],2,0)</f>
        <v>Zagraniczna</v>
      </c>
      <c r="AI47">
        <v>1996</v>
      </c>
      <c r="AJ47" t="s">
        <v>148</v>
      </c>
      <c r="AK47" t="s">
        <v>1515</v>
      </c>
      <c r="AL47" t="s">
        <v>162</v>
      </c>
      <c r="AM47" t="s">
        <v>151</v>
      </c>
      <c r="AN47" t="s">
        <v>162</v>
      </c>
      <c r="AO47" t="s">
        <v>162</v>
      </c>
      <c r="AP47" t="s">
        <v>151</v>
      </c>
      <c r="AQ47" t="s">
        <v>1516</v>
      </c>
      <c r="AR47" t="s">
        <v>194</v>
      </c>
      <c r="AS47" t="s">
        <v>194</v>
      </c>
      <c r="AT47" t="s">
        <v>1517</v>
      </c>
      <c r="AU47" t="s">
        <v>1518</v>
      </c>
      <c r="AV47" t="s">
        <v>1519</v>
      </c>
      <c r="AW47" t="s">
        <v>172</v>
      </c>
      <c r="AY47" s="1" t="s">
        <v>123</v>
      </c>
      <c r="CS47" s="1" t="s">
        <v>123</v>
      </c>
      <c r="DC47" s="1" t="s">
        <v>123</v>
      </c>
      <c r="DM47" s="1" t="s">
        <v>123</v>
      </c>
      <c r="EP47" s="1" t="s">
        <v>177</v>
      </c>
      <c r="EQ47" t="s">
        <v>180</v>
      </c>
      <c r="ER47">
        <v>1</v>
      </c>
      <c r="ES47" t="s">
        <v>1520</v>
      </c>
      <c r="ET47" t="s">
        <v>150</v>
      </c>
      <c r="EU47" t="s">
        <v>162</v>
      </c>
      <c r="EV47" t="s">
        <v>162</v>
      </c>
      <c r="EW47" t="s">
        <v>178</v>
      </c>
      <c r="EX47" t="s">
        <v>1521</v>
      </c>
      <c r="EY47" t="s">
        <v>1522</v>
      </c>
      <c r="EZ47" t="s">
        <v>173</v>
      </c>
      <c r="FP47" s="1" t="s">
        <v>123</v>
      </c>
      <c r="GX47" t="s">
        <v>1523</v>
      </c>
      <c r="GY47" t="s">
        <v>1524</v>
      </c>
      <c r="GZ47" t="s">
        <v>1525</v>
      </c>
      <c r="HA47" t="s">
        <v>186</v>
      </c>
      <c r="HB47">
        <v>1974</v>
      </c>
      <c r="HC47" t="str">
        <f>VLOOKUP(AnalizaCzyste[[#This Row],[Rok urodzenia]],KategorieWiekowe[],2,1)</f>
        <v>46-55 lat</v>
      </c>
      <c r="HD47" t="s">
        <v>398</v>
      </c>
      <c r="HF47" t="s">
        <v>1526</v>
      </c>
    </row>
    <row r="48" spans="1:216" x14ac:dyDescent="0.45">
      <c r="A48">
        <v>45</v>
      </c>
      <c r="B48">
        <f>_xlfn.IFNA(VLOOKUP(AnalizaCzyste[[#This Row],[Zakończono wypełnianie]],Zakończone[],2,0),"BRAK")</f>
        <v>28</v>
      </c>
      <c r="C48">
        <f t="shared" si="1"/>
        <v>36</v>
      </c>
      <c r="D48" t="s">
        <v>550</v>
      </c>
      <c r="E48" t="s">
        <v>118</v>
      </c>
      <c r="F48" t="s">
        <v>375</v>
      </c>
      <c r="J48" t="s">
        <v>119</v>
      </c>
      <c r="K48" t="s">
        <v>551</v>
      </c>
      <c r="L48" t="s">
        <v>552</v>
      </c>
      <c r="M48">
        <v>836</v>
      </c>
      <c r="N48">
        <v>0</v>
      </c>
      <c r="O48" t="s">
        <v>122</v>
      </c>
      <c r="P48" s="1" t="s">
        <v>123</v>
      </c>
      <c r="AF48" s="1" t="s">
        <v>124</v>
      </c>
      <c r="AG48" t="s">
        <v>553</v>
      </c>
      <c r="AH48" t="str">
        <f>VLOOKUP(AnalizaCzyste[[#This Row],[Jak się nazywa uczelnia którą ukończyłeś? (proszę o wybranie jednej uczelni podlegającej ocenie)]],KategorieUczelni[],2,0)</f>
        <v>Publiczna</v>
      </c>
      <c r="AI48">
        <v>2019</v>
      </c>
      <c r="AJ48" t="s">
        <v>148</v>
      </c>
      <c r="AK48" t="s">
        <v>554</v>
      </c>
      <c r="AL48" t="s">
        <v>162</v>
      </c>
      <c r="AM48" t="s">
        <v>162</v>
      </c>
      <c r="AN48" t="s">
        <v>236</v>
      </c>
      <c r="AO48" t="s">
        <v>151</v>
      </c>
      <c r="AP48" t="s">
        <v>162</v>
      </c>
      <c r="AQ48" t="s">
        <v>237</v>
      </c>
      <c r="AR48" t="s">
        <v>132</v>
      </c>
      <c r="AS48" t="s">
        <v>132</v>
      </c>
      <c r="AT48" t="s">
        <v>555</v>
      </c>
      <c r="AU48" t="s">
        <v>556</v>
      </c>
      <c r="AV48" t="s">
        <v>557</v>
      </c>
      <c r="AW48" t="s">
        <v>230</v>
      </c>
      <c r="AY48" s="1" t="s">
        <v>123</v>
      </c>
      <c r="CS48" s="1" t="s">
        <v>123</v>
      </c>
      <c r="DC48" s="1" t="s">
        <v>123</v>
      </c>
      <c r="DM48" s="1" t="s">
        <v>123</v>
      </c>
      <c r="EP48" s="1" t="s">
        <v>123</v>
      </c>
      <c r="FP48" s="1" t="s">
        <v>123</v>
      </c>
      <c r="FQ48" t="s">
        <v>132</v>
      </c>
      <c r="GX48" t="s">
        <v>558</v>
      </c>
      <c r="GY48" t="s">
        <v>559</v>
      </c>
      <c r="GZ48" t="s">
        <v>560</v>
      </c>
      <c r="HA48" t="s">
        <v>140</v>
      </c>
      <c r="HB48">
        <v>1994</v>
      </c>
      <c r="HC48" t="str">
        <f>VLOOKUP(AnalizaCzyste[[#This Row],[Rok urodzenia]],KategorieWiekowe[],2,1)</f>
        <v>26-35 lat</v>
      </c>
      <c r="HD48" t="s">
        <v>483</v>
      </c>
      <c r="HF48" t="s">
        <v>561</v>
      </c>
      <c r="HG48" t="s">
        <v>386</v>
      </c>
    </row>
    <row r="49" spans="1:215" x14ac:dyDescent="0.45">
      <c r="A49">
        <v>5</v>
      </c>
      <c r="B49">
        <f>_xlfn.IFNA(VLOOKUP(AnalizaCzyste[[#This Row],[Zakończono wypełnianie]],Zakończone[],2,0),"BRAK")</f>
        <v>5</v>
      </c>
      <c r="C49">
        <f t="shared" si="1"/>
        <v>85</v>
      </c>
      <c r="D49" t="s">
        <v>202</v>
      </c>
      <c r="E49" t="s">
        <v>118</v>
      </c>
      <c r="J49" t="s">
        <v>119</v>
      </c>
      <c r="K49" t="s">
        <v>221</v>
      </c>
      <c r="L49" t="s">
        <v>222</v>
      </c>
      <c r="M49">
        <v>1659</v>
      </c>
      <c r="N49">
        <v>0</v>
      </c>
      <c r="O49" t="s">
        <v>122</v>
      </c>
      <c r="P49" s="1" t="s">
        <v>123</v>
      </c>
      <c r="AF49" s="1" t="s">
        <v>124</v>
      </c>
      <c r="AG49" t="s">
        <v>223</v>
      </c>
      <c r="AH49" t="str">
        <f>VLOOKUP(AnalizaCzyste[[#This Row],[Jak się nazywa uczelnia którą ukończyłeś? (proszę o wybranie jednej uczelni podlegającej ocenie)]],KategorieUczelni[],2,0)</f>
        <v>Publiczna</v>
      </c>
      <c r="AI49">
        <v>1999</v>
      </c>
      <c r="AJ49" t="s">
        <v>148</v>
      </c>
      <c r="AK49" t="s">
        <v>224</v>
      </c>
      <c r="AL49" t="s">
        <v>162</v>
      </c>
      <c r="AM49" t="s">
        <v>162</v>
      </c>
      <c r="AN49" t="s">
        <v>150</v>
      </c>
      <c r="AO49" t="s">
        <v>150</v>
      </c>
      <c r="AP49" t="s">
        <v>169</v>
      </c>
      <c r="AQ49" t="s">
        <v>225</v>
      </c>
      <c r="AR49" t="s">
        <v>153</v>
      </c>
      <c r="AS49" t="s">
        <v>226</v>
      </c>
      <c r="AT49" t="s">
        <v>227</v>
      </c>
      <c r="AU49" t="s">
        <v>228</v>
      </c>
      <c r="AV49" t="s">
        <v>229</v>
      </c>
      <c r="AW49" t="s">
        <v>230</v>
      </c>
      <c r="AY49" s="1" t="s">
        <v>159</v>
      </c>
      <c r="AZ49">
        <v>3</v>
      </c>
      <c r="BA49" t="s">
        <v>191</v>
      </c>
      <c r="BB49">
        <v>2011</v>
      </c>
      <c r="BC49" t="s">
        <v>126</v>
      </c>
      <c r="BD49" t="s">
        <v>2273</v>
      </c>
      <c r="BE49" t="s">
        <v>169</v>
      </c>
      <c r="BF49" t="s">
        <v>169</v>
      </c>
      <c r="BG49" t="s">
        <v>150</v>
      </c>
      <c r="BH49" t="s">
        <v>162</v>
      </c>
      <c r="BI49" t="s">
        <v>150</v>
      </c>
      <c r="BJ49">
        <v>1</v>
      </c>
      <c r="BK49" t="s">
        <v>232</v>
      </c>
      <c r="BL49" t="s">
        <v>157</v>
      </c>
      <c r="BN49" t="s">
        <v>233</v>
      </c>
      <c r="BO49" t="s">
        <v>166</v>
      </c>
      <c r="BP49" t="s">
        <v>234</v>
      </c>
      <c r="BQ49">
        <v>2011</v>
      </c>
      <c r="BR49" t="s">
        <v>148</v>
      </c>
      <c r="BS49" t="s">
        <v>235</v>
      </c>
      <c r="BT49" t="s">
        <v>151</v>
      </c>
      <c r="BU49" t="s">
        <v>128</v>
      </c>
      <c r="BV49" t="s">
        <v>236</v>
      </c>
      <c r="BW49" t="s">
        <v>128</v>
      </c>
      <c r="BX49" t="s">
        <v>162</v>
      </c>
      <c r="BY49" t="s">
        <v>237</v>
      </c>
      <c r="CA49" t="s">
        <v>172</v>
      </c>
      <c r="CC49" t="s">
        <v>233</v>
      </c>
      <c r="CD49" t="s">
        <v>238</v>
      </c>
      <c r="CE49" t="s">
        <v>223</v>
      </c>
      <c r="CF49">
        <v>2016</v>
      </c>
      <c r="CG49" t="s">
        <v>148</v>
      </c>
      <c r="CH49" t="s">
        <v>239</v>
      </c>
      <c r="CI49" t="s">
        <v>169</v>
      </c>
      <c r="CJ49" t="s">
        <v>169</v>
      </c>
      <c r="CK49" t="s">
        <v>169</v>
      </c>
      <c r="CL49" t="s">
        <v>150</v>
      </c>
      <c r="CM49" t="s">
        <v>150</v>
      </c>
      <c r="CN49">
        <v>1</v>
      </c>
      <c r="CO49" t="s">
        <v>240</v>
      </c>
      <c r="CP49" t="s">
        <v>157</v>
      </c>
      <c r="CR49" t="s">
        <v>233</v>
      </c>
      <c r="CS49" s="1" t="s">
        <v>123</v>
      </c>
      <c r="DC49" s="1" t="s">
        <v>214</v>
      </c>
      <c r="DD49" t="s">
        <v>234</v>
      </c>
      <c r="DE49" t="s">
        <v>241</v>
      </c>
      <c r="DF49" t="s">
        <v>162</v>
      </c>
      <c r="DG49" t="s">
        <v>169</v>
      </c>
      <c r="DH49" t="s">
        <v>169</v>
      </c>
      <c r="DI49" t="s">
        <v>151</v>
      </c>
      <c r="DJ49" t="s">
        <v>151</v>
      </c>
      <c r="DK49" t="s">
        <v>151</v>
      </c>
      <c r="DL49" t="s">
        <v>242</v>
      </c>
      <c r="DM49" s="1" t="s">
        <v>123</v>
      </c>
      <c r="EP49" s="1" t="s">
        <v>123</v>
      </c>
      <c r="FP49" s="1" t="s">
        <v>123</v>
      </c>
      <c r="FQ49" t="s">
        <v>132</v>
      </c>
      <c r="GX49" t="s">
        <v>243</v>
      </c>
      <c r="GY49" t="s">
        <v>244</v>
      </c>
      <c r="GZ49" t="s">
        <v>245</v>
      </c>
      <c r="HA49" t="s">
        <v>186</v>
      </c>
      <c r="HB49">
        <v>1961</v>
      </c>
      <c r="HC49" t="str">
        <f>VLOOKUP(AnalizaCzyste[[#This Row],[Rok urodzenia]],KategorieWiekowe[],2,1)</f>
        <v>56-65 lat</v>
      </c>
      <c r="HD49" t="s">
        <v>246</v>
      </c>
      <c r="HF49" t="s">
        <v>247</v>
      </c>
    </row>
    <row r="50" spans="1:215" x14ac:dyDescent="0.45">
      <c r="A50">
        <v>127</v>
      </c>
      <c r="B50">
        <f>_xlfn.IFNA(VLOOKUP(AnalizaCzyste[[#This Row],[Zakończono wypełnianie]],Zakończone[],2,0),"BRAK")</f>
        <v>76</v>
      </c>
      <c r="C50">
        <f t="shared" si="1"/>
        <v>44</v>
      </c>
      <c r="D50" t="s">
        <v>1192</v>
      </c>
      <c r="E50" t="s">
        <v>118</v>
      </c>
      <c r="J50" t="s">
        <v>119</v>
      </c>
      <c r="K50" t="s">
        <v>1193</v>
      </c>
      <c r="L50" t="s">
        <v>1194</v>
      </c>
      <c r="M50">
        <v>1676</v>
      </c>
      <c r="N50">
        <v>0</v>
      </c>
      <c r="O50" t="s">
        <v>122</v>
      </c>
      <c r="P50" s="1" t="s">
        <v>123</v>
      </c>
      <c r="AF50" s="1" t="s">
        <v>124</v>
      </c>
      <c r="AG50" t="s">
        <v>223</v>
      </c>
      <c r="AH50" t="str">
        <f>VLOOKUP(AnalizaCzyste[[#This Row],[Jak się nazywa uczelnia którą ukończyłeś? (proszę o wybranie jednej uczelni podlegającej ocenie)]],KategorieUczelni[],2,0)</f>
        <v>Publiczna</v>
      </c>
      <c r="AI50">
        <v>1998</v>
      </c>
      <c r="AJ50" t="s">
        <v>148</v>
      </c>
      <c r="AK50" t="s">
        <v>1195</v>
      </c>
      <c r="AL50" t="s">
        <v>162</v>
      </c>
      <c r="AM50" t="s">
        <v>151</v>
      </c>
      <c r="AN50" t="s">
        <v>151</v>
      </c>
      <c r="AO50" t="s">
        <v>236</v>
      </c>
      <c r="AP50" t="s">
        <v>151</v>
      </c>
      <c r="AQ50">
        <v>0</v>
      </c>
      <c r="AR50" t="s">
        <v>131</v>
      </c>
      <c r="AS50" t="s">
        <v>302</v>
      </c>
      <c r="AT50" t="s">
        <v>1196</v>
      </c>
      <c r="AU50" t="s">
        <v>1196</v>
      </c>
      <c r="AV50" t="s">
        <v>1197</v>
      </c>
      <c r="AW50" t="s">
        <v>157</v>
      </c>
      <c r="AY50" s="1" t="s">
        <v>123</v>
      </c>
      <c r="CS50" s="1" t="s">
        <v>123</v>
      </c>
      <c r="DC50" s="1" t="s">
        <v>123</v>
      </c>
      <c r="DM50" s="1" t="s">
        <v>123</v>
      </c>
      <c r="EP50" s="1" t="s">
        <v>177</v>
      </c>
      <c r="EQ50" t="s">
        <v>180</v>
      </c>
      <c r="ER50" t="s">
        <v>132</v>
      </c>
      <c r="ES50" t="s">
        <v>132</v>
      </c>
      <c r="ET50" t="s">
        <v>151</v>
      </c>
      <c r="EU50" t="s">
        <v>151</v>
      </c>
      <c r="EV50" t="s">
        <v>151</v>
      </c>
      <c r="EW50" t="s">
        <v>178</v>
      </c>
      <c r="EX50" t="s">
        <v>132</v>
      </c>
      <c r="EY50" t="s">
        <v>132</v>
      </c>
      <c r="EZ50" t="s">
        <v>173</v>
      </c>
      <c r="FP50" s="1" t="s">
        <v>123</v>
      </c>
      <c r="GX50" t="s">
        <v>1198</v>
      </c>
      <c r="GY50" t="s">
        <v>1199</v>
      </c>
      <c r="GZ50" t="s">
        <v>1198</v>
      </c>
      <c r="HA50" t="s">
        <v>186</v>
      </c>
      <c r="HB50">
        <v>1974</v>
      </c>
      <c r="HC50" t="str">
        <f>VLOOKUP(AnalizaCzyste[[#This Row],[Rok urodzenia]],KategorieWiekowe[],2,1)</f>
        <v>46-55 lat</v>
      </c>
      <c r="HD50" t="s">
        <v>141</v>
      </c>
      <c r="HE50" t="s">
        <v>313</v>
      </c>
    </row>
    <row r="51" spans="1:215" hidden="1" x14ac:dyDescent="0.45">
      <c r="A51">
        <v>32</v>
      </c>
      <c r="B51">
        <f>_xlfn.IFNA(VLOOKUP(AnalizaCzyste[[#This Row],[Zakończono wypełnianie]],Zakończone[],2,0),"BRAK")</f>
        <v>22</v>
      </c>
      <c r="C51">
        <f t="shared" si="1"/>
        <v>38</v>
      </c>
      <c r="D51" t="s">
        <v>458</v>
      </c>
      <c r="E51" t="s">
        <v>118</v>
      </c>
      <c r="F51" t="s">
        <v>359</v>
      </c>
      <c r="J51" t="s">
        <v>119</v>
      </c>
      <c r="K51" t="s">
        <v>459</v>
      </c>
      <c r="L51" t="s">
        <v>460</v>
      </c>
      <c r="M51">
        <v>490</v>
      </c>
      <c r="N51">
        <v>0</v>
      </c>
      <c r="O51" t="s">
        <v>122</v>
      </c>
      <c r="P51" s="1" t="s">
        <v>416</v>
      </c>
      <c r="Q51" t="s">
        <v>445</v>
      </c>
      <c r="R51" t="s">
        <v>148</v>
      </c>
      <c r="S51" t="s">
        <v>461</v>
      </c>
      <c r="T51" t="s">
        <v>169</v>
      </c>
      <c r="U51" t="s">
        <v>169</v>
      </c>
      <c r="V51" t="s">
        <v>169</v>
      </c>
      <c r="W51" t="s">
        <v>462</v>
      </c>
      <c r="X51" t="s">
        <v>302</v>
      </c>
      <c r="Y51" t="s">
        <v>302</v>
      </c>
      <c r="Z51" t="s">
        <v>463</v>
      </c>
      <c r="AA51" t="s">
        <v>464</v>
      </c>
      <c r="AB51" t="s">
        <v>465</v>
      </c>
      <c r="AC51" t="s">
        <v>157</v>
      </c>
      <c r="AD51" t="s">
        <v>466</v>
      </c>
      <c r="AE51">
        <v>10</v>
      </c>
      <c r="AF51" s="1" t="s">
        <v>123</v>
      </c>
      <c r="AH51" t="e">
        <f>VLOOKUP(AnalizaCzyste[[#This Row],[Jak się nazywa uczelnia którą ukończyłeś? (proszę o wybranie jednej uczelni podlegającej ocenie)]],KategorieUczelni[],2,0)</f>
        <v>#N/A</v>
      </c>
      <c r="AY51" s="1" t="s">
        <v>123</v>
      </c>
      <c r="CS51" s="1" t="s">
        <v>123</v>
      </c>
      <c r="DC51" s="1" t="s">
        <v>123</v>
      </c>
      <c r="DM51" s="1" t="s">
        <v>123</v>
      </c>
      <c r="EP51" s="1" t="s">
        <v>123</v>
      </c>
      <c r="EQ51" t="s">
        <v>180</v>
      </c>
      <c r="ER51" t="s">
        <v>132</v>
      </c>
      <c r="FP51" s="1" t="s">
        <v>123</v>
      </c>
      <c r="FQ51" t="s">
        <v>132</v>
      </c>
      <c r="FS51" t="s">
        <v>132</v>
      </c>
      <c r="GX51" t="s">
        <v>468</v>
      </c>
      <c r="GY51" t="s">
        <v>469</v>
      </c>
      <c r="GZ51" t="s">
        <v>142</v>
      </c>
      <c r="HA51" t="s">
        <v>140</v>
      </c>
      <c r="HB51">
        <v>1996</v>
      </c>
      <c r="HC51" t="str">
        <f>VLOOKUP(AnalizaCzyste[[#This Row],[Rok urodzenia]],KategorieWiekowe[],2,1)</f>
        <v>poniżej 26 lat</v>
      </c>
      <c r="HD51" t="s">
        <v>141</v>
      </c>
      <c r="HF51" t="s">
        <v>470</v>
      </c>
      <c r="HG51" t="s">
        <v>471</v>
      </c>
    </row>
    <row r="52" spans="1:215" x14ac:dyDescent="0.45">
      <c r="A52">
        <v>223</v>
      </c>
      <c r="B52">
        <f>_xlfn.IFNA(VLOOKUP(AnalizaCzyste[[#This Row],[Zakończono wypełnianie]],Zakończone[],2,0),"BRAK")</f>
        <v>122</v>
      </c>
      <c r="C52">
        <f t="shared" si="1"/>
        <v>43</v>
      </c>
      <c r="D52" t="s">
        <v>1827</v>
      </c>
      <c r="E52" t="s">
        <v>118</v>
      </c>
      <c r="J52" t="s">
        <v>119</v>
      </c>
      <c r="K52" t="s">
        <v>1828</v>
      </c>
      <c r="L52" t="s">
        <v>1829</v>
      </c>
      <c r="M52">
        <v>673</v>
      </c>
      <c r="N52">
        <v>0</v>
      </c>
      <c r="O52" t="s">
        <v>122</v>
      </c>
      <c r="P52" s="1" t="s">
        <v>123</v>
      </c>
      <c r="AF52" s="1" t="s">
        <v>124</v>
      </c>
      <c r="AG52" t="s">
        <v>223</v>
      </c>
      <c r="AH52" t="str">
        <f>VLOOKUP(AnalizaCzyste[[#This Row],[Jak się nazywa uczelnia którą ukończyłeś? (proszę o wybranie jednej uczelni podlegającej ocenie)]],KategorieUczelni[],2,0)</f>
        <v>Publiczna</v>
      </c>
      <c r="AI52">
        <v>2005</v>
      </c>
      <c r="AJ52" t="s">
        <v>148</v>
      </c>
      <c r="AK52" t="s">
        <v>1831</v>
      </c>
      <c r="AL52" t="s">
        <v>162</v>
      </c>
      <c r="AM52" t="s">
        <v>169</v>
      </c>
      <c r="AN52" t="s">
        <v>169</v>
      </c>
      <c r="AO52" t="s">
        <v>128</v>
      </c>
      <c r="AP52" t="s">
        <v>162</v>
      </c>
      <c r="AQ52" t="s">
        <v>237</v>
      </c>
      <c r="AR52" t="s">
        <v>302</v>
      </c>
      <c r="AS52" t="s">
        <v>153</v>
      </c>
      <c r="AT52" t="s">
        <v>1832</v>
      </c>
      <c r="AU52" t="s">
        <v>1833</v>
      </c>
      <c r="AV52" t="s">
        <v>1834</v>
      </c>
      <c r="AX52" t="s">
        <v>158</v>
      </c>
      <c r="AY52" s="1" t="s">
        <v>123</v>
      </c>
      <c r="CS52" s="1" t="s">
        <v>123</v>
      </c>
      <c r="DC52" s="1" t="s">
        <v>214</v>
      </c>
      <c r="DD52" t="s">
        <v>191</v>
      </c>
      <c r="DE52" t="s">
        <v>2277</v>
      </c>
      <c r="DF52" t="s">
        <v>150</v>
      </c>
      <c r="DG52" t="s">
        <v>150</v>
      </c>
      <c r="DH52" t="s">
        <v>151</v>
      </c>
      <c r="DI52" t="s">
        <v>150</v>
      </c>
      <c r="DJ52" t="s">
        <v>169</v>
      </c>
      <c r="DK52" t="s">
        <v>169</v>
      </c>
      <c r="DL52" t="s">
        <v>1836</v>
      </c>
      <c r="DM52" s="1" t="s">
        <v>123</v>
      </c>
      <c r="EP52" s="1" t="s">
        <v>123</v>
      </c>
      <c r="FP52" s="1" t="s">
        <v>123</v>
      </c>
      <c r="GX52" t="s">
        <v>1837</v>
      </c>
      <c r="GY52" t="s">
        <v>1838</v>
      </c>
      <c r="GZ52" t="s">
        <v>1839</v>
      </c>
      <c r="HA52" t="s">
        <v>140</v>
      </c>
      <c r="HB52">
        <v>1981</v>
      </c>
      <c r="HC52" t="str">
        <f>VLOOKUP(AnalizaCzyste[[#This Row],[Rok urodzenia]],KategorieWiekowe[],2,1)</f>
        <v>36-45 lat</v>
      </c>
      <c r="HD52" t="s">
        <v>141</v>
      </c>
      <c r="HF52" t="s">
        <v>1840</v>
      </c>
    </row>
    <row r="53" spans="1:215" x14ac:dyDescent="0.45">
      <c r="A53">
        <v>133</v>
      </c>
      <c r="B53">
        <f>_xlfn.IFNA(VLOOKUP(AnalizaCzyste[[#This Row],[Zakończono wypełnianie]],Zakończone[],2,0),"BRAK")</f>
        <v>81</v>
      </c>
      <c r="C53">
        <f t="shared" si="1"/>
        <v>43</v>
      </c>
      <c r="D53" t="s">
        <v>1251</v>
      </c>
      <c r="E53" t="s">
        <v>118</v>
      </c>
      <c r="J53" t="s">
        <v>119</v>
      </c>
      <c r="K53" t="s">
        <v>1252</v>
      </c>
      <c r="L53" t="s">
        <v>1253</v>
      </c>
      <c r="M53">
        <v>367</v>
      </c>
      <c r="N53">
        <v>0</v>
      </c>
      <c r="O53" t="s">
        <v>122</v>
      </c>
      <c r="P53" s="1" t="s">
        <v>123</v>
      </c>
      <c r="AF53" s="1" t="s">
        <v>124</v>
      </c>
      <c r="AG53" t="s">
        <v>223</v>
      </c>
      <c r="AH53" t="str">
        <f>VLOOKUP(AnalizaCzyste[[#This Row],[Jak się nazywa uczelnia którą ukończyłeś? (proszę o wybranie jednej uczelni podlegającej ocenie)]],KategorieUczelni[],2,0)</f>
        <v>Publiczna</v>
      </c>
      <c r="AI53">
        <v>2006</v>
      </c>
      <c r="AJ53" t="s">
        <v>148</v>
      </c>
      <c r="AK53" t="s">
        <v>1050</v>
      </c>
      <c r="AL53" t="s">
        <v>162</v>
      </c>
      <c r="AM53" t="s">
        <v>162</v>
      </c>
      <c r="AN53" t="s">
        <v>169</v>
      </c>
      <c r="AO53" t="s">
        <v>236</v>
      </c>
      <c r="AP53" t="s">
        <v>151</v>
      </c>
      <c r="AQ53">
        <v>3</v>
      </c>
      <c r="AR53" t="s">
        <v>131</v>
      </c>
      <c r="AS53" t="s">
        <v>302</v>
      </c>
      <c r="AT53" t="s">
        <v>1254</v>
      </c>
      <c r="AU53" t="s">
        <v>1255</v>
      </c>
      <c r="AV53" t="s">
        <v>1256</v>
      </c>
      <c r="AW53" t="s">
        <v>157</v>
      </c>
      <c r="AX53" t="s">
        <v>1257</v>
      </c>
      <c r="AY53" s="1" t="s">
        <v>123</v>
      </c>
      <c r="CS53" s="1" t="s">
        <v>123</v>
      </c>
      <c r="DC53" s="1" t="s">
        <v>214</v>
      </c>
      <c r="DD53" t="s">
        <v>191</v>
      </c>
      <c r="DE53" t="s">
        <v>308</v>
      </c>
      <c r="DF53" t="s">
        <v>169</v>
      </c>
      <c r="DG53" t="s">
        <v>150</v>
      </c>
      <c r="DH53" t="s">
        <v>150</v>
      </c>
      <c r="DI53" t="s">
        <v>169</v>
      </c>
      <c r="DJ53" t="s">
        <v>162</v>
      </c>
      <c r="DK53" t="s">
        <v>162</v>
      </c>
      <c r="DL53" t="s">
        <v>1258</v>
      </c>
      <c r="DM53" s="1" t="s">
        <v>123</v>
      </c>
      <c r="EP53" s="1" t="s">
        <v>123</v>
      </c>
      <c r="FP53" s="1" t="s">
        <v>123</v>
      </c>
      <c r="GX53" t="s">
        <v>1259</v>
      </c>
      <c r="GY53" t="s">
        <v>1260</v>
      </c>
      <c r="GZ53" t="s">
        <v>1261</v>
      </c>
      <c r="HA53" t="s">
        <v>186</v>
      </c>
      <c r="HB53">
        <v>1982</v>
      </c>
      <c r="HC53" t="str">
        <f>VLOOKUP(AnalizaCzyste[[#This Row],[Rok urodzenia]],KategorieWiekowe[],2,1)</f>
        <v>36-45 lat</v>
      </c>
      <c r="HD53" t="s">
        <v>141</v>
      </c>
    </row>
    <row r="54" spans="1:215" x14ac:dyDescent="0.45">
      <c r="A54">
        <v>153</v>
      </c>
      <c r="B54">
        <f>_xlfn.IFNA(VLOOKUP(AnalizaCzyste[[#This Row],[Zakończono wypełnianie]],Zakończone[],2,0),"BRAK")</f>
        <v>88</v>
      </c>
      <c r="C54">
        <f t="shared" si="1"/>
        <v>35</v>
      </c>
      <c r="D54" t="s">
        <v>1352</v>
      </c>
      <c r="E54" t="s">
        <v>118</v>
      </c>
      <c r="J54" t="s">
        <v>119</v>
      </c>
      <c r="K54" t="s">
        <v>1376</v>
      </c>
      <c r="L54" t="s">
        <v>1377</v>
      </c>
      <c r="M54">
        <v>352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 t="str">
        <f>VLOOKUP(AnalizaCzyste[[#This Row],[Jak się nazywa uczelnia którą ukończyłeś? (proszę o wybranie jednej uczelni podlegającej ocenie)]],KategorieUczelni[],2,0)</f>
        <v>Publiczna</v>
      </c>
      <c r="AI54">
        <v>2000</v>
      </c>
      <c r="AJ54" t="s">
        <v>148</v>
      </c>
      <c r="AK54" t="s">
        <v>161</v>
      </c>
      <c r="AL54" t="s">
        <v>162</v>
      </c>
      <c r="AM54" t="s">
        <v>162</v>
      </c>
      <c r="AN54" t="s">
        <v>150</v>
      </c>
      <c r="AO54" t="s">
        <v>129</v>
      </c>
      <c r="AP54" t="s">
        <v>128</v>
      </c>
      <c r="AQ54">
        <v>5</v>
      </c>
      <c r="AR54" t="s">
        <v>302</v>
      </c>
      <c r="AS54" t="s">
        <v>302</v>
      </c>
      <c r="AT54" t="s">
        <v>1378</v>
      </c>
      <c r="AU54" t="s">
        <v>1379</v>
      </c>
      <c r="AV54" t="s">
        <v>1380</v>
      </c>
      <c r="AW54" t="s">
        <v>172</v>
      </c>
      <c r="AY54" s="1" t="s">
        <v>123</v>
      </c>
      <c r="CS54" s="1" t="s">
        <v>123</v>
      </c>
      <c r="DC54" s="1" t="s">
        <v>123</v>
      </c>
      <c r="DM54" s="1" t="s">
        <v>123</v>
      </c>
      <c r="EP54" s="1" t="s">
        <v>123</v>
      </c>
      <c r="FP54" s="1" t="s">
        <v>123</v>
      </c>
      <c r="GX54" t="s">
        <v>1381</v>
      </c>
      <c r="GY54" t="s">
        <v>1382</v>
      </c>
      <c r="GZ54" t="s">
        <v>1383</v>
      </c>
      <c r="HA54" t="s">
        <v>140</v>
      </c>
      <c r="HB54">
        <v>1982</v>
      </c>
      <c r="HC54" t="str">
        <f>VLOOKUP(AnalizaCzyste[[#This Row],[Rok urodzenia]],KategorieWiekowe[],2,1)</f>
        <v>36-45 lat</v>
      </c>
      <c r="HD54" t="s">
        <v>246</v>
      </c>
      <c r="HF54" t="s">
        <v>386</v>
      </c>
      <c r="HG54" t="s">
        <v>386</v>
      </c>
    </row>
    <row r="55" spans="1:215" x14ac:dyDescent="0.45">
      <c r="A55">
        <v>189</v>
      </c>
      <c r="B55">
        <f>_xlfn.IFNA(VLOOKUP(AnalizaCzyste[[#This Row],[Zakończono wypełnianie]],Zakończone[],2,0),"BRAK")</f>
        <v>108</v>
      </c>
      <c r="C55">
        <f t="shared" si="1"/>
        <v>36</v>
      </c>
      <c r="D55" t="s">
        <v>1352</v>
      </c>
      <c r="E55" t="s">
        <v>118</v>
      </c>
      <c r="J55" t="s">
        <v>119</v>
      </c>
      <c r="K55" t="s">
        <v>1608</v>
      </c>
      <c r="L55" t="s">
        <v>1609</v>
      </c>
      <c r="M55">
        <v>4906</v>
      </c>
      <c r="N55">
        <v>0</v>
      </c>
      <c r="O55" t="s">
        <v>122</v>
      </c>
      <c r="P55" s="1" t="s">
        <v>123</v>
      </c>
      <c r="AF55" s="1" t="s">
        <v>124</v>
      </c>
      <c r="AG55" t="s">
        <v>223</v>
      </c>
      <c r="AH55" t="str">
        <f>VLOOKUP(AnalizaCzyste[[#This Row],[Jak się nazywa uczelnia którą ukończyłeś? (proszę o wybranie jednej uczelni podlegającej ocenie)]],KategorieUczelni[],2,0)</f>
        <v>Publiczna</v>
      </c>
      <c r="AI55">
        <v>2009</v>
      </c>
      <c r="AJ55" t="s">
        <v>148</v>
      </c>
      <c r="AK55" t="s">
        <v>554</v>
      </c>
      <c r="AL55" t="s">
        <v>162</v>
      </c>
      <c r="AM55" t="s">
        <v>162</v>
      </c>
      <c r="AN55" t="s">
        <v>162</v>
      </c>
      <c r="AO55" t="s">
        <v>162</v>
      </c>
      <c r="AP55" t="s">
        <v>162</v>
      </c>
      <c r="AQ55" t="s">
        <v>1610</v>
      </c>
      <c r="AR55" t="s">
        <v>302</v>
      </c>
      <c r="AS55" t="s">
        <v>153</v>
      </c>
      <c r="AU55" t="s">
        <v>1611</v>
      </c>
      <c r="AV55" t="s">
        <v>1612</v>
      </c>
      <c r="AX55" t="s">
        <v>1613</v>
      </c>
      <c r="AY55" s="1" t="s">
        <v>123</v>
      </c>
      <c r="CS55" s="1" t="s">
        <v>123</v>
      </c>
      <c r="DC55" s="1" t="s">
        <v>123</v>
      </c>
      <c r="DM55" s="1" t="s">
        <v>123</v>
      </c>
      <c r="EP55" s="1" t="s">
        <v>123</v>
      </c>
      <c r="EQ55" t="s">
        <v>180</v>
      </c>
      <c r="ER55" t="s">
        <v>132</v>
      </c>
      <c r="FP55" s="1" t="s">
        <v>123</v>
      </c>
      <c r="GX55" t="s">
        <v>1614</v>
      </c>
      <c r="GY55" t="s">
        <v>1247</v>
      </c>
      <c r="GZ55" t="s">
        <v>1247</v>
      </c>
      <c r="HA55" t="s">
        <v>140</v>
      </c>
      <c r="HB55">
        <v>1983</v>
      </c>
      <c r="HC55" t="str">
        <f>VLOOKUP(AnalizaCzyste[[#This Row],[Rok urodzenia]],KategorieWiekowe[],2,1)</f>
        <v>36-45 lat</v>
      </c>
      <c r="HD55" t="s">
        <v>220</v>
      </c>
      <c r="HF55" t="s">
        <v>1615</v>
      </c>
      <c r="HG55" t="s">
        <v>1615</v>
      </c>
    </row>
    <row r="56" spans="1:215" x14ac:dyDescent="0.45">
      <c r="A56">
        <v>235</v>
      </c>
      <c r="B56">
        <f>_xlfn.IFNA(VLOOKUP(AnalizaCzyste[[#This Row],[Zakończono wypełnianie]],Zakończone[],2,0),"BRAK")</f>
        <v>127</v>
      </c>
      <c r="C56">
        <f t="shared" si="1"/>
        <v>35</v>
      </c>
      <c r="D56" t="s">
        <v>1899</v>
      </c>
      <c r="E56" t="s">
        <v>118</v>
      </c>
      <c r="F56" t="s">
        <v>359</v>
      </c>
      <c r="J56" t="s">
        <v>119</v>
      </c>
      <c r="K56" t="s">
        <v>1900</v>
      </c>
      <c r="L56" t="s">
        <v>1901</v>
      </c>
      <c r="M56">
        <v>650</v>
      </c>
      <c r="N56">
        <v>0</v>
      </c>
      <c r="O56" t="s">
        <v>122</v>
      </c>
      <c r="P56" s="1" t="s">
        <v>123</v>
      </c>
      <c r="AF56" s="1" t="s">
        <v>124</v>
      </c>
      <c r="AG56" t="s">
        <v>223</v>
      </c>
      <c r="AH56" t="str">
        <f>VLOOKUP(AnalizaCzyste[[#This Row],[Jak się nazywa uczelnia którą ukończyłeś? (proszę o wybranie jednej uczelni podlegającej ocenie)]],KategorieUczelni[],2,0)</f>
        <v>Publiczna</v>
      </c>
      <c r="AI56">
        <v>2009</v>
      </c>
      <c r="AJ56" t="s">
        <v>148</v>
      </c>
      <c r="AK56" t="s">
        <v>1666</v>
      </c>
      <c r="AL56" t="s">
        <v>162</v>
      </c>
      <c r="AM56" t="s">
        <v>151</v>
      </c>
      <c r="AN56" t="s">
        <v>236</v>
      </c>
      <c r="AO56" t="s">
        <v>236</v>
      </c>
      <c r="AP56" t="s">
        <v>128</v>
      </c>
      <c r="AQ56">
        <v>9</v>
      </c>
      <c r="AR56" t="s">
        <v>131</v>
      </c>
      <c r="AS56" t="s">
        <v>153</v>
      </c>
      <c r="AT56" t="s">
        <v>1902</v>
      </c>
      <c r="AU56" t="s">
        <v>1903</v>
      </c>
      <c r="AV56" t="s">
        <v>1904</v>
      </c>
      <c r="AX56" t="s">
        <v>1905</v>
      </c>
      <c r="AY56" s="1" t="s">
        <v>123</v>
      </c>
      <c r="CS56" s="1" t="s">
        <v>123</v>
      </c>
      <c r="DC56" s="1" t="s">
        <v>123</v>
      </c>
      <c r="DM56" s="1" t="s">
        <v>123</v>
      </c>
      <c r="EP56" s="1" t="s">
        <v>123</v>
      </c>
      <c r="FP56" s="1" t="s">
        <v>123</v>
      </c>
      <c r="GX56" t="s">
        <v>1906</v>
      </c>
      <c r="GY56" t="s">
        <v>1907</v>
      </c>
      <c r="GZ56" t="s">
        <v>1908</v>
      </c>
      <c r="HA56" t="s">
        <v>140</v>
      </c>
      <c r="HB56">
        <v>1985</v>
      </c>
      <c r="HC56" t="str">
        <f>VLOOKUP(AnalizaCzyste[[#This Row],[Rok urodzenia]],KategorieWiekowe[],2,1)</f>
        <v>26-35 lat</v>
      </c>
      <c r="HD56" t="s">
        <v>141</v>
      </c>
      <c r="HF56" t="s">
        <v>142</v>
      </c>
      <c r="HG56" t="s">
        <v>1909</v>
      </c>
    </row>
    <row r="57" spans="1:215" x14ac:dyDescent="0.45">
      <c r="A57">
        <v>227</v>
      </c>
      <c r="B57">
        <f>_xlfn.IFNA(VLOOKUP(AnalizaCzyste[[#This Row],[Zakończono wypełnianie]],Zakończone[],2,0),"BRAK")</f>
        <v>123</v>
      </c>
      <c r="C57">
        <f t="shared" si="1"/>
        <v>35</v>
      </c>
      <c r="D57" t="s">
        <v>1845</v>
      </c>
      <c r="E57" t="s">
        <v>118</v>
      </c>
      <c r="J57" t="s">
        <v>119</v>
      </c>
      <c r="K57" t="s">
        <v>1846</v>
      </c>
      <c r="L57" t="s">
        <v>1847</v>
      </c>
      <c r="M57">
        <v>790</v>
      </c>
      <c r="N57">
        <v>0</v>
      </c>
      <c r="O57" t="s">
        <v>122</v>
      </c>
      <c r="P57" s="1" t="s">
        <v>123</v>
      </c>
      <c r="AF57" s="1" t="s">
        <v>124</v>
      </c>
      <c r="AG57" t="s">
        <v>223</v>
      </c>
      <c r="AH57" t="str">
        <f>VLOOKUP(AnalizaCzyste[[#This Row],[Jak się nazywa uczelnia którą ukończyłeś? (proszę o wybranie jednej uczelni podlegającej ocenie)]],KategorieUczelni[],2,0)</f>
        <v>Publiczna</v>
      </c>
      <c r="AI57">
        <v>2018</v>
      </c>
      <c r="AJ57" t="s">
        <v>148</v>
      </c>
      <c r="AK57" t="s">
        <v>461</v>
      </c>
      <c r="AL57" t="s">
        <v>162</v>
      </c>
      <c r="AM57" t="s">
        <v>162</v>
      </c>
      <c r="AN57" t="s">
        <v>150</v>
      </c>
      <c r="AO57" t="s">
        <v>169</v>
      </c>
      <c r="AP57" t="s">
        <v>132</v>
      </c>
      <c r="AQ57" t="s">
        <v>1848</v>
      </c>
      <c r="AR57" t="s">
        <v>302</v>
      </c>
      <c r="AS57" t="s">
        <v>132</v>
      </c>
      <c r="AT57" t="s">
        <v>1849</v>
      </c>
      <c r="AU57" t="s">
        <v>1850</v>
      </c>
      <c r="AV57" t="s">
        <v>1851</v>
      </c>
      <c r="AW57" t="s">
        <v>157</v>
      </c>
      <c r="AY57" s="1" t="s">
        <v>123</v>
      </c>
      <c r="CS57" s="1" t="s">
        <v>123</v>
      </c>
      <c r="DC57" s="1" t="s">
        <v>123</v>
      </c>
      <c r="DM57" s="1" t="s">
        <v>123</v>
      </c>
      <c r="EP57" s="1" t="s">
        <v>123</v>
      </c>
      <c r="FP57" s="1" t="s">
        <v>123</v>
      </c>
      <c r="GX57" t="s">
        <v>1852</v>
      </c>
      <c r="GY57" t="s">
        <v>1853</v>
      </c>
      <c r="GZ57" t="s">
        <v>1854</v>
      </c>
      <c r="HA57" t="s">
        <v>140</v>
      </c>
      <c r="HB57">
        <v>1994</v>
      </c>
      <c r="HC57" t="str">
        <f>VLOOKUP(AnalizaCzyste[[#This Row],[Rok urodzenia]],KategorieWiekowe[],2,1)</f>
        <v>26-35 lat</v>
      </c>
      <c r="HD57" t="s">
        <v>141</v>
      </c>
      <c r="HE57" t="s">
        <v>1855</v>
      </c>
      <c r="HF57" t="s">
        <v>1856</v>
      </c>
    </row>
    <row r="58" spans="1:215" x14ac:dyDescent="0.45">
      <c r="A58">
        <v>37</v>
      </c>
      <c r="B58">
        <f>_xlfn.IFNA(VLOOKUP(AnalizaCzyste[[#This Row],[Zakończono wypełnianie]],Zakończone[],2,0),"BRAK")</f>
        <v>25</v>
      </c>
      <c r="C58">
        <f t="shared" si="1"/>
        <v>39</v>
      </c>
      <c r="D58" t="s">
        <v>500</v>
      </c>
      <c r="E58" t="s">
        <v>118</v>
      </c>
      <c r="F58" t="s">
        <v>375</v>
      </c>
      <c r="J58" t="s">
        <v>119</v>
      </c>
      <c r="K58" t="s">
        <v>499</v>
      </c>
      <c r="L58" t="s">
        <v>501</v>
      </c>
      <c r="M58">
        <v>394</v>
      </c>
      <c r="N58">
        <v>0</v>
      </c>
      <c r="O58" t="s">
        <v>122</v>
      </c>
      <c r="P58" s="1" t="s">
        <v>123</v>
      </c>
      <c r="AF58" s="1" t="s">
        <v>124</v>
      </c>
      <c r="AG58" t="s">
        <v>445</v>
      </c>
      <c r="AH58" t="str">
        <f>VLOOKUP(AnalizaCzyste[[#This Row],[Jak się nazywa uczelnia którą ukończyłeś? (proszę o wybranie jednej uczelni podlegającej ocenie)]],KategorieUczelni[],2,0)</f>
        <v>Publiczna</v>
      </c>
      <c r="AI58">
        <v>2019</v>
      </c>
      <c r="AJ58" t="s">
        <v>148</v>
      </c>
      <c r="AK58" t="s">
        <v>502</v>
      </c>
      <c r="AL58" t="s">
        <v>162</v>
      </c>
      <c r="AM58" t="s">
        <v>162</v>
      </c>
      <c r="AN58" t="s">
        <v>162</v>
      </c>
      <c r="AO58" t="s">
        <v>150</v>
      </c>
      <c r="AP58" t="s">
        <v>132</v>
      </c>
      <c r="AQ58">
        <v>0</v>
      </c>
      <c r="AR58" t="s">
        <v>153</v>
      </c>
      <c r="AS58" t="s">
        <v>132</v>
      </c>
      <c r="AT58" t="s">
        <v>503</v>
      </c>
      <c r="AU58" t="s">
        <v>504</v>
      </c>
      <c r="AV58" t="s">
        <v>505</v>
      </c>
      <c r="AW58" t="s">
        <v>157</v>
      </c>
      <c r="AY58" s="1" t="s">
        <v>123</v>
      </c>
      <c r="CS58" s="1" t="s">
        <v>123</v>
      </c>
      <c r="DC58" s="1" t="s">
        <v>123</v>
      </c>
      <c r="DM58" s="1" t="s">
        <v>123</v>
      </c>
      <c r="EP58" s="1" t="s">
        <v>123</v>
      </c>
      <c r="EQ58" t="s">
        <v>180</v>
      </c>
      <c r="ER58" t="s">
        <v>132</v>
      </c>
      <c r="FP58" s="1" t="s">
        <v>123</v>
      </c>
      <c r="FQ58" t="s">
        <v>132</v>
      </c>
      <c r="FS58" t="s">
        <v>132</v>
      </c>
      <c r="GX58" t="s">
        <v>506</v>
      </c>
      <c r="GY58" t="s">
        <v>507</v>
      </c>
      <c r="GZ58" t="s">
        <v>508</v>
      </c>
      <c r="HA58" t="s">
        <v>140</v>
      </c>
      <c r="HB58">
        <v>1994</v>
      </c>
      <c r="HC58" t="str">
        <f>VLOOKUP(AnalizaCzyste[[#This Row],[Rok urodzenia]],KategorieWiekowe[],2,1)</f>
        <v>26-35 lat</v>
      </c>
      <c r="HD58" t="s">
        <v>220</v>
      </c>
      <c r="HF58" t="s">
        <v>509</v>
      </c>
      <c r="HG58" t="s">
        <v>510</v>
      </c>
    </row>
    <row r="59" spans="1:215" x14ac:dyDescent="0.45">
      <c r="A59">
        <v>34</v>
      </c>
      <c r="B59">
        <f>_xlfn.IFNA(VLOOKUP(AnalizaCzyste[[#This Row],[Zakończono wypełnianie]],Zakończone[],2,0),"BRAK")</f>
        <v>24</v>
      </c>
      <c r="C59">
        <f t="shared" si="1"/>
        <v>38</v>
      </c>
      <c r="D59" t="s">
        <v>484</v>
      </c>
      <c r="E59" t="s">
        <v>118</v>
      </c>
      <c r="F59" t="s">
        <v>359</v>
      </c>
      <c r="J59" t="s">
        <v>119</v>
      </c>
      <c r="K59" t="s">
        <v>485</v>
      </c>
      <c r="L59" t="s">
        <v>486</v>
      </c>
      <c r="M59">
        <v>709</v>
      </c>
      <c r="N59">
        <v>0</v>
      </c>
      <c r="O59" t="s">
        <v>122</v>
      </c>
      <c r="P59" s="1" t="s">
        <v>123</v>
      </c>
      <c r="AF59" s="1" t="s">
        <v>124</v>
      </c>
      <c r="AG59" t="s">
        <v>445</v>
      </c>
      <c r="AH59" t="str">
        <f>VLOOKUP(AnalizaCzyste[[#This Row],[Jak się nazywa uczelnia którą ukończyłeś? (proszę o wybranie jednej uczelni podlegającej ocenie)]],KategorieUczelni[],2,0)</f>
        <v>Publiczna</v>
      </c>
      <c r="AI59">
        <v>2018</v>
      </c>
      <c r="AJ59" t="s">
        <v>148</v>
      </c>
      <c r="AK59" t="s">
        <v>487</v>
      </c>
      <c r="AL59" t="s">
        <v>162</v>
      </c>
      <c r="AM59" t="s">
        <v>162</v>
      </c>
      <c r="AN59" t="s">
        <v>151</v>
      </c>
      <c r="AO59" t="s">
        <v>129</v>
      </c>
      <c r="AP59" t="s">
        <v>151</v>
      </c>
      <c r="AQ59">
        <v>2</v>
      </c>
      <c r="AR59" t="s">
        <v>131</v>
      </c>
      <c r="AS59" t="s">
        <v>153</v>
      </c>
      <c r="AT59" t="s">
        <v>488</v>
      </c>
      <c r="AU59" t="s">
        <v>489</v>
      </c>
      <c r="AV59" t="s">
        <v>490</v>
      </c>
      <c r="AW59" t="s">
        <v>157</v>
      </c>
      <c r="AY59" s="1" t="s">
        <v>123</v>
      </c>
      <c r="CS59" s="1" t="s">
        <v>123</v>
      </c>
      <c r="DC59" s="1" t="s">
        <v>123</v>
      </c>
      <c r="DM59" s="1" t="s">
        <v>123</v>
      </c>
      <c r="EP59" s="1" t="s">
        <v>123</v>
      </c>
      <c r="EQ59" t="s">
        <v>180</v>
      </c>
      <c r="FP59" s="1" t="s">
        <v>123</v>
      </c>
      <c r="FQ59" t="s">
        <v>132</v>
      </c>
      <c r="FS59" t="s">
        <v>132</v>
      </c>
      <c r="GX59" t="s">
        <v>491</v>
      </c>
      <c r="GY59" t="s">
        <v>492</v>
      </c>
      <c r="GZ59" t="s">
        <v>493</v>
      </c>
      <c r="HA59" t="s">
        <v>186</v>
      </c>
      <c r="HB59">
        <v>1994</v>
      </c>
      <c r="HC59" t="str">
        <f>VLOOKUP(AnalizaCzyste[[#This Row],[Rok urodzenia]],KategorieWiekowe[],2,1)</f>
        <v>26-35 lat</v>
      </c>
      <c r="HD59" t="s">
        <v>483</v>
      </c>
      <c r="HF59" t="s">
        <v>494</v>
      </c>
      <c r="HG59" t="s">
        <v>495</v>
      </c>
    </row>
    <row r="60" spans="1:215" x14ac:dyDescent="0.45">
      <c r="A60">
        <v>61</v>
      </c>
      <c r="B60">
        <f>_xlfn.IFNA(VLOOKUP(AnalizaCzyste[[#This Row],[Zakończono wypełnianie]],Zakończone[],2,0),"BRAK")</f>
        <v>36</v>
      </c>
      <c r="C60">
        <f t="shared" si="1"/>
        <v>37</v>
      </c>
      <c r="D60" t="s">
        <v>668</v>
      </c>
      <c r="E60" t="s">
        <v>118</v>
      </c>
      <c r="F60" t="s">
        <v>359</v>
      </c>
      <c r="J60" t="s">
        <v>119</v>
      </c>
      <c r="K60" t="s">
        <v>669</v>
      </c>
      <c r="L60" t="s">
        <v>670</v>
      </c>
      <c r="M60">
        <v>463</v>
      </c>
      <c r="N60">
        <v>0</v>
      </c>
      <c r="O60" t="s">
        <v>122</v>
      </c>
      <c r="P60" s="1" t="s">
        <v>123</v>
      </c>
      <c r="AF60" s="1" t="s">
        <v>124</v>
      </c>
      <c r="AG60" t="s">
        <v>445</v>
      </c>
      <c r="AH60" t="str">
        <f>VLOOKUP(AnalizaCzyste[[#This Row],[Jak się nazywa uczelnia którą ukończyłeś? (proszę o wybranie jednej uczelni podlegającej ocenie)]],KategorieUczelni[],2,0)</f>
        <v>Publiczna</v>
      </c>
      <c r="AI60">
        <v>2019</v>
      </c>
      <c r="AJ60" t="s">
        <v>148</v>
      </c>
      <c r="AK60" t="s">
        <v>601</v>
      </c>
      <c r="AL60" t="s">
        <v>162</v>
      </c>
      <c r="AM60" t="s">
        <v>162</v>
      </c>
      <c r="AN60" t="s">
        <v>129</v>
      </c>
      <c r="AO60" t="s">
        <v>129</v>
      </c>
      <c r="AP60" t="s">
        <v>129</v>
      </c>
      <c r="AQ60">
        <v>4</v>
      </c>
      <c r="AR60" t="s">
        <v>152</v>
      </c>
      <c r="AS60" t="s">
        <v>131</v>
      </c>
      <c r="AT60" t="s">
        <v>671</v>
      </c>
      <c r="AU60" t="s">
        <v>672</v>
      </c>
      <c r="AV60" t="s">
        <v>673</v>
      </c>
      <c r="AW60" t="s">
        <v>157</v>
      </c>
      <c r="AY60" s="1" t="s">
        <v>123</v>
      </c>
      <c r="CS60" s="1" t="s">
        <v>123</v>
      </c>
      <c r="DC60" s="1" t="s">
        <v>123</v>
      </c>
      <c r="DM60" s="1" t="s">
        <v>123</v>
      </c>
      <c r="EP60" s="1" t="s">
        <v>123</v>
      </c>
      <c r="EQ60" t="s">
        <v>180</v>
      </c>
      <c r="ER60" t="s">
        <v>132</v>
      </c>
      <c r="FP60" s="1" t="s">
        <v>123</v>
      </c>
      <c r="FQ60" t="s">
        <v>132</v>
      </c>
      <c r="FS60" t="s">
        <v>132</v>
      </c>
      <c r="GX60" t="s">
        <v>674</v>
      </c>
      <c r="GY60" t="s">
        <v>675</v>
      </c>
      <c r="GZ60" t="s">
        <v>676</v>
      </c>
      <c r="HA60" t="s">
        <v>140</v>
      </c>
      <c r="HB60">
        <v>1994</v>
      </c>
      <c r="HC60" t="str">
        <f>VLOOKUP(AnalizaCzyste[[#This Row],[Rok urodzenia]],KategorieWiekowe[],2,1)</f>
        <v>26-35 lat</v>
      </c>
      <c r="HD60" t="s">
        <v>483</v>
      </c>
    </row>
    <row r="61" spans="1:215" x14ac:dyDescent="0.45">
      <c r="A61">
        <v>80</v>
      </c>
      <c r="B61">
        <f>_xlfn.IFNA(VLOOKUP(AnalizaCzyste[[#This Row],[Zakończono wypełnianie]],Zakończone[],2,0),"BRAK")</f>
        <v>45</v>
      </c>
      <c r="C61">
        <f t="shared" si="1"/>
        <v>37</v>
      </c>
      <c r="D61" t="s">
        <v>370</v>
      </c>
      <c r="E61" t="s">
        <v>118</v>
      </c>
      <c r="F61" t="s">
        <v>774</v>
      </c>
      <c r="J61" t="s">
        <v>119</v>
      </c>
      <c r="K61" t="s">
        <v>811</v>
      </c>
      <c r="L61" t="s">
        <v>812</v>
      </c>
      <c r="M61">
        <v>1671</v>
      </c>
      <c r="N61">
        <v>0</v>
      </c>
      <c r="O61" t="s">
        <v>122</v>
      </c>
      <c r="P61" s="1" t="s">
        <v>123</v>
      </c>
      <c r="AF61" s="1" t="s">
        <v>124</v>
      </c>
      <c r="AG61" t="s">
        <v>813</v>
      </c>
      <c r="AH61" t="str">
        <f>VLOOKUP(AnalizaCzyste[[#This Row],[Jak się nazywa uczelnia którą ukończyłeś? (proszę o wybranie jednej uczelni podlegającej ocenie)]],KategorieUczelni[],2,0)</f>
        <v>Publiczna</v>
      </c>
      <c r="AI61">
        <v>1956</v>
      </c>
      <c r="AJ61" t="s">
        <v>148</v>
      </c>
      <c r="AK61" t="s">
        <v>601</v>
      </c>
      <c r="AL61" t="s">
        <v>162</v>
      </c>
      <c r="AM61" t="s">
        <v>162</v>
      </c>
      <c r="AN61" t="s">
        <v>150</v>
      </c>
      <c r="AO61" t="s">
        <v>236</v>
      </c>
      <c r="AP61" t="s">
        <v>236</v>
      </c>
      <c r="AQ61" t="s">
        <v>814</v>
      </c>
      <c r="AR61" t="s">
        <v>131</v>
      </c>
      <c r="AS61" t="s">
        <v>131</v>
      </c>
      <c r="AU61" t="s">
        <v>815</v>
      </c>
      <c r="AV61" t="s">
        <v>816</v>
      </c>
      <c r="AW61" t="s">
        <v>172</v>
      </c>
      <c r="AX61" t="s">
        <v>817</v>
      </c>
      <c r="AY61" s="1" t="s">
        <v>123</v>
      </c>
      <c r="CS61" s="1" t="s">
        <v>123</v>
      </c>
      <c r="DC61" s="1" t="s">
        <v>123</v>
      </c>
      <c r="DM61" s="1" t="s">
        <v>123</v>
      </c>
      <c r="EP61" s="1" t="s">
        <v>123</v>
      </c>
      <c r="EQ61" t="s">
        <v>180</v>
      </c>
      <c r="ER61" t="s">
        <v>132</v>
      </c>
      <c r="FP61" s="1" t="s">
        <v>123</v>
      </c>
      <c r="FQ61" t="s">
        <v>132</v>
      </c>
      <c r="FS61" t="s">
        <v>132</v>
      </c>
      <c r="GX61" t="s">
        <v>818</v>
      </c>
      <c r="GY61" t="s">
        <v>819</v>
      </c>
      <c r="GZ61" t="s">
        <v>820</v>
      </c>
      <c r="HA61" t="s">
        <v>140</v>
      </c>
      <c r="HB61">
        <v>1933</v>
      </c>
      <c r="HC61" t="str">
        <f>VLOOKUP(AnalizaCzyste[[#This Row],[Rok urodzenia]],KategorieWiekowe[],2,1)</f>
        <v>powyżej 65 lat</v>
      </c>
      <c r="HD61" t="s">
        <v>220</v>
      </c>
    </row>
    <row r="62" spans="1:215" x14ac:dyDescent="0.45">
      <c r="A62">
        <v>205</v>
      </c>
      <c r="B62">
        <f>_xlfn.IFNA(VLOOKUP(AnalizaCzyste[[#This Row],[Zakończono wypełnianie]],Zakończone[],2,0),"BRAK")</f>
        <v>114</v>
      </c>
      <c r="C62">
        <f t="shared" si="1"/>
        <v>35</v>
      </c>
      <c r="D62" t="s">
        <v>1709</v>
      </c>
      <c r="E62" t="s">
        <v>118</v>
      </c>
      <c r="J62" t="s">
        <v>119</v>
      </c>
      <c r="K62" t="s">
        <v>1710</v>
      </c>
      <c r="L62" t="s">
        <v>1711</v>
      </c>
      <c r="M62">
        <v>588</v>
      </c>
      <c r="N62">
        <v>0</v>
      </c>
      <c r="O62" t="s">
        <v>122</v>
      </c>
      <c r="P62" s="1" t="s">
        <v>123</v>
      </c>
      <c r="AF62" s="1" t="s">
        <v>124</v>
      </c>
      <c r="AG62" t="s">
        <v>1712</v>
      </c>
      <c r="AH62" t="str">
        <f>VLOOKUP(AnalizaCzyste[[#This Row],[Jak się nazywa uczelnia którą ukończyłeś? (proszę o wybranie jednej uczelni podlegającej ocenie)]],KategorieUczelni[],2,0)</f>
        <v>Publiczna</v>
      </c>
      <c r="AI62">
        <v>2012</v>
      </c>
      <c r="AJ62" t="s">
        <v>148</v>
      </c>
      <c r="AK62" t="s">
        <v>1713</v>
      </c>
      <c r="AL62" t="s">
        <v>162</v>
      </c>
      <c r="AM62" t="s">
        <v>162</v>
      </c>
      <c r="AN62" t="s">
        <v>169</v>
      </c>
      <c r="AO62" t="s">
        <v>129</v>
      </c>
      <c r="AP62" t="s">
        <v>129</v>
      </c>
      <c r="AQ62" t="s">
        <v>1714</v>
      </c>
      <c r="AR62" t="s">
        <v>131</v>
      </c>
      <c r="AS62" t="s">
        <v>131</v>
      </c>
      <c r="AT62" t="s">
        <v>1715</v>
      </c>
      <c r="AU62" t="s">
        <v>1716</v>
      </c>
      <c r="AV62" t="s">
        <v>1717</v>
      </c>
      <c r="AW62" t="s">
        <v>157</v>
      </c>
      <c r="AY62" s="1" t="s">
        <v>123</v>
      </c>
      <c r="CS62" s="1" t="s">
        <v>123</v>
      </c>
      <c r="DC62" s="1" t="s">
        <v>123</v>
      </c>
      <c r="DM62" s="1" t="s">
        <v>123</v>
      </c>
      <c r="EP62" s="1" t="s">
        <v>123</v>
      </c>
      <c r="FP62" s="1" t="s">
        <v>123</v>
      </c>
      <c r="GX62" t="s">
        <v>1718</v>
      </c>
      <c r="GY62" t="s">
        <v>1719</v>
      </c>
      <c r="GZ62" t="s">
        <v>1720</v>
      </c>
      <c r="HA62" t="s">
        <v>140</v>
      </c>
      <c r="HB62">
        <v>1985</v>
      </c>
      <c r="HC62" t="str">
        <f>VLOOKUP(AnalizaCzyste[[#This Row],[Rok urodzenia]],KategorieWiekowe[],2,1)</f>
        <v>26-35 lat</v>
      </c>
      <c r="HD62" t="s">
        <v>246</v>
      </c>
      <c r="HF62" t="s">
        <v>1721</v>
      </c>
      <c r="HG62" t="s">
        <v>532</v>
      </c>
    </row>
    <row r="63" spans="1:215" x14ac:dyDescent="0.45">
      <c r="A63">
        <v>67</v>
      </c>
      <c r="B63">
        <f>_xlfn.IFNA(VLOOKUP(AnalizaCzyste[[#This Row],[Zakończono wypełnianie]],Zakończone[],2,0),"BRAK")</f>
        <v>38</v>
      </c>
      <c r="C63">
        <f t="shared" si="1"/>
        <v>37</v>
      </c>
      <c r="D63" t="s">
        <v>698</v>
      </c>
      <c r="E63" t="s">
        <v>118</v>
      </c>
      <c r="F63" t="s">
        <v>359</v>
      </c>
      <c r="J63" t="s">
        <v>119</v>
      </c>
      <c r="K63" t="s">
        <v>699</v>
      </c>
      <c r="L63" t="s">
        <v>700</v>
      </c>
      <c r="M63">
        <v>1910</v>
      </c>
      <c r="N63">
        <v>0</v>
      </c>
      <c r="O63" t="s">
        <v>122</v>
      </c>
      <c r="P63" s="1" t="s">
        <v>123</v>
      </c>
      <c r="AF63" s="1" t="s">
        <v>124</v>
      </c>
      <c r="AG63" t="s">
        <v>701</v>
      </c>
      <c r="AH63" t="str">
        <f>VLOOKUP(AnalizaCzyste[[#This Row],[Jak się nazywa uczelnia którą ukończyłeś? (proszę o wybranie jednej uczelni podlegającej ocenie)]],KategorieUczelni[],2,0)</f>
        <v>Publiczna</v>
      </c>
      <c r="AI63">
        <v>2020</v>
      </c>
      <c r="AJ63" t="s">
        <v>148</v>
      </c>
      <c r="AK63" t="s">
        <v>702</v>
      </c>
      <c r="AL63" t="s">
        <v>162</v>
      </c>
      <c r="AM63" t="s">
        <v>162</v>
      </c>
      <c r="AN63" t="s">
        <v>236</v>
      </c>
      <c r="AO63" t="s">
        <v>236</v>
      </c>
      <c r="AP63" t="s">
        <v>132</v>
      </c>
      <c r="AQ63" t="s">
        <v>703</v>
      </c>
      <c r="AR63" t="s">
        <v>131</v>
      </c>
      <c r="AS63" t="s">
        <v>132</v>
      </c>
      <c r="AT63" t="s">
        <v>704</v>
      </c>
      <c r="AU63" t="s">
        <v>705</v>
      </c>
      <c r="AV63" t="s">
        <v>706</v>
      </c>
      <c r="AW63" t="s">
        <v>157</v>
      </c>
      <c r="AY63" s="1" t="s">
        <v>123</v>
      </c>
      <c r="CS63" s="1" t="s">
        <v>123</v>
      </c>
      <c r="DC63" s="1" t="s">
        <v>123</v>
      </c>
      <c r="DM63" s="1" t="s">
        <v>123</v>
      </c>
      <c r="EP63" s="1" t="s">
        <v>123</v>
      </c>
      <c r="EQ63" t="s">
        <v>180</v>
      </c>
      <c r="ER63" t="s">
        <v>132</v>
      </c>
      <c r="FP63" s="1" t="s">
        <v>123</v>
      </c>
      <c r="FQ63" t="s">
        <v>132</v>
      </c>
      <c r="FS63" t="s">
        <v>132</v>
      </c>
      <c r="GX63" t="s">
        <v>707</v>
      </c>
      <c r="GY63" t="s">
        <v>708</v>
      </c>
      <c r="GZ63" t="s">
        <v>709</v>
      </c>
      <c r="HA63" t="s">
        <v>140</v>
      </c>
      <c r="HB63">
        <v>1994</v>
      </c>
      <c r="HC63" t="str">
        <f>VLOOKUP(AnalizaCzyste[[#This Row],[Rok urodzenia]],KategorieWiekowe[],2,1)</f>
        <v>26-35 lat</v>
      </c>
      <c r="HD63" t="s">
        <v>220</v>
      </c>
    </row>
    <row r="64" spans="1:215" x14ac:dyDescent="0.45">
      <c r="A64">
        <v>214</v>
      </c>
      <c r="B64">
        <f>_xlfn.IFNA(VLOOKUP(AnalizaCzyste[[#This Row],[Zakończono wypełnianie]],Zakończone[],2,0),"BRAK")</f>
        <v>117</v>
      </c>
      <c r="C64">
        <f t="shared" si="1"/>
        <v>35</v>
      </c>
      <c r="D64" t="s">
        <v>1762</v>
      </c>
      <c r="E64" t="s">
        <v>118</v>
      </c>
      <c r="J64" t="s">
        <v>119</v>
      </c>
      <c r="K64" t="s">
        <v>1763</v>
      </c>
      <c r="L64" t="s">
        <v>1764</v>
      </c>
      <c r="M64">
        <v>336</v>
      </c>
      <c r="N64">
        <v>0</v>
      </c>
      <c r="O64" t="s">
        <v>122</v>
      </c>
      <c r="P64" s="1" t="s">
        <v>123</v>
      </c>
      <c r="AF64" s="1" t="s">
        <v>124</v>
      </c>
      <c r="AG64" t="s">
        <v>191</v>
      </c>
      <c r="AH64" t="str">
        <f>VLOOKUP(AnalizaCzyste[[#This Row],[Jak się nazywa uczelnia którą ukończyłeś? (proszę o wybranie jednej uczelni podlegającej ocenie)]],KategorieUczelni[],2,0)</f>
        <v>Publiczna</v>
      </c>
      <c r="AI64">
        <v>2002</v>
      </c>
      <c r="AJ64" t="s">
        <v>126</v>
      </c>
      <c r="AK64" t="s">
        <v>1176</v>
      </c>
      <c r="AL64" t="s">
        <v>129</v>
      </c>
      <c r="AM64" t="s">
        <v>129</v>
      </c>
      <c r="AN64" t="s">
        <v>129</v>
      </c>
      <c r="AO64" t="s">
        <v>129</v>
      </c>
      <c r="AP64" t="s">
        <v>129</v>
      </c>
      <c r="AQ64" t="s">
        <v>1765</v>
      </c>
      <c r="AR64" t="s">
        <v>302</v>
      </c>
      <c r="AS64" t="s">
        <v>226</v>
      </c>
      <c r="AU64" t="s">
        <v>1766</v>
      </c>
      <c r="AV64" t="s">
        <v>386</v>
      </c>
      <c r="AW64" t="s">
        <v>157</v>
      </c>
      <c r="AX64" t="s">
        <v>1767</v>
      </c>
      <c r="AY64" s="1" t="s">
        <v>123</v>
      </c>
      <c r="CS64" s="1" t="s">
        <v>123</v>
      </c>
      <c r="DC64" s="1" t="s">
        <v>123</v>
      </c>
      <c r="DM64" s="1" t="s">
        <v>123</v>
      </c>
      <c r="EP64" s="1" t="s">
        <v>123</v>
      </c>
      <c r="FP64" s="1" t="s">
        <v>123</v>
      </c>
      <c r="GX64" t="s">
        <v>1768</v>
      </c>
      <c r="GY64" t="s">
        <v>1769</v>
      </c>
      <c r="GZ64" t="s">
        <v>1769</v>
      </c>
      <c r="HA64" t="s">
        <v>186</v>
      </c>
      <c r="HB64">
        <v>1977</v>
      </c>
      <c r="HC64" t="str">
        <f>VLOOKUP(AnalizaCzyste[[#This Row],[Rok urodzenia]],KategorieWiekowe[],2,1)</f>
        <v>36-45 lat</v>
      </c>
      <c r="HD64" t="s">
        <v>141</v>
      </c>
      <c r="HF64" t="s">
        <v>386</v>
      </c>
      <c r="HG64" t="s">
        <v>386</v>
      </c>
    </row>
    <row r="65" spans="1:216" x14ac:dyDescent="0.45">
      <c r="A65">
        <v>99</v>
      </c>
      <c r="B65">
        <f>_xlfn.IFNA(VLOOKUP(AnalizaCzyste[[#This Row],[Zakończono wypełnianie]],Zakończone[],2,0),"BRAK")</f>
        <v>61</v>
      </c>
      <c r="C65">
        <f t="shared" si="1"/>
        <v>33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 t="str">
        <f>VLOOKUP(AnalizaCzyste[[#This Row],[Jak się nazywa uczelnia którą ukończyłeś? (proszę o wybranie jednej uczelni podlegającej ocenie)]],KategorieUczelni[],2,0)</f>
        <v>Niepubliczna</v>
      </c>
      <c r="AI65">
        <v>2015</v>
      </c>
      <c r="AJ65" t="s">
        <v>148</v>
      </c>
      <c r="AK65" t="s">
        <v>988</v>
      </c>
      <c r="AL65" t="s">
        <v>169</v>
      </c>
      <c r="AM65" t="s">
        <v>150</v>
      </c>
      <c r="AN65" t="s">
        <v>151</v>
      </c>
      <c r="AO65" t="s">
        <v>151</v>
      </c>
      <c r="AP65" t="s">
        <v>151</v>
      </c>
      <c r="AQ65" t="s">
        <v>883</v>
      </c>
      <c r="AR65" t="s">
        <v>131</v>
      </c>
      <c r="AS65" t="s">
        <v>302</v>
      </c>
      <c r="AU65" t="s">
        <v>989</v>
      </c>
      <c r="AV65" t="s">
        <v>990</v>
      </c>
      <c r="AW65" t="s">
        <v>157</v>
      </c>
      <c r="AY65" s="1" t="s">
        <v>123</v>
      </c>
      <c r="CS65" s="1" t="s">
        <v>123</v>
      </c>
      <c r="DC65" s="1" t="s">
        <v>123</v>
      </c>
      <c r="DM65" s="1" t="s">
        <v>123</v>
      </c>
      <c r="EP65" s="1" t="s">
        <v>123</v>
      </c>
      <c r="FP65" s="1" t="s">
        <v>123</v>
      </c>
      <c r="FQ65" t="s">
        <v>132</v>
      </c>
      <c r="GX65" t="s">
        <v>786</v>
      </c>
      <c r="GY65" t="s">
        <v>991</v>
      </c>
      <c r="GZ65" t="s">
        <v>820</v>
      </c>
      <c r="HA65" t="s">
        <v>140</v>
      </c>
      <c r="HB65">
        <v>1991</v>
      </c>
      <c r="HC65" t="str">
        <f>VLOOKUP(AnalizaCzyste[[#This Row],[Rok urodzenia]],KategorieWiekowe[],2,1)</f>
        <v>26-35 lat</v>
      </c>
      <c r="HD65" t="s">
        <v>220</v>
      </c>
    </row>
    <row r="66" spans="1:216" x14ac:dyDescent="0.45">
      <c r="A66">
        <v>258</v>
      </c>
      <c r="B66">
        <f>_xlfn.IFNA(VLOOKUP(AnalizaCzyste[[#This Row],[Zakończono wypełnianie]],Zakończone[],2,0),"BRAK")</f>
        <v>135</v>
      </c>
      <c r="C66">
        <f t="shared" si="1"/>
        <v>57</v>
      </c>
      <c r="D66" t="s">
        <v>2014</v>
      </c>
      <c r="E66" t="s">
        <v>118</v>
      </c>
      <c r="J66" t="s">
        <v>119</v>
      </c>
      <c r="K66" t="s">
        <v>2028</v>
      </c>
      <c r="L66" t="s">
        <v>2029</v>
      </c>
      <c r="M66">
        <v>721</v>
      </c>
      <c r="N66">
        <v>0</v>
      </c>
      <c r="O66" t="s">
        <v>122</v>
      </c>
      <c r="P66" s="1" t="s">
        <v>123</v>
      </c>
      <c r="AF66" s="1" t="s">
        <v>124</v>
      </c>
      <c r="AG66" t="s">
        <v>234</v>
      </c>
      <c r="AH66" t="str">
        <f>VLOOKUP(AnalizaCzyste[[#This Row],[Jak się nazywa uczelnia którą ukończyłeś? (proszę o wybranie jednej uczelni podlegającej ocenie)]],KategorieUczelni[],2,0)</f>
        <v>Publiczna</v>
      </c>
      <c r="AI66">
        <v>1985</v>
      </c>
      <c r="AJ66" t="s">
        <v>148</v>
      </c>
      <c r="AK66" t="s">
        <v>2030</v>
      </c>
      <c r="AL66" t="s">
        <v>169</v>
      </c>
      <c r="AM66" t="s">
        <v>169</v>
      </c>
      <c r="AN66" t="s">
        <v>150</v>
      </c>
      <c r="AO66" t="s">
        <v>128</v>
      </c>
      <c r="AP66" t="s">
        <v>128</v>
      </c>
      <c r="AQ66">
        <v>4</v>
      </c>
      <c r="AR66" t="s">
        <v>131</v>
      </c>
      <c r="AS66" t="s">
        <v>131</v>
      </c>
      <c r="AT66" t="s">
        <v>2031</v>
      </c>
      <c r="AU66" t="s">
        <v>1229</v>
      </c>
      <c r="AV66" t="s">
        <v>1229</v>
      </c>
      <c r="AW66" t="s">
        <v>157</v>
      </c>
      <c r="AX66" t="s">
        <v>2032</v>
      </c>
      <c r="AY66" s="1" t="s">
        <v>123</v>
      </c>
      <c r="CS66" s="1" t="s">
        <v>123</v>
      </c>
      <c r="DC66" s="1" t="s">
        <v>123</v>
      </c>
      <c r="DM66" s="1" t="s">
        <v>174</v>
      </c>
      <c r="DN66" t="s">
        <v>394</v>
      </c>
      <c r="DR66" t="s">
        <v>234</v>
      </c>
      <c r="DS66" t="s">
        <v>162</v>
      </c>
      <c r="DT66" t="s">
        <v>162</v>
      </c>
      <c r="DU66" t="s">
        <v>162</v>
      </c>
      <c r="DV66" t="s">
        <v>132</v>
      </c>
      <c r="DW66" t="s">
        <v>132</v>
      </c>
      <c r="DX66" t="s">
        <v>132</v>
      </c>
      <c r="DY66" t="s">
        <v>162</v>
      </c>
      <c r="DZ66">
        <v>20</v>
      </c>
      <c r="EA66">
        <v>60</v>
      </c>
      <c r="EB66">
        <v>0</v>
      </c>
      <c r="EC66">
        <v>0</v>
      </c>
      <c r="ED66">
        <v>0</v>
      </c>
      <c r="EE66">
        <v>20</v>
      </c>
      <c r="EF66">
        <v>0</v>
      </c>
      <c r="EH66">
        <v>20</v>
      </c>
      <c r="EI66">
        <v>60</v>
      </c>
      <c r="EJ66">
        <v>0</v>
      </c>
      <c r="EK66">
        <v>0</v>
      </c>
      <c r="EL66">
        <v>0</v>
      </c>
      <c r="EM66">
        <v>20</v>
      </c>
      <c r="EN66">
        <v>0</v>
      </c>
      <c r="EP66" s="1" t="s">
        <v>123</v>
      </c>
      <c r="FP66" s="1" t="s">
        <v>123</v>
      </c>
      <c r="GX66" t="s">
        <v>2033</v>
      </c>
      <c r="GY66" t="s">
        <v>1229</v>
      </c>
      <c r="GZ66" t="s">
        <v>1229</v>
      </c>
      <c r="HA66" t="s">
        <v>186</v>
      </c>
      <c r="HB66">
        <v>1961</v>
      </c>
      <c r="HC66" t="str">
        <f>VLOOKUP(AnalizaCzyste[[#This Row],[Rok urodzenia]],KategorieWiekowe[],2,1)</f>
        <v>56-65 lat</v>
      </c>
      <c r="HD66" t="s">
        <v>141</v>
      </c>
    </row>
    <row r="67" spans="1:216" x14ac:dyDescent="0.45">
      <c r="A67">
        <v>21</v>
      </c>
      <c r="B67">
        <f>_xlfn.IFNA(VLOOKUP(AnalizaCzyste[[#This Row],[Zakończono wypełnianie]],Zakończone[],2,0),"BRAK")</f>
        <v>18</v>
      </c>
      <c r="C67">
        <f t="shared" ref="C67:C98" si="2">COUNTA(O67:HH67)</f>
        <v>78</v>
      </c>
      <c r="D67" t="s">
        <v>378</v>
      </c>
      <c r="E67" t="s">
        <v>118</v>
      </c>
      <c r="J67" t="s">
        <v>119</v>
      </c>
      <c r="K67" t="s">
        <v>379</v>
      </c>
      <c r="L67" t="s">
        <v>380</v>
      </c>
      <c r="M67">
        <v>5438</v>
      </c>
      <c r="N67">
        <v>0</v>
      </c>
      <c r="O67" t="s">
        <v>122</v>
      </c>
      <c r="P67" s="1" t="s">
        <v>123</v>
      </c>
      <c r="AF67" s="1" t="s">
        <v>124</v>
      </c>
      <c r="AG67" t="s">
        <v>2268</v>
      </c>
      <c r="AH67" t="str">
        <f>VLOOKUP(AnalizaCzyste[[#This Row],[Jak się nazywa uczelnia którą ukończyłeś? (proszę o wybranie jednej uczelni podlegającej ocenie)]],KategorieUczelni[],2,0)</f>
        <v>Publiczna</v>
      </c>
      <c r="AI67">
        <v>1985</v>
      </c>
      <c r="AJ67" t="s">
        <v>148</v>
      </c>
      <c r="AK67" t="s">
        <v>382</v>
      </c>
      <c r="AL67" t="s">
        <v>169</v>
      </c>
      <c r="AM67" t="s">
        <v>169</v>
      </c>
      <c r="AN67" t="s">
        <v>128</v>
      </c>
      <c r="AO67" t="s">
        <v>236</v>
      </c>
      <c r="AP67" t="s">
        <v>236</v>
      </c>
      <c r="AQ67" t="s">
        <v>383</v>
      </c>
      <c r="AR67" t="s">
        <v>152</v>
      </c>
      <c r="AS67" t="s">
        <v>152</v>
      </c>
      <c r="AT67" t="s">
        <v>384</v>
      </c>
      <c r="AU67" t="s">
        <v>385</v>
      </c>
      <c r="AV67" t="s">
        <v>386</v>
      </c>
      <c r="AW67" t="s">
        <v>172</v>
      </c>
      <c r="AY67" s="1" t="s">
        <v>123</v>
      </c>
      <c r="CS67" s="1" t="s">
        <v>387</v>
      </c>
      <c r="CT67" t="s">
        <v>388</v>
      </c>
      <c r="CU67" t="s">
        <v>389</v>
      </c>
      <c r="CV67" t="s">
        <v>169</v>
      </c>
      <c r="CW67" t="s">
        <v>169</v>
      </c>
      <c r="CX67" t="s">
        <v>169</v>
      </c>
      <c r="CY67" t="s">
        <v>169</v>
      </c>
      <c r="CZ67" t="s">
        <v>169</v>
      </c>
      <c r="DA67" t="s">
        <v>169</v>
      </c>
      <c r="DB67" t="s">
        <v>390</v>
      </c>
      <c r="DC67" s="1" t="s">
        <v>214</v>
      </c>
      <c r="DD67" t="s">
        <v>388</v>
      </c>
      <c r="DE67" t="s">
        <v>2274</v>
      </c>
      <c r="DF67" t="s">
        <v>169</v>
      </c>
      <c r="DG67" t="s">
        <v>169</v>
      </c>
      <c r="DH67" t="s">
        <v>169</v>
      </c>
      <c r="DI67" t="s">
        <v>169</v>
      </c>
      <c r="DJ67" t="s">
        <v>169</v>
      </c>
      <c r="DK67" t="s">
        <v>169</v>
      </c>
      <c r="DL67" t="s">
        <v>393</v>
      </c>
      <c r="DM67" s="1" t="s">
        <v>174</v>
      </c>
      <c r="DN67" t="s">
        <v>394</v>
      </c>
      <c r="DR67" t="s">
        <v>391</v>
      </c>
      <c r="DS67" t="s">
        <v>169</v>
      </c>
      <c r="DT67" t="s">
        <v>169</v>
      </c>
      <c r="DU67" t="s">
        <v>169</v>
      </c>
      <c r="DV67" t="s">
        <v>169</v>
      </c>
      <c r="DW67" t="s">
        <v>169</v>
      </c>
      <c r="DX67" t="s">
        <v>169</v>
      </c>
      <c r="DY67" t="s">
        <v>169</v>
      </c>
      <c r="DZ67">
        <v>20</v>
      </c>
      <c r="EA67">
        <v>20</v>
      </c>
      <c r="EB67">
        <v>0</v>
      </c>
      <c r="EC67">
        <v>15</v>
      </c>
      <c r="ED67">
        <v>30</v>
      </c>
      <c r="EE67">
        <v>0</v>
      </c>
      <c r="EF67">
        <v>15</v>
      </c>
      <c r="EH67">
        <v>30</v>
      </c>
      <c r="EI67">
        <v>20</v>
      </c>
      <c r="EJ67">
        <v>0</v>
      </c>
      <c r="EK67">
        <v>10</v>
      </c>
      <c r="EL67">
        <v>25</v>
      </c>
      <c r="EM67">
        <v>0</v>
      </c>
      <c r="EN67">
        <v>15</v>
      </c>
      <c r="EP67" s="1" t="s">
        <v>123</v>
      </c>
      <c r="EQ67" t="s">
        <v>178</v>
      </c>
      <c r="ER67" t="s">
        <v>132</v>
      </c>
      <c r="FP67" s="1" t="s">
        <v>123</v>
      </c>
      <c r="FQ67" t="s">
        <v>132</v>
      </c>
      <c r="FS67" t="s">
        <v>132</v>
      </c>
      <c r="GX67" t="s">
        <v>395</v>
      </c>
      <c r="GY67" t="s">
        <v>396</v>
      </c>
      <c r="GZ67" t="s">
        <v>397</v>
      </c>
      <c r="HA67" t="s">
        <v>186</v>
      </c>
      <c r="HB67">
        <v>1960</v>
      </c>
      <c r="HC67" t="str">
        <f>VLOOKUP(AnalizaCzyste[[#This Row],[Rok urodzenia]],KategorieWiekowe[],2,1)</f>
        <v>56-65 lat</v>
      </c>
      <c r="HD67" t="s">
        <v>398</v>
      </c>
    </row>
    <row r="68" spans="1:216" x14ac:dyDescent="0.45">
      <c r="A68">
        <v>100</v>
      </c>
      <c r="B68">
        <f>_xlfn.IFNA(VLOOKUP(AnalizaCzyste[[#This Row],[Zakończono wypełnianie]],Zakończone[],2,0),"BRAK")</f>
        <v>62</v>
      </c>
      <c r="C68">
        <f t="shared" si="2"/>
        <v>39</v>
      </c>
      <c r="D68" t="s">
        <v>984</v>
      </c>
      <c r="E68" t="s">
        <v>118</v>
      </c>
      <c r="F68" t="s">
        <v>992</v>
      </c>
      <c r="J68" t="s">
        <v>119</v>
      </c>
      <c r="K68" t="s">
        <v>993</v>
      </c>
      <c r="L68" t="s">
        <v>994</v>
      </c>
      <c r="M68">
        <v>1026</v>
      </c>
      <c r="N68">
        <v>0</v>
      </c>
      <c r="O68" t="s">
        <v>122</v>
      </c>
      <c r="P68" s="1" t="s">
        <v>123</v>
      </c>
      <c r="AF68" s="1" t="s">
        <v>124</v>
      </c>
      <c r="AG68" t="s">
        <v>995</v>
      </c>
      <c r="AH68" t="str">
        <f>VLOOKUP(AnalizaCzyste[[#This Row],[Jak się nazywa uczelnia którą ukończyłeś? (proszę o wybranie jednej uczelni podlegającej ocenie)]],KategorieUczelni[],2,0)</f>
        <v>Publiczna</v>
      </c>
      <c r="AI68">
        <v>2010</v>
      </c>
      <c r="AJ68" t="s">
        <v>148</v>
      </c>
      <c r="AK68" t="s">
        <v>429</v>
      </c>
      <c r="AL68" t="s">
        <v>169</v>
      </c>
      <c r="AM68" t="s">
        <v>169</v>
      </c>
      <c r="AN68" t="s">
        <v>150</v>
      </c>
      <c r="AO68" t="s">
        <v>236</v>
      </c>
      <c r="AP68" t="s">
        <v>128</v>
      </c>
      <c r="AQ68" t="s">
        <v>883</v>
      </c>
      <c r="AR68" t="s">
        <v>152</v>
      </c>
      <c r="AS68" t="s">
        <v>131</v>
      </c>
      <c r="AT68" t="s">
        <v>996</v>
      </c>
      <c r="AU68" t="s">
        <v>794</v>
      </c>
      <c r="AV68" t="s">
        <v>780</v>
      </c>
      <c r="AW68" t="s">
        <v>230</v>
      </c>
      <c r="AY68" s="1" t="s">
        <v>123</v>
      </c>
      <c r="CS68" s="1" t="s">
        <v>123</v>
      </c>
      <c r="DC68" s="1" t="s">
        <v>123</v>
      </c>
      <c r="DM68" s="1" t="s">
        <v>123</v>
      </c>
      <c r="EP68" s="1" t="s">
        <v>123</v>
      </c>
      <c r="EQ68" t="s">
        <v>180</v>
      </c>
      <c r="ER68" t="s">
        <v>132</v>
      </c>
      <c r="FP68" s="1" t="s">
        <v>123</v>
      </c>
      <c r="FQ68" t="s">
        <v>132</v>
      </c>
      <c r="FS68" t="s">
        <v>132</v>
      </c>
      <c r="GX68" t="s">
        <v>786</v>
      </c>
      <c r="GY68" t="s">
        <v>819</v>
      </c>
      <c r="GZ68" t="s">
        <v>820</v>
      </c>
      <c r="HA68" t="s">
        <v>186</v>
      </c>
      <c r="HB68">
        <v>1986</v>
      </c>
      <c r="HC68" t="str">
        <f>VLOOKUP(AnalizaCzyste[[#This Row],[Rok urodzenia]],KategorieWiekowe[],2,1)</f>
        <v>26-35 lat</v>
      </c>
      <c r="HD68" t="s">
        <v>483</v>
      </c>
      <c r="HF68" t="s">
        <v>386</v>
      </c>
      <c r="HG68" t="s">
        <v>386</v>
      </c>
    </row>
    <row r="69" spans="1:216" x14ac:dyDescent="0.45">
      <c r="A69">
        <v>83</v>
      </c>
      <c r="B69">
        <f>_xlfn.IFNA(VLOOKUP(AnalizaCzyste[[#This Row],[Zakończono wypełnianie]],Zakończone[],2,0),"BRAK")</f>
        <v>48</v>
      </c>
      <c r="C69">
        <f t="shared" si="2"/>
        <v>77</v>
      </c>
      <c r="D69" t="s">
        <v>837</v>
      </c>
      <c r="E69" t="s">
        <v>118</v>
      </c>
      <c r="J69" t="s">
        <v>119</v>
      </c>
      <c r="K69" t="s">
        <v>838</v>
      </c>
      <c r="L69" t="s">
        <v>839</v>
      </c>
      <c r="M69">
        <v>3312</v>
      </c>
      <c r="N69">
        <v>0</v>
      </c>
      <c r="O69" t="s">
        <v>122</v>
      </c>
      <c r="P69" s="1" t="s">
        <v>123</v>
      </c>
      <c r="AF69" s="1" t="s">
        <v>124</v>
      </c>
      <c r="AG69" s="20" t="s">
        <v>191</v>
      </c>
      <c r="AH69" s="20" t="str">
        <f>VLOOKUP(AnalizaCzyste[[#This Row],[Jak się nazywa uczelnia którą ukończyłeś? (proszę o wybranie jednej uczelni podlegającej ocenie)]],KategorieUczelni[],2,0)</f>
        <v>Publiczna</v>
      </c>
      <c r="AI69">
        <v>1978</v>
      </c>
      <c r="AJ69" t="s">
        <v>126</v>
      </c>
      <c r="AK69" t="s">
        <v>841</v>
      </c>
      <c r="AL69" t="s">
        <v>169</v>
      </c>
      <c r="AM69" t="s">
        <v>169</v>
      </c>
      <c r="AN69" t="s">
        <v>151</v>
      </c>
      <c r="AO69" t="s">
        <v>150</v>
      </c>
      <c r="AP69" t="s">
        <v>150</v>
      </c>
      <c r="AQ69">
        <v>2</v>
      </c>
      <c r="AR69" t="s">
        <v>302</v>
      </c>
      <c r="AS69" t="s">
        <v>226</v>
      </c>
      <c r="AT69" t="s">
        <v>842</v>
      </c>
      <c r="AU69" t="s">
        <v>843</v>
      </c>
      <c r="AV69" t="s">
        <v>386</v>
      </c>
      <c r="AW69" t="s">
        <v>157</v>
      </c>
      <c r="AY69" s="1" t="s">
        <v>159</v>
      </c>
      <c r="AZ69">
        <v>2</v>
      </c>
      <c r="BA69" t="s">
        <v>191</v>
      </c>
      <c r="BB69">
        <v>2005</v>
      </c>
      <c r="BC69" t="s">
        <v>126</v>
      </c>
      <c r="BD69" t="s">
        <v>844</v>
      </c>
      <c r="BE69" t="s">
        <v>150</v>
      </c>
      <c r="BF69" t="s">
        <v>150</v>
      </c>
      <c r="BG69" t="s">
        <v>169</v>
      </c>
      <c r="BH69" t="s">
        <v>162</v>
      </c>
      <c r="BI69" t="s">
        <v>162</v>
      </c>
      <c r="BJ69">
        <v>3</v>
      </c>
      <c r="BK69" t="s">
        <v>845</v>
      </c>
      <c r="BL69" t="s">
        <v>157</v>
      </c>
      <c r="BN69" t="s">
        <v>148</v>
      </c>
      <c r="BO69" t="s">
        <v>166</v>
      </c>
      <c r="BP69" t="s">
        <v>191</v>
      </c>
      <c r="BQ69">
        <v>2007</v>
      </c>
      <c r="BR69" t="s">
        <v>126</v>
      </c>
      <c r="BS69" t="s">
        <v>844</v>
      </c>
      <c r="BT69" t="s">
        <v>150</v>
      </c>
      <c r="BU69" t="s">
        <v>150</v>
      </c>
      <c r="BV69" t="s">
        <v>150</v>
      </c>
      <c r="BW69" t="s">
        <v>162</v>
      </c>
      <c r="BX69" t="s">
        <v>162</v>
      </c>
      <c r="BY69">
        <v>3</v>
      </c>
      <c r="BZ69" t="s">
        <v>148</v>
      </c>
      <c r="CA69" t="s">
        <v>157</v>
      </c>
      <c r="CC69" t="s">
        <v>148</v>
      </c>
      <c r="CD69" t="s">
        <v>173</v>
      </c>
      <c r="CS69" s="1" t="s">
        <v>123</v>
      </c>
      <c r="DC69" s="1" t="s">
        <v>214</v>
      </c>
      <c r="DD69" t="s">
        <v>2275</v>
      </c>
      <c r="DE69" t="s">
        <v>2276</v>
      </c>
      <c r="DF69" t="s">
        <v>150</v>
      </c>
      <c r="DG69" t="s">
        <v>150</v>
      </c>
      <c r="DH69" t="s">
        <v>150</v>
      </c>
      <c r="DI69" t="s">
        <v>150</v>
      </c>
      <c r="DJ69" t="s">
        <v>150</v>
      </c>
      <c r="DK69" t="s">
        <v>162</v>
      </c>
      <c r="DL69" t="s">
        <v>848</v>
      </c>
      <c r="DM69" s="1" t="s">
        <v>123</v>
      </c>
      <c r="EP69" s="1" t="s">
        <v>123</v>
      </c>
      <c r="EQ69" t="s">
        <v>180</v>
      </c>
      <c r="ER69" t="s">
        <v>132</v>
      </c>
      <c r="FP69" s="1" t="s">
        <v>123</v>
      </c>
      <c r="FQ69" t="s">
        <v>132</v>
      </c>
      <c r="FS69" t="s">
        <v>132</v>
      </c>
      <c r="GX69" t="s">
        <v>849</v>
      </c>
      <c r="GY69" t="s">
        <v>850</v>
      </c>
      <c r="GZ69" t="s">
        <v>851</v>
      </c>
      <c r="HA69" t="s">
        <v>186</v>
      </c>
      <c r="HB69">
        <v>1954</v>
      </c>
      <c r="HC69" t="str">
        <f>VLOOKUP(AnalizaCzyste[[#This Row],[Rok urodzenia]],KategorieWiekowe[],2,1)</f>
        <v>powyżej 65 lat</v>
      </c>
      <c r="HD69" t="s">
        <v>141</v>
      </c>
      <c r="HF69" t="s">
        <v>852</v>
      </c>
      <c r="HG69" t="s">
        <v>853</v>
      </c>
    </row>
    <row r="70" spans="1:216" x14ac:dyDescent="0.45">
      <c r="A70">
        <v>135</v>
      </c>
      <c r="B70">
        <f>_xlfn.IFNA(VLOOKUP(AnalizaCzyste[[#This Row],[Zakończono wypełnianie]],Zakończone[],2,0),"BRAK")</f>
        <v>82</v>
      </c>
      <c r="C70">
        <f t="shared" si="2"/>
        <v>69</v>
      </c>
      <c r="D70" t="s">
        <v>1264</v>
      </c>
      <c r="E70" t="s">
        <v>118</v>
      </c>
      <c r="F70" t="s">
        <v>1265</v>
      </c>
      <c r="J70" t="s">
        <v>119</v>
      </c>
      <c r="K70" t="s">
        <v>1266</v>
      </c>
      <c r="L70" t="s">
        <v>1267</v>
      </c>
      <c r="M70">
        <v>2127</v>
      </c>
      <c r="N70">
        <v>0</v>
      </c>
      <c r="O70" t="s">
        <v>122</v>
      </c>
      <c r="P70" s="1" t="s">
        <v>123</v>
      </c>
      <c r="AF70" s="1" t="s">
        <v>124</v>
      </c>
      <c r="AG70" t="s">
        <v>191</v>
      </c>
      <c r="AH70" t="str">
        <f>VLOOKUP(AnalizaCzyste[[#This Row],[Jak się nazywa uczelnia którą ukończyłeś? (proszę o wybranie jednej uczelni podlegającej ocenie)]],KategorieUczelni[],2,0)</f>
        <v>Publiczna</v>
      </c>
      <c r="AI70">
        <v>1982</v>
      </c>
      <c r="AJ70" t="s">
        <v>126</v>
      </c>
      <c r="AK70" t="s">
        <v>1268</v>
      </c>
      <c r="AL70" t="s">
        <v>169</v>
      </c>
      <c r="AM70" t="s">
        <v>169</v>
      </c>
      <c r="AN70" t="s">
        <v>169</v>
      </c>
      <c r="AO70" t="s">
        <v>169</v>
      </c>
      <c r="AP70" t="s">
        <v>169</v>
      </c>
      <c r="AQ70">
        <v>0</v>
      </c>
      <c r="AR70" t="s">
        <v>153</v>
      </c>
      <c r="AS70" t="s">
        <v>759</v>
      </c>
      <c r="AT70" t="s">
        <v>1269</v>
      </c>
      <c r="AU70" t="s">
        <v>1270</v>
      </c>
      <c r="AV70" t="s">
        <v>386</v>
      </c>
      <c r="AX70" t="s">
        <v>1271</v>
      </c>
      <c r="AY70" s="1" t="s">
        <v>159</v>
      </c>
      <c r="AZ70">
        <v>1</v>
      </c>
      <c r="BA70" t="s">
        <v>1290</v>
      </c>
      <c r="BB70">
        <v>2011</v>
      </c>
      <c r="BC70" t="s">
        <v>148</v>
      </c>
      <c r="BD70" t="s">
        <v>1050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  <c r="BJ70" t="s">
        <v>1273</v>
      </c>
      <c r="BK70" t="s">
        <v>1274</v>
      </c>
      <c r="BL70" t="s">
        <v>157</v>
      </c>
      <c r="BN70" t="s">
        <v>1275</v>
      </c>
      <c r="BO70" t="s">
        <v>173</v>
      </c>
      <c r="CS70" s="1" t="s">
        <v>123</v>
      </c>
      <c r="DC70" s="1" t="s">
        <v>214</v>
      </c>
      <c r="DD70" t="s">
        <v>191</v>
      </c>
      <c r="DE70" t="s">
        <v>1276</v>
      </c>
      <c r="DF70" t="s">
        <v>169</v>
      </c>
      <c r="DG70" t="s">
        <v>169</v>
      </c>
      <c r="DH70" t="s">
        <v>169</v>
      </c>
      <c r="DI70" t="s">
        <v>150</v>
      </c>
      <c r="DJ70" t="s">
        <v>169</v>
      </c>
      <c r="DK70" t="s">
        <v>169</v>
      </c>
      <c r="DL70" t="s">
        <v>1277</v>
      </c>
      <c r="DM70" s="1" t="s">
        <v>123</v>
      </c>
      <c r="EP70" s="1" t="s">
        <v>177</v>
      </c>
      <c r="EQ70" t="s">
        <v>178</v>
      </c>
      <c r="ER70">
        <v>1</v>
      </c>
      <c r="ES70" t="s">
        <v>747</v>
      </c>
      <c r="ET70" t="s">
        <v>169</v>
      </c>
      <c r="EU70" t="s">
        <v>169</v>
      </c>
      <c r="EV70" t="s">
        <v>151</v>
      </c>
      <c r="EW70" t="s">
        <v>178</v>
      </c>
      <c r="EX70" t="s">
        <v>1278</v>
      </c>
      <c r="EY70" t="s">
        <v>1279</v>
      </c>
      <c r="EZ70" t="s">
        <v>173</v>
      </c>
      <c r="FP70" s="1" t="s">
        <v>123</v>
      </c>
      <c r="GX70" t="s">
        <v>1280</v>
      </c>
      <c r="GY70" t="s">
        <v>1281</v>
      </c>
      <c r="GZ70" t="s">
        <v>1282</v>
      </c>
      <c r="HA70" t="s">
        <v>186</v>
      </c>
      <c r="HB70" s="42">
        <v>1956</v>
      </c>
      <c r="HC70" s="42" t="str">
        <f>VLOOKUP(AnalizaCzyste[[#This Row],[Rok urodzenia]],KategorieWiekowe[],2,1)</f>
        <v>56-65 lat</v>
      </c>
      <c r="HD70" t="s">
        <v>398</v>
      </c>
      <c r="HF70" t="s">
        <v>1284</v>
      </c>
      <c r="HG70" t="s">
        <v>1285</v>
      </c>
    </row>
    <row r="71" spans="1:216" x14ac:dyDescent="0.45">
      <c r="A71">
        <v>198</v>
      </c>
      <c r="B71">
        <f>_xlfn.IFNA(VLOOKUP(AnalizaCzyste[[#This Row],[Zakończono wypełnianie]],Zakończone[],2,0),"BRAK")</f>
        <v>113</v>
      </c>
      <c r="C71">
        <f t="shared" si="2"/>
        <v>33</v>
      </c>
      <c r="D71" t="s">
        <v>1674</v>
      </c>
      <c r="E71" t="s">
        <v>118</v>
      </c>
      <c r="J71" t="s">
        <v>119</v>
      </c>
      <c r="K71" t="s">
        <v>1675</v>
      </c>
      <c r="L71" t="s">
        <v>1676</v>
      </c>
      <c r="M71">
        <v>445</v>
      </c>
      <c r="N71">
        <v>0</v>
      </c>
      <c r="O71" t="s">
        <v>122</v>
      </c>
      <c r="P71" s="1" t="s">
        <v>123</v>
      </c>
      <c r="AF71" s="1" t="s">
        <v>124</v>
      </c>
      <c r="AG71" t="s">
        <v>191</v>
      </c>
      <c r="AH71" t="str">
        <f>VLOOKUP(AnalizaCzyste[[#This Row],[Jak się nazywa uczelnia którą ukończyłeś? (proszę o wybranie jednej uczelni podlegającej ocenie)]],KategorieUczelni[],2,0)</f>
        <v>Publiczna</v>
      </c>
      <c r="AI71">
        <v>2014</v>
      </c>
      <c r="AJ71" t="s">
        <v>126</v>
      </c>
      <c r="AK71" t="s">
        <v>192</v>
      </c>
      <c r="AL71" t="s">
        <v>169</v>
      </c>
      <c r="AM71" t="s">
        <v>169</v>
      </c>
      <c r="AN71" t="s">
        <v>162</v>
      </c>
      <c r="AO71" t="s">
        <v>151</v>
      </c>
      <c r="AP71" t="s">
        <v>151</v>
      </c>
      <c r="AQ71" t="s">
        <v>237</v>
      </c>
      <c r="AR71" t="s">
        <v>226</v>
      </c>
      <c r="AS71" t="s">
        <v>1428</v>
      </c>
      <c r="AT71" t="s">
        <v>1677</v>
      </c>
      <c r="AU71" t="s">
        <v>1678</v>
      </c>
      <c r="AV71" t="s">
        <v>1679</v>
      </c>
      <c r="AW71" t="s">
        <v>157</v>
      </c>
      <c r="AY71" s="1" t="s">
        <v>123</v>
      </c>
      <c r="CS71" s="1" t="s">
        <v>123</v>
      </c>
      <c r="DC71" s="1" t="s">
        <v>123</v>
      </c>
      <c r="DM71" s="1" t="s">
        <v>123</v>
      </c>
      <c r="EP71" s="1" t="s">
        <v>123</v>
      </c>
      <c r="FP71" s="1" t="s">
        <v>123</v>
      </c>
      <c r="GX71" t="s">
        <v>532</v>
      </c>
      <c r="GY71" t="s">
        <v>1680</v>
      </c>
      <c r="GZ71" t="s">
        <v>1681</v>
      </c>
      <c r="HA71" t="s">
        <v>186</v>
      </c>
      <c r="HB71">
        <v>1984</v>
      </c>
      <c r="HC71" t="str">
        <f>VLOOKUP(AnalizaCzyste[[#This Row],[Rok urodzenia]],KategorieWiekowe[],2,1)</f>
        <v>36-45 lat</v>
      </c>
      <c r="HD71" t="s">
        <v>398</v>
      </c>
    </row>
    <row r="72" spans="1:216" x14ac:dyDescent="0.45">
      <c r="A72">
        <v>13</v>
      </c>
      <c r="B72">
        <f>_xlfn.IFNA(VLOOKUP(AnalizaCzyste[[#This Row],[Zakończono wypełnianie]],Zakończone[],2,0),"BRAK")</f>
        <v>12</v>
      </c>
      <c r="C72">
        <f t="shared" si="2"/>
        <v>37</v>
      </c>
      <c r="D72" t="s">
        <v>326</v>
      </c>
      <c r="E72" t="s">
        <v>118</v>
      </c>
      <c r="J72" t="s">
        <v>119</v>
      </c>
      <c r="K72" t="s">
        <v>327</v>
      </c>
      <c r="L72" t="s">
        <v>328</v>
      </c>
      <c r="M72">
        <v>1387173</v>
      </c>
      <c r="N72">
        <v>0</v>
      </c>
      <c r="O72" t="s">
        <v>122</v>
      </c>
      <c r="P72" s="1" t="s">
        <v>123</v>
      </c>
      <c r="AF72" s="1" t="s">
        <v>124</v>
      </c>
      <c r="AG72" t="s">
        <v>191</v>
      </c>
      <c r="AH72" t="str">
        <f>VLOOKUP(AnalizaCzyste[[#This Row],[Jak się nazywa uczelnia którą ukończyłeś? (proszę o wybranie jednej uczelni podlegającej ocenie)]],KategorieUczelni[],2,0)</f>
        <v>Publiczna</v>
      </c>
      <c r="AI72">
        <v>2011</v>
      </c>
      <c r="AJ72" t="s">
        <v>126</v>
      </c>
      <c r="AK72" t="s">
        <v>330</v>
      </c>
      <c r="AL72" t="s">
        <v>169</v>
      </c>
      <c r="AM72" t="s">
        <v>169</v>
      </c>
      <c r="AN72" t="s">
        <v>150</v>
      </c>
      <c r="AO72" t="s">
        <v>162</v>
      </c>
      <c r="AP72" t="s">
        <v>169</v>
      </c>
      <c r="AQ72" t="s">
        <v>331</v>
      </c>
      <c r="AR72" t="s">
        <v>302</v>
      </c>
      <c r="AS72" t="s">
        <v>226</v>
      </c>
      <c r="AT72" t="s">
        <v>332</v>
      </c>
      <c r="AU72" t="s">
        <v>333</v>
      </c>
      <c r="AV72" t="s">
        <v>334</v>
      </c>
      <c r="AW72" t="s">
        <v>157</v>
      </c>
      <c r="AX72" t="s">
        <v>335</v>
      </c>
      <c r="AY72" s="1" t="s">
        <v>123</v>
      </c>
      <c r="CS72" s="1" t="s">
        <v>123</v>
      </c>
      <c r="DC72" s="1" t="s">
        <v>123</v>
      </c>
      <c r="DM72" s="1" t="s">
        <v>123</v>
      </c>
      <c r="EP72" s="1" t="s">
        <v>123</v>
      </c>
      <c r="FP72" s="1" t="s">
        <v>123</v>
      </c>
      <c r="FQ72" t="s">
        <v>132</v>
      </c>
      <c r="GX72" t="s">
        <v>336</v>
      </c>
      <c r="GY72" t="s">
        <v>337</v>
      </c>
      <c r="GZ72" t="s">
        <v>338</v>
      </c>
      <c r="HA72" t="s">
        <v>186</v>
      </c>
      <c r="HB72">
        <v>1987</v>
      </c>
      <c r="HC72" t="str">
        <f>VLOOKUP(AnalizaCzyste[[#This Row],[Rok urodzenia]],KategorieWiekowe[],2,1)</f>
        <v>26-35 lat</v>
      </c>
      <c r="HD72" t="s">
        <v>246</v>
      </c>
      <c r="HF72" t="s">
        <v>339</v>
      </c>
      <c r="HG72" t="s">
        <v>340</v>
      </c>
    </row>
    <row r="73" spans="1:216" x14ac:dyDescent="0.45">
      <c r="A73">
        <v>7</v>
      </c>
      <c r="B73">
        <f>_xlfn.IFNA(VLOOKUP(AnalizaCzyste[[#This Row],[Zakończono wypełnianie]],Zakończone[],2,0),"BRAK")</f>
        <v>7</v>
      </c>
      <c r="C73">
        <f t="shared" si="2"/>
        <v>39</v>
      </c>
      <c r="D73" t="s">
        <v>259</v>
      </c>
      <c r="E73" t="s">
        <v>118</v>
      </c>
      <c r="F73" t="s">
        <v>260</v>
      </c>
      <c r="J73" t="s">
        <v>119</v>
      </c>
      <c r="K73" t="s">
        <v>261</v>
      </c>
      <c r="L73" t="s">
        <v>262</v>
      </c>
      <c r="M73">
        <v>422</v>
      </c>
      <c r="N73">
        <v>0</v>
      </c>
      <c r="O73" t="s">
        <v>122</v>
      </c>
      <c r="P73" s="1" t="s">
        <v>123</v>
      </c>
      <c r="AF73" s="1" t="s">
        <v>124</v>
      </c>
      <c r="AG73" t="s">
        <v>191</v>
      </c>
      <c r="AH73" t="str">
        <f>VLOOKUP(AnalizaCzyste[[#This Row],[Jak się nazywa uczelnia którą ukończyłeś? (proszę o wybranie jednej uczelni podlegającej ocenie)]],KategorieUczelni[],2,0)</f>
        <v>Publiczna</v>
      </c>
      <c r="AI73">
        <v>2013</v>
      </c>
      <c r="AJ73" t="s">
        <v>126</v>
      </c>
      <c r="AK73" t="s">
        <v>263</v>
      </c>
      <c r="AL73" t="s">
        <v>169</v>
      </c>
      <c r="AM73" t="s">
        <v>150</v>
      </c>
      <c r="AN73" t="s">
        <v>169</v>
      </c>
      <c r="AO73" t="s">
        <v>169</v>
      </c>
      <c r="AP73" t="s">
        <v>169</v>
      </c>
      <c r="AQ73">
        <v>4</v>
      </c>
      <c r="AR73" t="s">
        <v>153</v>
      </c>
      <c r="AS73" t="s">
        <v>153</v>
      </c>
      <c r="AT73" t="s">
        <v>264</v>
      </c>
      <c r="AU73" t="s">
        <v>265</v>
      </c>
      <c r="AV73" t="s">
        <v>266</v>
      </c>
      <c r="AW73" t="s">
        <v>157</v>
      </c>
      <c r="AY73" s="1" t="s">
        <v>123</v>
      </c>
      <c r="CS73" s="1" t="s">
        <v>123</v>
      </c>
      <c r="DC73" s="1" t="s">
        <v>123</v>
      </c>
      <c r="DM73" s="1" t="s">
        <v>123</v>
      </c>
      <c r="EP73" s="1" t="s">
        <v>123</v>
      </c>
      <c r="EQ73" t="s">
        <v>180</v>
      </c>
      <c r="ER73" t="s">
        <v>132</v>
      </c>
      <c r="FP73" s="1" t="s">
        <v>123</v>
      </c>
      <c r="FQ73" t="s">
        <v>132</v>
      </c>
      <c r="FS73" t="s">
        <v>132</v>
      </c>
      <c r="GX73" t="s">
        <v>267</v>
      </c>
      <c r="GY73" t="s">
        <v>267</v>
      </c>
      <c r="GZ73" t="s">
        <v>267</v>
      </c>
      <c r="HA73" t="s">
        <v>186</v>
      </c>
      <c r="HB73">
        <v>1988</v>
      </c>
      <c r="HC73" t="str">
        <f>VLOOKUP(AnalizaCzyste[[#This Row],[Rok urodzenia]],KategorieWiekowe[],2,1)</f>
        <v>26-35 lat</v>
      </c>
      <c r="HD73" t="s">
        <v>220</v>
      </c>
      <c r="HF73" t="s">
        <v>268</v>
      </c>
      <c r="HG73" t="s">
        <v>268</v>
      </c>
    </row>
    <row r="74" spans="1:216" x14ac:dyDescent="0.45">
      <c r="A74">
        <v>125</v>
      </c>
      <c r="B74">
        <f>_xlfn.IFNA(VLOOKUP(AnalizaCzyste[[#This Row],[Zakończono wypełnianie]],Zakończone[],2,0),"BRAK")</f>
        <v>74</v>
      </c>
      <c r="C74">
        <f t="shared" si="2"/>
        <v>81</v>
      </c>
      <c r="D74" t="s">
        <v>1163</v>
      </c>
      <c r="E74" t="s">
        <v>118</v>
      </c>
      <c r="J74" t="s">
        <v>119</v>
      </c>
      <c r="K74" t="s">
        <v>1164</v>
      </c>
      <c r="L74" t="s">
        <v>1165</v>
      </c>
      <c r="M74">
        <v>982</v>
      </c>
      <c r="N74">
        <v>0</v>
      </c>
      <c r="O74" t="s">
        <v>122</v>
      </c>
      <c r="P74" s="1" t="s">
        <v>123</v>
      </c>
      <c r="AF74" s="1" t="s">
        <v>124</v>
      </c>
      <c r="AG74" t="s">
        <v>191</v>
      </c>
      <c r="AH74" t="str">
        <f>VLOOKUP(AnalizaCzyste[[#This Row],[Jak się nazywa uczelnia którą ukończyłeś? (proszę o wybranie jednej uczelni podlegającej ocenie)]],KategorieUczelni[],2,0)</f>
        <v>Publiczna</v>
      </c>
      <c r="AI74">
        <v>1978</v>
      </c>
      <c r="AJ74" t="s">
        <v>148</v>
      </c>
      <c r="AK74" t="s">
        <v>1167</v>
      </c>
      <c r="AL74" t="s">
        <v>169</v>
      </c>
      <c r="AM74" t="s">
        <v>169</v>
      </c>
      <c r="AN74" t="s">
        <v>169</v>
      </c>
      <c r="AO74" t="s">
        <v>150</v>
      </c>
      <c r="AP74" t="s">
        <v>150</v>
      </c>
      <c r="AQ74" t="s">
        <v>1168</v>
      </c>
      <c r="AR74" t="s">
        <v>132</v>
      </c>
      <c r="AS74" t="s">
        <v>132</v>
      </c>
      <c r="AT74" t="s">
        <v>1169</v>
      </c>
      <c r="AU74" t="s">
        <v>1170</v>
      </c>
      <c r="AV74" t="s">
        <v>132</v>
      </c>
      <c r="AX74" t="s">
        <v>1171</v>
      </c>
      <c r="AY74" s="1" t="s">
        <v>159</v>
      </c>
      <c r="AZ74">
        <v>1</v>
      </c>
      <c r="BA74" t="s">
        <v>1290</v>
      </c>
      <c r="BB74">
        <v>2020</v>
      </c>
      <c r="BC74" t="s">
        <v>148</v>
      </c>
      <c r="BD74" t="s">
        <v>1050</v>
      </c>
      <c r="BE74" t="s">
        <v>132</v>
      </c>
      <c r="BF74" t="s">
        <v>132</v>
      </c>
      <c r="BG74" t="s">
        <v>132</v>
      </c>
      <c r="BH74" t="s">
        <v>132</v>
      </c>
      <c r="BI74" t="s">
        <v>132</v>
      </c>
      <c r="BJ74" t="s">
        <v>1173</v>
      </c>
      <c r="BK74" t="s">
        <v>1174</v>
      </c>
      <c r="BL74" t="s">
        <v>230</v>
      </c>
      <c r="BN74" t="s">
        <v>1175</v>
      </c>
      <c r="BO74" t="s">
        <v>173</v>
      </c>
      <c r="CS74" s="1" t="s">
        <v>123</v>
      </c>
      <c r="DC74" s="1" t="s">
        <v>214</v>
      </c>
      <c r="DD74" t="s">
        <v>191</v>
      </c>
      <c r="DE74" t="s">
        <v>308</v>
      </c>
      <c r="DF74" t="s">
        <v>169</v>
      </c>
      <c r="DG74" t="s">
        <v>162</v>
      </c>
      <c r="DH74" t="s">
        <v>150</v>
      </c>
      <c r="DI74" t="s">
        <v>169</v>
      </c>
      <c r="DJ74" t="s">
        <v>150</v>
      </c>
      <c r="DK74" t="s">
        <v>150</v>
      </c>
      <c r="DL74" t="s">
        <v>1177</v>
      </c>
      <c r="DM74" s="1" t="s">
        <v>174</v>
      </c>
      <c r="DP74" t="s">
        <v>1178</v>
      </c>
      <c r="DR74" t="s">
        <v>747</v>
      </c>
      <c r="DS74" t="s">
        <v>150</v>
      </c>
      <c r="DT74" t="s">
        <v>150</v>
      </c>
      <c r="DU74" t="s">
        <v>150</v>
      </c>
      <c r="DV74" t="s">
        <v>150</v>
      </c>
      <c r="DW74" t="s">
        <v>162</v>
      </c>
      <c r="DX74" t="s">
        <v>162</v>
      </c>
      <c r="DY74" t="s">
        <v>162</v>
      </c>
      <c r="DZ74">
        <v>25</v>
      </c>
      <c r="EA74">
        <v>10</v>
      </c>
      <c r="EB74">
        <v>0</v>
      </c>
      <c r="EC74">
        <v>10</v>
      </c>
      <c r="ED74">
        <v>25</v>
      </c>
      <c r="EE74">
        <v>15</v>
      </c>
      <c r="EF74">
        <v>15</v>
      </c>
      <c r="EH74">
        <v>10</v>
      </c>
      <c r="EI74">
        <v>10</v>
      </c>
      <c r="EJ74">
        <v>0</v>
      </c>
      <c r="EK74">
        <v>10</v>
      </c>
      <c r="EL74">
        <v>50</v>
      </c>
      <c r="EM74">
        <v>10</v>
      </c>
      <c r="EN74">
        <v>10</v>
      </c>
      <c r="EP74" s="1" t="s">
        <v>123</v>
      </c>
      <c r="FP74" s="1" t="s">
        <v>123</v>
      </c>
      <c r="GX74" t="s">
        <v>1179</v>
      </c>
      <c r="GY74" t="s">
        <v>1180</v>
      </c>
      <c r="GZ74" t="s">
        <v>1181</v>
      </c>
      <c r="HA74" t="s">
        <v>186</v>
      </c>
      <c r="HB74" s="20" t="s">
        <v>1473</v>
      </c>
      <c r="HC74" s="20" t="e">
        <f>VLOOKUP(AnalizaCzyste[[#This Row],[Rok urodzenia]],KategorieWiekowe[],2,1)</f>
        <v>#N/A</v>
      </c>
      <c r="HD74" t="s">
        <v>141</v>
      </c>
      <c r="HF74" t="s">
        <v>1183</v>
      </c>
    </row>
    <row r="75" spans="1:216" x14ac:dyDescent="0.45">
      <c r="A75">
        <v>233</v>
      </c>
      <c r="B75">
        <f>_xlfn.IFNA(VLOOKUP(AnalizaCzyste[[#This Row],[Zakończono wypełnianie]],Zakończone[],2,0),"BRAK")</f>
        <v>125</v>
      </c>
      <c r="C75">
        <f t="shared" si="2"/>
        <v>46</v>
      </c>
      <c r="D75" t="s">
        <v>1880</v>
      </c>
      <c r="E75" t="s">
        <v>118</v>
      </c>
      <c r="F75" t="s">
        <v>359</v>
      </c>
      <c r="J75" t="s">
        <v>119</v>
      </c>
      <c r="K75" t="s">
        <v>1881</v>
      </c>
      <c r="L75" t="s">
        <v>1882</v>
      </c>
      <c r="M75">
        <v>627</v>
      </c>
      <c r="N75">
        <v>0</v>
      </c>
      <c r="O75" t="s">
        <v>122</v>
      </c>
      <c r="P75" s="1" t="s">
        <v>123</v>
      </c>
      <c r="AF75" s="1" t="s">
        <v>124</v>
      </c>
      <c r="AG75" s="20" t="s">
        <v>191</v>
      </c>
      <c r="AH75" s="20" t="str">
        <f>VLOOKUP(AnalizaCzyste[[#This Row],[Jak się nazywa uczelnia którą ukończyłeś? (proszę o wybranie jednej uczelni podlegającej ocenie)]],KategorieUczelni[],2,0)</f>
        <v>Publiczna</v>
      </c>
      <c r="AI75">
        <v>2011</v>
      </c>
      <c r="AJ75" t="s">
        <v>126</v>
      </c>
      <c r="AK75" t="s">
        <v>1883</v>
      </c>
      <c r="AL75" t="s">
        <v>169</v>
      </c>
      <c r="AM75" t="s">
        <v>169</v>
      </c>
      <c r="AN75" t="s">
        <v>169</v>
      </c>
      <c r="AO75" t="s">
        <v>151</v>
      </c>
      <c r="AP75" t="s">
        <v>150</v>
      </c>
      <c r="AQ75" t="s">
        <v>1884</v>
      </c>
      <c r="AR75" t="s">
        <v>131</v>
      </c>
      <c r="AS75" t="s">
        <v>153</v>
      </c>
      <c r="AT75" t="s">
        <v>1885</v>
      </c>
      <c r="AU75" t="s">
        <v>1886</v>
      </c>
      <c r="AV75" t="s">
        <v>1887</v>
      </c>
      <c r="AW75" t="s">
        <v>157</v>
      </c>
      <c r="AX75" t="s">
        <v>1888</v>
      </c>
      <c r="AY75" s="1" t="s">
        <v>123</v>
      </c>
      <c r="CS75" s="1" t="s">
        <v>123</v>
      </c>
      <c r="DC75" s="1" t="s">
        <v>123</v>
      </c>
      <c r="DM75" s="1" t="s">
        <v>123</v>
      </c>
      <c r="EP75" s="1" t="s">
        <v>177</v>
      </c>
      <c r="EQ75" t="s">
        <v>180</v>
      </c>
      <c r="ER75" t="s">
        <v>132</v>
      </c>
      <c r="ES75" t="s">
        <v>1889</v>
      </c>
      <c r="ET75" t="s">
        <v>132</v>
      </c>
      <c r="EU75" t="s">
        <v>132</v>
      </c>
      <c r="EV75" t="s">
        <v>132</v>
      </c>
      <c r="EW75" t="s">
        <v>180</v>
      </c>
      <c r="EX75" t="s">
        <v>1889</v>
      </c>
      <c r="EY75" t="s">
        <v>1889</v>
      </c>
      <c r="EZ75" t="s">
        <v>173</v>
      </c>
      <c r="FP75" s="1" t="s">
        <v>123</v>
      </c>
      <c r="GX75" t="s">
        <v>1889</v>
      </c>
      <c r="GY75" t="s">
        <v>1889</v>
      </c>
      <c r="GZ75" t="s">
        <v>1889</v>
      </c>
      <c r="HA75" t="s">
        <v>140</v>
      </c>
      <c r="HB75">
        <v>1987</v>
      </c>
      <c r="HC75" t="str">
        <f>VLOOKUP(AnalizaCzyste[[#This Row],[Rok urodzenia]],KategorieWiekowe[],2,1)</f>
        <v>26-35 lat</v>
      </c>
      <c r="HD75" t="s">
        <v>220</v>
      </c>
      <c r="HF75" t="s">
        <v>1889</v>
      </c>
      <c r="HG75" t="s">
        <v>1889</v>
      </c>
    </row>
    <row r="76" spans="1:216" x14ac:dyDescent="0.45">
      <c r="A76">
        <v>159</v>
      </c>
      <c r="B76">
        <f>_xlfn.IFNA(VLOOKUP(AnalizaCzyste[[#This Row],[Zakończono wypełnianie]],Zakończone[],2,0),"BRAK")</f>
        <v>92</v>
      </c>
      <c r="C76">
        <f t="shared" si="2"/>
        <v>35</v>
      </c>
      <c r="D76" t="s">
        <v>1412</v>
      </c>
      <c r="E76" t="s">
        <v>118</v>
      </c>
      <c r="J76" t="s">
        <v>119</v>
      </c>
      <c r="K76" t="s">
        <v>1413</v>
      </c>
      <c r="L76" t="s">
        <v>1414</v>
      </c>
      <c r="M76">
        <v>1007</v>
      </c>
      <c r="N76">
        <v>0</v>
      </c>
      <c r="O76" t="s">
        <v>122</v>
      </c>
      <c r="P76" s="1" t="s">
        <v>123</v>
      </c>
      <c r="AF76" s="1" t="s">
        <v>124</v>
      </c>
      <c r="AG76" t="s">
        <v>1415</v>
      </c>
      <c r="AH76" t="str">
        <f>VLOOKUP(AnalizaCzyste[[#This Row],[Jak się nazywa uczelnia którą ukończyłeś? (proszę o wybranie jednej uczelni podlegającej ocenie)]],KategorieUczelni[],2,0)</f>
        <v>Publiczna</v>
      </c>
      <c r="AI76">
        <v>2006</v>
      </c>
      <c r="AJ76" t="s">
        <v>148</v>
      </c>
      <c r="AK76" t="s">
        <v>263</v>
      </c>
      <c r="AL76" t="s">
        <v>169</v>
      </c>
      <c r="AM76" t="s">
        <v>169</v>
      </c>
      <c r="AN76" t="s">
        <v>169</v>
      </c>
      <c r="AO76" t="s">
        <v>150</v>
      </c>
      <c r="AP76" t="s">
        <v>169</v>
      </c>
      <c r="AQ76" t="s">
        <v>1416</v>
      </c>
      <c r="AR76" t="s">
        <v>131</v>
      </c>
      <c r="AS76" t="s">
        <v>153</v>
      </c>
      <c r="AT76" t="s">
        <v>1417</v>
      </c>
      <c r="AU76" t="s">
        <v>1418</v>
      </c>
      <c r="AV76" t="s">
        <v>1419</v>
      </c>
      <c r="AX76" t="s">
        <v>1420</v>
      </c>
      <c r="AY76" s="1" t="s">
        <v>123</v>
      </c>
      <c r="CS76" s="1" t="s">
        <v>123</v>
      </c>
      <c r="DC76" s="1" t="s">
        <v>123</v>
      </c>
      <c r="DM76" s="1" t="s">
        <v>123</v>
      </c>
      <c r="EP76" s="1" t="s">
        <v>123</v>
      </c>
      <c r="FP76" s="1" t="s">
        <v>123</v>
      </c>
      <c r="GX76" t="s">
        <v>1421</v>
      </c>
      <c r="GY76" t="s">
        <v>1422</v>
      </c>
      <c r="GZ76" t="s">
        <v>142</v>
      </c>
      <c r="HA76" t="s">
        <v>140</v>
      </c>
      <c r="HB76">
        <v>1983</v>
      </c>
      <c r="HC76" t="str">
        <f>VLOOKUP(AnalizaCzyste[[#This Row],[Rok urodzenia]],KategorieWiekowe[],2,1)</f>
        <v>36-45 lat</v>
      </c>
      <c r="HD76" t="s">
        <v>141</v>
      </c>
      <c r="HF76" t="s">
        <v>1423</v>
      </c>
      <c r="HG76" t="s">
        <v>132</v>
      </c>
    </row>
    <row r="77" spans="1:216" x14ac:dyDescent="0.45">
      <c r="A77">
        <v>169</v>
      </c>
      <c r="B77">
        <f>_xlfn.IFNA(VLOOKUP(AnalizaCzyste[[#This Row],[Zakończono wypełnianie]],Zakończone[],2,0),"BRAK")</f>
        <v>97</v>
      </c>
      <c r="C77">
        <f t="shared" si="2"/>
        <v>35</v>
      </c>
      <c r="D77" t="s">
        <v>1352</v>
      </c>
      <c r="E77" t="s">
        <v>118</v>
      </c>
      <c r="J77" t="s">
        <v>119</v>
      </c>
      <c r="K77" t="s">
        <v>1470</v>
      </c>
      <c r="L77" t="s">
        <v>1471</v>
      </c>
      <c r="M77">
        <v>495</v>
      </c>
      <c r="N77">
        <v>0</v>
      </c>
      <c r="O77" t="s">
        <v>122</v>
      </c>
      <c r="P77" s="1" t="s">
        <v>123</v>
      </c>
      <c r="AF77" s="1" t="s">
        <v>124</v>
      </c>
      <c r="AG77" t="s">
        <v>1472</v>
      </c>
      <c r="AH77" t="str">
        <f>VLOOKUP(AnalizaCzyste[[#This Row],[Jak się nazywa uczelnia którą ukończyłeś? (proszę o wybranie jednej uczelni podlegającej ocenie)]],KategorieUczelni[],2,0)</f>
        <v>Publiczna</v>
      </c>
      <c r="AJ77" t="s">
        <v>148</v>
      </c>
      <c r="AK77" t="s">
        <v>1474</v>
      </c>
      <c r="AL77" t="s">
        <v>169</v>
      </c>
      <c r="AM77" t="s">
        <v>169</v>
      </c>
      <c r="AN77" t="s">
        <v>151</v>
      </c>
      <c r="AO77" t="s">
        <v>162</v>
      </c>
      <c r="AP77" t="s">
        <v>162</v>
      </c>
      <c r="AQ77" t="s">
        <v>1475</v>
      </c>
      <c r="AR77" t="s">
        <v>132</v>
      </c>
      <c r="AS77" t="s">
        <v>132</v>
      </c>
      <c r="AT77" t="s">
        <v>1476</v>
      </c>
      <c r="AU77" t="s">
        <v>1477</v>
      </c>
      <c r="AV77" t="s">
        <v>1473</v>
      </c>
      <c r="AW77" t="s">
        <v>157</v>
      </c>
      <c r="AY77" s="1" t="s">
        <v>123</v>
      </c>
      <c r="CS77" s="1" t="s">
        <v>123</v>
      </c>
      <c r="DC77" s="1" t="s">
        <v>123</v>
      </c>
      <c r="DM77" s="1" t="s">
        <v>123</v>
      </c>
      <c r="EP77" s="1" t="s">
        <v>123</v>
      </c>
      <c r="FP77" s="1" t="s">
        <v>123</v>
      </c>
      <c r="GX77" t="s">
        <v>1478</v>
      </c>
      <c r="GY77" t="s">
        <v>1478</v>
      </c>
      <c r="GZ77" t="s">
        <v>1473</v>
      </c>
      <c r="HA77" t="s">
        <v>140</v>
      </c>
      <c r="HB77" t="s">
        <v>1473</v>
      </c>
      <c r="HC77" t="e">
        <f>VLOOKUP(AnalizaCzyste[[#This Row],[Rok urodzenia]],KategorieWiekowe[],2,1)</f>
        <v>#N/A</v>
      </c>
      <c r="HD77" t="s">
        <v>398</v>
      </c>
      <c r="HF77" t="s">
        <v>1479</v>
      </c>
      <c r="HG77" t="s">
        <v>1473</v>
      </c>
      <c r="HH77" t="s">
        <v>1473</v>
      </c>
    </row>
    <row r="78" spans="1:216" x14ac:dyDescent="0.45">
      <c r="A78">
        <v>91</v>
      </c>
      <c r="B78">
        <f>_xlfn.IFNA(VLOOKUP(AnalizaCzyste[[#This Row],[Zakończono wypełnianie]],Zakończone[],2,0),"BRAK")</f>
        <v>55</v>
      </c>
      <c r="C78">
        <f t="shared" si="2"/>
        <v>79</v>
      </c>
      <c r="D78" t="s">
        <v>915</v>
      </c>
      <c r="E78" t="s">
        <v>118</v>
      </c>
      <c r="J78" t="s">
        <v>119</v>
      </c>
      <c r="K78" t="s">
        <v>916</v>
      </c>
      <c r="L78" t="s">
        <v>917</v>
      </c>
      <c r="M78">
        <v>76609</v>
      </c>
      <c r="N78">
        <v>0</v>
      </c>
      <c r="O78" t="s">
        <v>122</v>
      </c>
      <c r="P78" s="1" t="s">
        <v>123</v>
      </c>
      <c r="AF78" s="1" t="s">
        <v>124</v>
      </c>
      <c r="AG78" t="s">
        <v>223</v>
      </c>
      <c r="AH78" t="str">
        <f>VLOOKUP(AnalizaCzyste[[#This Row],[Jak się nazywa uczelnia którą ukończyłeś? (proszę o wybranie jednej uczelni podlegającej ocenie)]],KategorieUczelni[],2,0)</f>
        <v>Publiczna</v>
      </c>
      <c r="AI78">
        <v>1980</v>
      </c>
      <c r="AJ78" t="s">
        <v>148</v>
      </c>
      <c r="AK78" t="s">
        <v>919</v>
      </c>
      <c r="AL78" t="s">
        <v>169</v>
      </c>
      <c r="AM78" t="s">
        <v>169</v>
      </c>
      <c r="AN78" t="s">
        <v>150</v>
      </c>
      <c r="AO78" t="s">
        <v>128</v>
      </c>
      <c r="AP78" t="s">
        <v>128</v>
      </c>
      <c r="AQ78" t="s">
        <v>920</v>
      </c>
      <c r="AR78" t="s">
        <v>302</v>
      </c>
      <c r="AS78" t="s">
        <v>302</v>
      </c>
      <c r="AT78" t="s">
        <v>921</v>
      </c>
      <c r="AU78" t="s">
        <v>922</v>
      </c>
      <c r="AV78" t="s">
        <v>923</v>
      </c>
      <c r="AW78" t="s">
        <v>157</v>
      </c>
      <c r="AY78" s="1" t="s">
        <v>159</v>
      </c>
      <c r="AZ78">
        <v>2</v>
      </c>
      <c r="BA78" t="s">
        <v>223</v>
      </c>
      <c r="BB78">
        <v>2009</v>
      </c>
      <c r="BC78" t="s">
        <v>148</v>
      </c>
      <c r="BD78" t="s">
        <v>743</v>
      </c>
      <c r="BE78" t="s">
        <v>169</v>
      </c>
      <c r="BF78" t="s">
        <v>169</v>
      </c>
      <c r="BG78" t="s">
        <v>169</v>
      </c>
      <c r="BH78" t="s">
        <v>128</v>
      </c>
      <c r="BI78" t="s">
        <v>128</v>
      </c>
      <c r="BJ78" t="s">
        <v>925</v>
      </c>
      <c r="BK78" t="s">
        <v>926</v>
      </c>
      <c r="BL78" t="s">
        <v>157</v>
      </c>
      <c r="BN78" t="s">
        <v>927</v>
      </c>
      <c r="BO78" t="s">
        <v>173</v>
      </c>
      <c r="CS78" s="1" t="s">
        <v>387</v>
      </c>
      <c r="CT78" t="s">
        <v>223</v>
      </c>
      <c r="CU78" t="s">
        <v>928</v>
      </c>
      <c r="CV78" t="s">
        <v>169</v>
      </c>
      <c r="CW78" t="s">
        <v>162</v>
      </c>
      <c r="CX78" t="s">
        <v>128</v>
      </c>
      <c r="CY78" t="s">
        <v>169</v>
      </c>
      <c r="CZ78" t="s">
        <v>169</v>
      </c>
      <c r="DA78" t="s">
        <v>169</v>
      </c>
      <c r="DB78" t="s">
        <v>929</v>
      </c>
      <c r="DC78" s="1" t="s">
        <v>214</v>
      </c>
      <c r="DD78" t="s">
        <v>223</v>
      </c>
      <c r="DE78" t="s">
        <v>928</v>
      </c>
      <c r="DF78" t="s">
        <v>169</v>
      </c>
      <c r="DG78" t="s">
        <v>162</v>
      </c>
      <c r="DH78" t="s">
        <v>128</v>
      </c>
      <c r="DI78" t="s">
        <v>169</v>
      </c>
      <c r="DJ78" t="s">
        <v>169</v>
      </c>
      <c r="DK78" t="s">
        <v>150</v>
      </c>
      <c r="DL78" t="s">
        <v>930</v>
      </c>
      <c r="DM78" s="1" t="s">
        <v>123</v>
      </c>
      <c r="EP78" s="1" t="s">
        <v>177</v>
      </c>
      <c r="EQ78" t="s">
        <v>180</v>
      </c>
      <c r="ER78">
        <v>1</v>
      </c>
      <c r="ES78" t="s">
        <v>223</v>
      </c>
      <c r="ET78" t="s">
        <v>169</v>
      </c>
      <c r="EU78" t="s">
        <v>169</v>
      </c>
      <c r="EV78" t="s">
        <v>236</v>
      </c>
      <c r="EW78" t="s">
        <v>180</v>
      </c>
      <c r="EX78" t="s">
        <v>931</v>
      </c>
      <c r="EY78" t="s">
        <v>932</v>
      </c>
      <c r="EZ78" t="s">
        <v>173</v>
      </c>
      <c r="FP78" s="1" t="s">
        <v>123</v>
      </c>
      <c r="FQ78" t="s">
        <v>132</v>
      </c>
      <c r="FS78" t="s">
        <v>132</v>
      </c>
      <c r="GX78" t="s">
        <v>933</v>
      </c>
      <c r="GY78" t="s">
        <v>934</v>
      </c>
      <c r="GZ78" t="s">
        <v>935</v>
      </c>
      <c r="HA78" t="s">
        <v>140</v>
      </c>
      <c r="HB78">
        <v>1957</v>
      </c>
      <c r="HC78" t="str">
        <f>VLOOKUP(AnalizaCzyste[[#This Row],[Rok urodzenia]],KategorieWiekowe[],2,1)</f>
        <v>56-65 lat</v>
      </c>
      <c r="HD78" t="s">
        <v>141</v>
      </c>
      <c r="HF78" t="s">
        <v>936</v>
      </c>
    </row>
    <row r="79" spans="1:216" x14ac:dyDescent="0.45">
      <c r="A79">
        <v>60</v>
      </c>
      <c r="B79">
        <f>_xlfn.IFNA(VLOOKUP(AnalizaCzyste[[#This Row],[Zakończono wypełnianie]],Zakończone[],2,0),"BRAK")</f>
        <v>35</v>
      </c>
      <c r="C79">
        <f t="shared" si="2"/>
        <v>42</v>
      </c>
      <c r="D79" t="s">
        <v>656</v>
      </c>
      <c r="E79" t="s">
        <v>118</v>
      </c>
      <c r="F79" t="s">
        <v>359</v>
      </c>
      <c r="J79" t="s">
        <v>119</v>
      </c>
      <c r="K79" t="s">
        <v>657</v>
      </c>
      <c r="L79" t="s">
        <v>658</v>
      </c>
      <c r="M79">
        <v>770</v>
      </c>
      <c r="N79">
        <v>0</v>
      </c>
      <c r="O79" t="s">
        <v>122</v>
      </c>
      <c r="P79" s="1" t="s">
        <v>123</v>
      </c>
      <c r="AF79" s="1" t="s">
        <v>124</v>
      </c>
      <c r="AG79" t="s">
        <v>445</v>
      </c>
      <c r="AH79" t="str">
        <f>VLOOKUP(AnalizaCzyste[[#This Row],[Jak się nazywa uczelnia którą ukończyłeś? (proszę o wybranie jednej uczelni podlegającej ocenie)]],KategorieUczelni[],2,0)</f>
        <v>Publiczna</v>
      </c>
      <c r="AI79" t="s">
        <v>659</v>
      </c>
      <c r="AJ79" t="s">
        <v>148</v>
      </c>
      <c r="AK79" t="s">
        <v>660</v>
      </c>
      <c r="AL79" t="s">
        <v>169</v>
      </c>
      <c r="AM79" t="s">
        <v>169</v>
      </c>
      <c r="AN79" t="s">
        <v>169</v>
      </c>
      <c r="AO79" t="s">
        <v>150</v>
      </c>
      <c r="AP79" t="s">
        <v>132</v>
      </c>
      <c r="AQ79" t="s">
        <v>661</v>
      </c>
      <c r="AR79" t="s">
        <v>302</v>
      </c>
      <c r="AS79" t="s">
        <v>132</v>
      </c>
      <c r="AU79" t="s">
        <v>662</v>
      </c>
      <c r="AV79" t="s">
        <v>663</v>
      </c>
      <c r="AW79" t="s">
        <v>157</v>
      </c>
      <c r="AX79" t="s">
        <v>664</v>
      </c>
      <c r="AY79" s="1" t="s">
        <v>123</v>
      </c>
      <c r="CS79" s="1" t="s">
        <v>123</v>
      </c>
      <c r="DC79" s="1" t="s">
        <v>214</v>
      </c>
      <c r="DD79" t="s">
        <v>445</v>
      </c>
      <c r="DE79" t="s">
        <v>518</v>
      </c>
      <c r="DF79" t="s">
        <v>169</v>
      </c>
      <c r="DG79" t="s">
        <v>169</v>
      </c>
      <c r="DH79" t="s">
        <v>169</v>
      </c>
      <c r="DI79" t="s">
        <v>169</v>
      </c>
      <c r="DJ79" t="s">
        <v>169</v>
      </c>
      <c r="DK79" t="s">
        <v>150</v>
      </c>
      <c r="DM79" s="1" t="s">
        <v>123</v>
      </c>
      <c r="EP79" s="1" t="s">
        <v>123</v>
      </c>
      <c r="FP79" s="1" t="s">
        <v>123</v>
      </c>
      <c r="FQ79" t="s">
        <v>132</v>
      </c>
      <c r="GX79" t="s">
        <v>665</v>
      </c>
      <c r="GY79" t="s">
        <v>666</v>
      </c>
      <c r="GZ79" t="s">
        <v>667</v>
      </c>
      <c r="HA79" t="s">
        <v>140</v>
      </c>
      <c r="HB79">
        <v>1989</v>
      </c>
      <c r="HC79" t="str">
        <f>VLOOKUP(AnalizaCzyste[[#This Row],[Rok urodzenia]],KategorieWiekowe[],2,1)</f>
        <v>26-35 lat</v>
      </c>
      <c r="HD79" t="s">
        <v>141</v>
      </c>
    </row>
    <row r="80" spans="1:216" x14ac:dyDescent="0.45">
      <c r="A80">
        <v>63</v>
      </c>
      <c r="B80">
        <f>_xlfn.IFNA(VLOOKUP(AnalizaCzyste[[#This Row],[Zakończono wypełnianie]],Zakończone[],2,0),"BRAK")</f>
        <v>37</v>
      </c>
      <c r="C80">
        <f t="shared" si="2"/>
        <v>39</v>
      </c>
      <c r="D80" t="s">
        <v>679</v>
      </c>
      <c r="E80" t="s">
        <v>118</v>
      </c>
      <c r="F80" t="s">
        <v>359</v>
      </c>
      <c r="J80" t="s">
        <v>119</v>
      </c>
      <c r="K80" t="s">
        <v>680</v>
      </c>
      <c r="L80" t="s">
        <v>681</v>
      </c>
      <c r="M80">
        <v>770</v>
      </c>
      <c r="N80">
        <v>0</v>
      </c>
      <c r="O80" t="s">
        <v>122</v>
      </c>
      <c r="P80" s="1" t="s">
        <v>123</v>
      </c>
      <c r="AF80" s="1" t="s">
        <v>124</v>
      </c>
      <c r="AG80" s="20" t="s">
        <v>445</v>
      </c>
      <c r="AH80" s="20" t="str">
        <f>VLOOKUP(AnalizaCzyste[[#This Row],[Jak się nazywa uczelnia którą ukończyłeś? (proszę o wybranie jednej uczelni podlegającej ocenie)]],KategorieUczelni[],2,0)</f>
        <v>Publiczna</v>
      </c>
      <c r="AI80">
        <v>2017</v>
      </c>
      <c r="AJ80" t="s">
        <v>148</v>
      </c>
      <c r="AK80" t="s">
        <v>601</v>
      </c>
      <c r="AL80" t="s">
        <v>169</v>
      </c>
      <c r="AM80" t="s">
        <v>169</v>
      </c>
      <c r="AN80" t="s">
        <v>150</v>
      </c>
      <c r="AO80" t="s">
        <v>236</v>
      </c>
      <c r="AP80" t="s">
        <v>169</v>
      </c>
      <c r="AQ80" t="s">
        <v>683</v>
      </c>
      <c r="AR80" t="s">
        <v>131</v>
      </c>
      <c r="AS80" t="s">
        <v>153</v>
      </c>
      <c r="AT80" t="s">
        <v>684</v>
      </c>
      <c r="AU80" t="s">
        <v>685</v>
      </c>
      <c r="AV80" t="s">
        <v>686</v>
      </c>
      <c r="AW80" t="s">
        <v>157</v>
      </c>
      <c r="AY80" s="1" t="s">
        <v>123</v>
      </c>
      <c r="CS80" s="1" t="s">
        <v>123</v>
      </c>
      <c r="DC80" s="1" t="s">
        <v>123</v>
      </c>
      <c r="DM80" s="1" t="s">
        <v>123</v>
      </c>
      <c r="EP80" s="1" t="s">
        <v>123</v>
      </c>
      <c r="EQ80" t="s">
        <v>180</v>
      </c>
      <c r="ER80" t="s">
        <v>132</v>
      </c>
      <c r="FP80" s="1" t="s">
        <v>123</v>
      </c>
      <c r="FQ80" t="s">
        <v>132</v>
      </c>
      <c r="FS80" t="s">
        <v>132</v>
      </c>
      <c r="GX80" t="s">
        <v>687</v>
      </c>
      <c r="GY80" t="s">
        <v>688</v>
      </c>
      <c r="GZ80" t="s">
        <v>689</v>
      </c>
      <c r="HA80" t="s">
        <v>140</v>
      </c>
      <c r="HB80">
        <v>1994</v>
      </c>
      <c r="HC80" t="str">
        <f>VLOOKUP(AnalizaCzyste[[#This Row],[Rok urodzenia]],KategorieWiekowe[],2,1)</f>
        <v>26-35 lat</v>
      </c>
      <c r="HD80" t="s">
        <v>246</v>
      </c>
      <c r="HF80" t="s">
        <v>142</v>
      </c>
      <c r="HG80" t="s">
        <v>142</v>
      </c>
    </row>
    <row r="81" spans="1:216" x14ac:dyDescent="0.45">
      <c r="A81">
        <v>8</v>
      </c>
      <c r="B81">
        <f>_xlfn.IFNA(VLOOKUP(AnalizaCzyste[[#This Row],[Zakończono wypełnianie]],Zakończone[],2,0),"BRAK")</f>
        <v>8</v>
      </c>
      <c r="C81">
        <f t="shared" si="2"/>
        <v>60</v>
      </c>
      <c r="D81" t="s">
        <v>269</v>
      </c>
      <c r="E81" t="s">
        <v>118</v>
      </c>
      <c r="J81" t="s">
        <v>119</v>
      </c>
      <c r="K81" t="s">
        <v>270</v>
      </c>
      <c r="L81" t="s">
        <v>271</v>
      </c>
      <c r="M81">
        <v>768</v>
      </c>
      <c r="N81">
        <v>0</v>
      </c>
      <c r="O81" t="s">
        <v>122</v>
      </c>
      <c r="P81" s="1" t="s">
        <v>123</v>
      </c>
      <c r="AF81" s="1" t="s">
        <v>124</v>
      </c>
      <c r="AG81" t="s">
        <v>160</v>
      </c>
      <c r="AH81" t="str">
        <f>VLOOKUP(AnalizaCzyste[[#This Row],[Jak się nazywa uczelnia którą ukończyłeś? (proszę o wybranie jednej uczelni podlegającej ocenie)]],KategorieUczelni[],2,0)</f>
        <v>Publiczna</v>
      </c>
      <c r="AI81">
        <v>1973</v>
      </c>
      <c r="AJ81" t="s">
        <v>148</v>
      </c>
      <c r="AK81" t="s">
        <v>272</v>
      </c>
      <c r="AL81" t="s">
        <v>169</v>
      </c>
      <c r="AM81" s="20" t="s">
        <v>169</v>
      </c>
      <c r="AN81" t="s">
        <v>150</v>
      </c>
      <c r="AO81" t="s">
        <v>129</v>
      </c>
      <c r="AP81" t="s">
        <v>129</v>
      </c>
      <c r="AQ81">
        <v>0</v>
      </c>
      <c r="AR81" t="s">
        <v>152</v>
      </c>
      <c r="AS81" t="s">
        <v>152</v>
      </c>
      <c r="AT81" t="s">
        <v>273</v>
      </c>
      <c r="AU81" t="s">
        <v>274</v>
      </c>
      <c r="AV81" t="s">
        <v>275</v>
      </c>
      <c r="AW81" t="s">
        <v>172</v>
      </c>
      <c r="AY81" s="1" t="s">
        <v>159</v>
      </c>
      <c r="AZ81">
        <v>3</v>
      </c>
      <c r="BA81" t="s">
        <v>160</v>
      </c>
      <c r="BB81" t="s">
        <v>276</v>
      </c>
      <c r="BC81" t="s">
        <v>148</v>
      </c>
      <c r="BD81" t="s">
        <v>277</v>
      </c>
      <c r="BE81" t="s">
        <v>169</v>
      </c>
      <c r="BF81" t="s">
        <v>169</v>
      </c>
      <c r="BG81" t="s">
        <v>236</v>
      </c>
      <c r="BH81" t="s">
        <v>236</v>
      </c>
      <c r="BI81" t="s">
        <v>236</v>
      </c>
      <c r="BJ81">
        <v>0</v>
      </c>
      <c r="BK81" t="s">
        <v>278</v>
      </c>
      <c r="BL81" t="s">
        <v>172</v>
      </c>
      <c r="BO81" t="s">
        <v>173</v>
      </c>
      <c r="CS81" s="1" t="s">
        <v>123</v>
      </c>
      <c r="DC81" s="1" t="s">
        <v>214</v>
      </c>
      <c r="DD81" t="s">
        <v>862</v>
      </c>
      <c r="DE81" t="s">
        <v>280</v>
      </c>
      <c r="DF81" t="s">
        <v>150</v>
      </c>
      <c r="DG81" t="s">
        <v>150</v>
      </c>
      <c r="DH81" t="s">
        <v>150</v>
      </c>
      <c r="DI81" t="s">
        <v>150</v>
      </c>
      <c r="DJ81" t="s">
        <v>150</v>
      </c>
      <c r="DK81" t="s">
        <v>150</v>
      </c>
      <c r="DL81" t="s">
        <v>281</v>
      </c>
      <c r="DM81" s="1" t="s">
        <v>123</v>
      </c>
      <c r="EP81" s="1" t="s">
        <v>123</v>
      </c>
      <c r="EQ81" t="s">
        <v>180</v>
      </c>
      <c r="ER81" t="s">
        <v>132</v>
      </c>
      <c r="FP81" s="1" t="s">
        <v>123</v>
      </c>
      <c r="FQ81" t="s">
        <v>132</v>
      </c>
      <c r="FS81" t="s">
        <v>132</v>
      </c>
      <c r="GX81" t="s">
        <v>282</v>
      </c>
      <c r="GY81" t="s">
        <v>283</v>
      </c>
      <c r="GZ81" t="s">
        <v>284</v>
      </c>
      <c r="HA81" t="s">
        <v>186</v>
      </c>
      <c r="HB81">
        <v>1950</v>
      </c>
      <c r="HC81" t="str">
        <f>VLOOKUP(AnalizaCzyste[[#This Row],[Rok urodzenia]],KategorieWiekowe[],2,1)</f>
        <v>powyżej 65 lat</v>
      </c>
      <c r="HD81" t="s">
        <v>141</v>
      </c>
    </row>
    <row r="82" spans="1:216" x14ac:dyDescent="0.45">
      <c r="A82">
        <v>191</v>
      </c>
      <c r="B82">
        <f>_xlfn.IFNA(VLOOKUP(AnalizaCzyste[[#This Row],[Zakończono wypełnianie]],Zakończone[],2,0),"BRAK")</f>
        <v>109</v>
      </c>
      <c r="C82">
        <f t="shared" si="2"/>
        <v>34</v>
      </c>
      <c r="D82" t="s">
        <v>1618</v>
      </c>
      <c r="E82" t="s">
        <v>118</v>
      </c>
      <c r="J82" t="s">
        <v>119</v>
      </c>
      <c r="K82" t="s">
        <v>1619</v>
      </c>
      <c r="L82" t="s">
        <v>1620</v>
      </c>
      <c r="M82">
        <v>1891</v>
      </c>
      <c r="N82">
        <v>0</v>
      </c>
      <c r="O82" t="s">
        <v>122</v>
      </c>
      <c r="P82" s="1" t="s">
        <v>123</v>
      </c>
      <c r="AF82" s="1" t="s">
        <v>124</v>
      </c>
      <c r="AG82" t="s">
        <v>1503</v>
      </c>
      <c r="AH82" t="str">
        <f>VLOOKUP(AnalizaCzyste[[#This Row],[Jak się nazywa uczelnia którą ukończyłeś? (proszę o wybranie jednej uczelni podlegającej ocenie)]],KategorieUczelni[],2,0)</f>
        <v>Publiczna</v>
      </c>
      <c r="AI82">
        <v>2000</v>
      </c>
      <c r="AJ82" t="s">
        <v>148</v>
      </c>
      <c r="AK82" t="s">
        <v>1622</v>
      </c>
      <c r="AL82" t="s">
        <v>150</v>
      </c>
      <c r="AM82" t="s">
        <v>150</v>
      </c>
      <c r="AN82" t="s">
        <v>150</v>
      </c>
      <c r="AO82" t="s">
        <v>236</v>
      </c>
      <c r="AP82" t="s">
        <v>162</v>
      </c>
      <c r="AQ82" t="s">
        <v>1623</v>
      </c>
      <c r="AR82" t="s">
        <v>132</v>
      </c>
      <c r="AS82" t="s">
        <v>302</v>
      </c>
      <c r="AT82" t="s">
        <v>1624</v>
      </c>
      <c r="AU82" t="s">
        <v>1625</v>
      </c>
      <c r="AV82" t="s">
        <v>1626</v>
      </c>
      <c r="AW82" t="s">
        <v>172</v>
      </c>
      <c r="AY82" s="1" t="s">
        <v>123</v>
      </c>
      <c r="CS82" s="1" t="s">
        <v>123</v>
      </c>
      <c r="DC82" s="1" t="s">
        <v>123</v>
      </c>
      <c r="DM82" s="1" t="s">
        <v>123</v>
      </c>
      <c r="EP82" s="1" t="s">
        <v>123</v>
      </c>
      <c r="FP82" s="1" t="s">
        <v>123</v>
      </c>
      <c r="GX82" t="s">
        <v>1627</v>
      </c>
      <c r="GY82" t="s">
        <v>1628</v>
      </c>
      <c r="GZ82" t="s">
        <v>1629</v>
      </c>
      <c r="HA82" t="s">
        <v>186</v>
      </c>
      <c r="HB82">
        <v>1948</v>
      </c>
      <c r="HC82" t="str">
        <f>VLOOKUP(AnalizaCzyste[[#This Row],[Rok urodzenia]],KategorieWiekowe[],2,1)</f>
        <v>powyżej 65 lat</v>
      </c>
      <c r="HD82" t="s">
        <v>1630</v>
      </c>
      <c r="HG82" t="s">
        <v>1631</v>
      </c>
    </row>
    <row r="83" spans="1:216" x14ac:dyDescent="0.45">
      <c r="A83">
        <v>178</v>
      </c>
      <c r="B83">
        <f>_xlfn.IFNA(VLOOKUP(AnalizaCzyste[[#This Row],[Zakończono wypełnianie]],Zakończone[],2,0),"BRAK")</f>
        <v>100</v>
      </c>
      <c r="C83">
        <f t="shared" si="2"/>
        <v>33</v>
      </c>
      <c r="D83" t="s">
        <v>1131</v>
      </c>
      <c r="E83" t="s">
        <v>118</v>
      </c>
      <c r="J83" t="s">
        <v>119</v>
      </c>
      <c r="K83" t="s">
        <v>1501</v>
      </c>
      <c r="L83" t="s">
        <v>1502</v>
      </c>
      <c r="M83">
        <v>1485</v>
      </c>
      <c r="N83">
        <v>0</v>
      </c>
      <c r="O83" t="s">
        <v>122</v>
      </c>
      <c r="P83" s="1" t="s">
        <v>123</v>
      </c>
      <c r="AF83" s="1" t="s">
        <v>124</v>
      </c>
      <c r="AG83" t="s">
        <v>1503</v>
      </c>
      <c r="AH83" t="str">
        <f>VLOOKUP(AnalizaCzyste[[#This Row],[Jak się nazywa uczelnia którą ukończyłeś? (proszę o wybranie jednej uczelni podlegającej ocenie)]],KategorieUczelni[],2,0)</f>
        <v>Publiczna</v>
      </c>
      <c r="AI83">
        <v>2016</v>
      </c>
      <c r="AJ83" t="s">
        <v>148</v>
      </c>
      <c r="AK83" t="s">
        <v>1504</v>
      </c>
      <c r="AL83" t="s">
        <v>150</v>
      </c>
      <c r="AM83" t="s">
        <v>151</v>
      </c>
      <c r="AN83" t="s">
        <v>162</v>
      </c>
      <c r="AO83" t="s">
        <v>150</v>
      </c>
      <c r="AP83" t="s">
        <v>169</v>
      </c>
      <c r="AQ83">
        <v>4</v>
      </c>
      <c r="AR83" t="s">
        <v>302</v>
      </c>
      <c r="AS83" t="s">
        <v>153</v>
      </c>
      <c r="AT83" t="s">
        <v>1505</v>
      </c>
      <c r="AU83" t="s">
        <v>1506</v>
      </c>
      <c r="AV83" t="s">
        <v>1507</v>
      </c>
      <c r="AW83" t="s">
        <v>157</v>
      </c>
      <c r="AY83" s="1" t="s">
        <v>123</v>
      </c>
      <c r="CS83" s="1" t="s">
        <v>123</v>
      </c>
      <c r="DC83" s="1" t="s">
        <v>123</v>
      </c>
      <c r="DM83" s="1" t="s">
        <v>123</v>
      </c>
      <c r="EP83" s="1" t="s">
        <v>123</v>
      </c>
      <c r="FP83" s="1" t="s">
        <v>123</v>
      </c>
      <c r="GX83" t="s">
        <v>1508</v>
      </c>
      <c r="GY83" t="s">
        <v>1509</v>
      </c>
      <c r="GZ83" t="s">
        <v>1510</v>
      </c>
      <c r="HA83" t="s">
        <v>186</v>
      </c>
      <c r="HB83">
        <v>1991</v>
      </c>
      <c r="HC83" t="str">
        <f>VLOOKUP(AnalizaCzyste[[#This Row],[Rok urodzenia]],KategorieWiekowe[],2,1)</f>
        <v>26-35 lat</v>
      </c>
      <c r="HD83" t="s">
        <v>398</v>
      </c>
    </row>
    <row r="84" spans="1:216" x14ac:dyDescent="0.45">
      <c r="A84">
        <v>2</v>
      </c>
      <c r="B84">
        <f>_xlfn.IFNA(VLOOKUP(AnalizaCzyste[[#This Row],[Zakończono wypełnianie]],Zakończone[],2,0),"BRAK")</f>
        <v>2</v>
      </c>
      <c r="C84">
        <f t="shared" si="2"/>
        <v>97</v>
      </c>
      <c r="D84" t="s">
        <v>144</v>
      </c>
      <c r="E84" t="s">
        <v>118</v>
      </c>
      <c r="J84" t="s">
        <v>119</v>
      </c>
      <c r="K84" t="s">
        <v>145</v>
      </c>
      <c r="L84" t="s">
        <v>146</v>
      </c>
      <c r="M84">
        <v>1573</v>
      </c>
      <c r="N84">
        <v>0</v>
      </c>
      <c r="O84" t="s">
        <v>122</v>
      </c>
      <c r="P84" s="1" t="s">
        <v>123</v>
      </c>
      <c r="AF84" s="1" t="s">
        <v>124</v>
      </c>
      <c r="AG84" t="s">
        <v>234</v>
      </c>
      <c r="AH84" t="str">
        <f>VLOOKUP(AnalizaCzyste[[#This Row],[Jak się nazywa uczelnia którą ukończyłeś? (proszę o wybranie jednej uczelni podlegającej ocenie)]],KategorieUczelni[],2,0)</f>
        <v>Publiczna</v>
      </c>
      <c r="AI84">
        <v>1986</v>
      </c>
      <c r="AJ84" t="s">
        <v>148</v>
      </c>
      <c r="AK84" t="s">
        <v>149</v>
      </c>
      <c r="AL84" t="s">
        <v>150</v>
      </c>
      <c r="AM84" t="s">
        <v>150</v>
      </c>
      <c r="AN84" t="s">
        <v>150</v>
      </c>
      <c r="AO84" t="s">
        <v>151</v>
      </c>
      <c r="AP84" t="s">
        <v>150</v>
      </c>
      <c r="AQ84">
        <v>3</v>
      </c>
      <c r="AR84" t="s">
        <v>152</v>
      </c>
      <c r="AS84" t="s">
        <v>153</v>
      </c>
      <c r="AT84" t="s">
        <v>154</v>
      </c>
      <c r="AU84" t="s">
        <v>155</v>
      </c>
      <c r="AV84" t="s">
        <v>156</v>
      </c>
      <c r="AW84" t="s">
        <v>157</v>
      </c>
      <c r="AX84" t="s">
        <v>158</v>
      </c>
      <c r="AY84" s="1" t="s">
        <v>159</v>
      </c>
      <c r="AZ84">
        <v>2</v>
      </c>
      <c r="BA84" t="s">
        <v>160</v>
      </c>
      <c r="BB84">
        <v>2013</v>
      </c>
      <c r="BC84" t="s">
        <v>148</v>
      </c>
      <c r="BD84" t="s">
        <v>161</v>
      </c>
      <c r="BE84" t="s">
        <v>162</v>
      </c>
      <c r="BF84" t="s">
        <v>150</v>
      </c>
      <c r="BG84" t="s">
        <v>150</v>
      </c>
      <c r="BH84" t="s">
        <v>150</v>
      </c>
      <c r="BI84" t="s">
        <v>150</v>
      </c>
      <c r="BJ84" t="s">
        <v>163</v>
      </c>
      <c r="BK84" t="s">
        <v>164</v>
      </c>
      <c r="BL84" t="s">
        <v>157</v>
      </c>
      <c r="BN84" t="s">
        <v>165</v>
      </c>
      <c r="BO84" t="s">
        <v>166</v>
      </c>
      <c r="BP84" t="s">
        <v>167</v>
      </c>
      <c r="BQ84">
        <v>2015</v>
      </c>
      <c r="BR84" t="s">
        <v>148</v>
      </c>
      <c r="BS84" t="s">
        <v>168</v>
      </c>
      <c r="BT84" t="s">
        <v>150</v>
      </c>
      <c r="BU84" t="s">
        <v>169</v>
      </c>
      <c r="BV84" t="s">
        <v>150</v>
      </c>
      <c r="BW84" t="s">
        <v>150</v>
      </c>
      <c r="BX84" t="s">
        <v>150</v>
      </c>
      <c r="BY84" t="s">
        <v>170</v>
      </c>
      <c r="BZ84" t="s">
        <v>171</v>
      </c>
      <c r="CA84" t="s">
        <v>172</v>
      </c>
      <c r="CD84" t="s">
        <v>173</v>
      </c>
      <c r="CS84" s="1" t="s">
        <v>123</v>
      </c>
      <c r="DC84" s="1" t="s">
        <v>123</v>
      </c>
      <c r="DM84" s="1" t="s">
        <v>174</v>
      </c>
      <c r="DQ84" t="s">
        <v>175</v>
      </c>
      <c r="DR84" t="s">
        <v>176</v>
      </c>
      <c r="DS84" t="s">
        <v>162</v>
      </c>
      <c r="DT84" t="s">
        <v>150</v>
      </c>
      <c r="DU84" t="s">
        <v>151</v>
      </c>
      <c r="DV84" t="s">
        <v>151</v>
      </c>
      <c r="DW84" t="s">
        <v>162</v>
      </c>
      <c r="DX84" t="s">
        <v>162</v>
      </c>
      <c r="DY84" t="s">
        <v>150</v>
      </c>
      <c r="DZ84">
        <v>25</v>
      </c>
      <c r="EA84">
        <v>25</v>
      </c>
      <c r="EB84">
        <v>2</v>
      </c>
      <c r="EC84">
        <v>5</v>
      </c>
      <c r="ED84">
        <v>8</v>
      </c>
      <c r="EE84">
        <v>25</v>
      </c>
      <c r="EF84">
        <v>10</v>
      </c>
      <c r="EH84">
        <v>20</v>
      </c>
      <c r="EI84">
        <v>20</v>
      </c>
      <c r="EJ84">
        <v>1</v>
      </c>
      <c r="EK84">
        <v>4</v>
      </c>
      <c r="EL84">
        <v>25</v>
      </c>
      <c r="EM84">
        <v>25</v>
      </c>
      <c r="EN84">
        <v>5</v>
      </c>
      <c r="EP84" s="1" t="s">
        <v>177</v>
      </c>
      <c r="EQ84" t="s">
        <v>178</v>
      </c>
      <c r="ER84">
        <v>1</v>
      </c>
      <c r="ES84" t="s">
        <v>179</v>
      </c>
      <c r="ET84" t="s">
        <v>150</v>
      </c>
      <c r="EU84" t="s">
        <v>150</v>
      </c>
      <c r="EV84" t="s">
        <v>151</v>
      </c>
      <c r="EW84" t="s">
        <v>180</v>
      </c>
      <c r="EX84" t="s">
        <v>181</v>
      </c>
      <c r="EY84" t="s">
        <v>182</v>
      </c>
      <c r="EZ84" t="s">
        <v>173</v>
      </c>
      <c r="FP84" s="1" t="s">
        <v>123</v>
      </c>
      <c r="FQ84" t="s">
        <v>132</v>
      </c>
      <c r="GX84" t="s">
        <v>183</v>
      </c>
      <c r="GY84" t="s">
        <v>184</v>
      </c>
      <c r="GZ84" t="s">
        <v>185</v>
      </c>
      <c r="HA84" t="s">
        <v>186</v>
      </c>
      <c r="HB84">
        <v>1961</v>
      </c>
      <c r="HC84" t="str">
        <f>VLOOKUP(AnalizaCzyste[[#This Row],[Rok urodzenia]],KategorieWiekowe[],2,1)</f>
        <v>56-65 lat</v>
      </c>
      <c r="HD84" t="s">
        <v>141</v>
      </c>
      <c r="HF84" t="s">
        <v>187</v>
      </c>
    </row>
    <row r="85" spans="1:216" hidden="1" x14ac:dyDescent="0.45">
      <c r="A85">
        <v>181</v>
      </c>
      <c r="B85">
        <f>_xlfn.IFNA(VLOOKUP(AnalizaCzyste[[#This Row],[Zakończono wypełnianie]],Zakończone[],2,0),"BRAK")</f>
        <v>102</v>
      </c>
      <c r="C85">
        <f t="shared" si="2"/>
        <v>35</v>
      </c>
      <c r="D85" t="s">
        <v>1336</v>
      </c>
      <c r="E85" t="s">
        <v>118</v>
      </c>
      <c r="J85" t="s">
        <v>119</v>
      </c>
      <c r="K85" t="s">
        <v>1528</v>
      </c>
      <c r="L85" t="s">
        <v>1529</v>
      </c>
      <c r="M85">
        <v>426</v>
      </c>
      <c r="N85">
        <v>0</v>
      </c>
      <c r="O85" t="s">
        <v>122</v>
      </c>
      <c r="P85" s="1" t="s">
        <v>416</v>
      </c>
      <c r="Q85" t="s">
        <v>1439</v>
      </c>
      <c r="R85" t="s">
        <v>126</v>
      </c>
      <c r="S85" t="s">
        <v>192</v>
      </c>
      <c r="T85" t="s">
        <v>151</v>
      </c>
      <c r="U85" t="s">
        <v>162</v>
      </c>
      <c r="V85" t="s">
        <v>128</v>
      </c>
      <c r="W85" t="s">
        <v>1531</v>
      </c>
      <c r="X85" t="s">
        <v>194</v>
      </c>
      <c r="Y85" t="s">
        <v>194</v>
      </c>
      <c r="Z85" t="s">
        <v>1532</v>
      </c>
      <c r="AA85" t="s">
        <v>1533</v>
      </c>
      <c r="AB85" t="s">
        <v>1534</v>
      </c>
      <c r="AC85" t="s">
        <v>892</v>
      </c>
      <c r="AE85">
        <v>7</v>
      </c>
      <c r="AF85" s="1" t="s">
        <v>123</v>
      </c>
      <c r="AH85" t="e">
        <f>VLOOKUP(AnalizaCzyste[[#This Row],[Jak się nazywa uczelnia którą ukończyłeś? (proszę o wybranie jednej uczelni podlegającej ocenie)]],KategorieUczelni[],2,0)</f>
        <v>#N/A</v>
      </c>
      <c r="AY85" s="1" t="s">
        <v>123</v>
      </c>
      <c r="CS85" s="1" t="s">
        <v>123</v>
      </c>
      <c r="DC85" s="1" t="s">
        <v>123</v>
      </c>
      <c r="DM85" s="1" t="s">
        <v>123</v>
      </c>
      <c r="EP85" s="1" t="s">
        <v>123</v>
      </c>
      <c r="EQ85" t="s">
        <v>178</v>
      </c>
      <c r="ER85" t="s">
        <v>132</v>
      </c>
      <c r="FP85" s="1" t="s">
        <v>123</v>
      </c>
      <c r="GX85" t="s">
        <v>1535</v>
      </c>
      <c r="GY85" t="s">
        <v>1536</v>
      </c>
      <c r="GZ85" t="s">
        <v>1537</v>
      </c>
      <c r="HA85" t="s">
        <v>140</v>
      </c>
      <c r="HB85">
        <v>1991</v>
      </c>
      <c r="HC85" t="str">
        <f>VLOOKUP(AnalizaCzyste[[#This Row],[Rok urodzenia]],KategorieWiekowe[],2,1)</f>
        <v>26-35 lat</v>
      </c>
      <c r="HD85" t="s">
        <v>141</v>
      </c>
      <c r="HF85" t="s">
        <v>1538</v>
      </c>
      <c r="HG85" t="s">
        <v>1539</v>
      </c>
    </row>
    <row r="86" spans="1:216" x14ac:dyDescent="0.45">
      <c r="A86">
        <v>4</v>
      </c>
      <c r="B86">
        <f>_xlfn.IFNA(VLOOKUP(AnalizaCzyste[[#This Row],[Zakończono wypełnianie]],Zakończone[],2,0),"BRAK")</f>
        <v>4</v>
      </c>
      <c r="C86">
        <f t="shared" si="2"/>
        <v>46</v>
      </c>
      <c r="D86" t="s">
        <v>202</v>
      </c>
      <c r="E86" t="s">
        <v>118</v>
      </c>
      <c r="J86" t="s">
        <v>119</v>
      </c>
      <c r="K86" t="s">
        <v>203</v>
      </c>
      <c r="L86" t="s">
        <v>204</v>
      </c>
      <c r="M86">
        <v>3161</v>
      </c>
      <c r="N86">
        <v>0</v>
      </c>
      <c r="O86" t="s">
        <v>122</v>
      </c>
      <c r="P86" s="1" t="s">
        <v>123</v>
      </c>
      <c r="AF86" s="1" t="s">
        <v>124</v>
      </c>
      <c r="AG86" t="s">
        <v>234</v>
      </c>
      <c r="AH86" t="str">
        <f>VLOOKUP(AnalizaCzyste[[#This Row],[Jak się nazywa uczelnia którą ukończyłeś? (proszę o wybranie jednej uczelni podlegającej ocenie)]],KategorieUczelni[],2,0)</f>
        <v>Publiczna</v>
      </c>
      <c r="AI86">
        <v>1986</v>
      </c>
      <c r="AJ86" t="s">
        <v>148</v>
      </c>
      <c r="AK86" t="s">
        <v>207</v>
      </c>
      <c r="AL86" t="s">
        <v>150</v>
      </c>
      <c r="AM86" t="s">
        <v>150</v>
      </c>
      <c r="AN86" t="s">
        <v>162</v>
      </c>
      <c r="AO86" t="s">
        <v>162</v>
      </c>
      <c r="AP86" t="s">
        <v>162</v>
      </c>
      <c r="AQ86" t="s">
        <v>208</v>
      </c>
      <c r="AR86" t="s">
        <v>209</v>
      </c>
      <c r="AS86" t="s">
        <v>209</v>
      </c>
      <c r="AT86" t="s">
        <v>210</v>
      </c>
      <c r="AU86" t="s">
        <v>211</v>
      </c>
      <c r="AV86" t="s">
        <v>212</v>
      </c>
      <c r="AW86" t="s">
        <v>157</v>
      </c>
      <c r="AX86" t="s">
        <v>213</v>
      </c>
      <c r="AY86" s="1" t="s">
        <v>123</v>
      </c>
      <c r="CS86" s="1" t="s">
        <v>123</v>
      </c>
      <c r="DC86" s="1" t="s">
        <v>214</v>
      </c>
      <c r="DD86" t="s">
        <v>205</v>
      </c>
      <c r="DE86" t="s">
        <v>215</v>
      </c>
      <c r="DF86" t="s">
        <v>150</v>
      </c>
      <c r="DG86" t="s">
        <v>169</v>
      </c>
      <c r="DH86" t="s">
        <v>169</v>
      </c>
      <c r="DI86" t="s">
        <v>150</v>
      </c>
      <c r="DJ86" t="s">
        <v>151</v>
      </c>
      <c r="DK86" t="s">
        <v>151</v>
      </c>
      <c r="DL86" t="s">
        <v>216</v>
      </c>
      <c r="DM86" s="1" t="s">
        <v>123</v>
      </c>
      <c r="EP86" s="1" t="s">
        <v>123</v>
      </c>
      <c r="EQ86" t="s">
        <v>178</v>
      </c>
      <c r="ER86" t="s">
        <v>132</v>
      </c>
      <c r="FP86" s="1" t="s">
        <v>123</v>
      </c>
      <c r="FQ86" t="s">
        <v>132</v>
      </c>
      <c r="GX86" t="s">
        <v>217</v>
      </c>
      <c r="GY86" t="s">
        <v>218</v>
      </c>
      <c r="GZ86" t="s">
        <v>219</v>
      </c>
      <c r="HA86" t="s">
        <v>140</v>
      </c>
      <c r="HB86">
        <v>1961</v>
      </c>
      <c r="HC86" t="str">
        <f>VLOOKUP(AnalizaCzyste[[#This Row],[Rok urodzenia]],KategorieWiekowe[],2,1)</f>
        <v>56-65 lat</v>
      </c>
      <c r="HD86" t="s">
        <v>220</v>
      </c>
    </row>
    <row r="87" spans="1:216" x14ac:dyDescent="0.45">
      <c r="A87">
        <v>130</v>
      </c>
      <c r="B87">
        <f>_xlfn.IFNA(VLOOKUP(AnalizaCzyste[[#This Row],[Zakończono wypełnianie]],Zakończone[],2,0),"BRAK")</f>
        <v>79</v>
      </c>
      <c r="C87">
        <f t="shared" si="2"/>
        <v>83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 t="str">
        <f>VLOOKUP(AnalizaCzyste[[#This Row],[Jak się nazywa uczelnia którą ukończyłeś? (proszę o wybranie jednej uczelni podlegającej ocenie)]],KategorieUczelni[],2,0)</f>
        <v>Publiczna</v>
      </c>
      <c r="AI87">
        <v>1985</v>
      </c>
      <c r="AJ87" t="s">
        <v>148</v>
      </c>
      <c r="AK87" t="s">
        <v>391</v>
      </c>
      <c r="AL87" t="s">
        <v>150</v>
      </c>
      <c r="AM87" t="s">
        <v>150</v>
      </c>
      <c r="AN87" t="s">
        <v>169</v>
      </c>
      <c r="AO87" t="s">
        <v>236</v>
      </c>
      <c r="AP87" t="s">
        <v>236</v>
      </c>
      <c r="AQ87">
        <v>0</v>
      </c>
      <c r="AR87" t="s">
        <v>152</v>
      </c>
      <c r="AS87" t="s">
        <v>152</v>
      </c>
      <c r="AT87" t="s">
        <v>1228</v>
      </c>
      <c r="AU87" t="s">
        <v>1229</v>
      </c>
      <c r="AV87" t="s">
        <v>1229</v>
      </c>
      <c r="AW87" t="s">
        <v>157</v>
      </c>
      <c r="AY87" s="1" t="s">
        <v>159</v>
      </c>
      <c r="AZ87">
        <v>2</v>
      </c>
      <c r="BA87" t="s">
        <v>1230</v>
      </c>
      <c r="BB87">
        <v>2005</v>
      </c>
      <c r="BC87" t="s">
        <v>148</v>
      </c>
      <c r="BD87" t="s">
        <v>1231</v>
      </c>
      <c r="BE87" t="s">
        <v>169</v>
      </c>
      <c r="BF87" t="s">
        <v>169</v>
      </c>
      <c r="BG87" t="s">
        <v>169</v>
      </c>
      <c r="BH87" t="s">
        <v>236</v>
      </c>
      <c r="BI87" t="s">
        <v>236</v>
      </c>
      <c r="BJ87">
        <v>0</v>
      </c>
      <c r="BK87" t="s">
        <v>1232</v>
      </c>
      <c r="BL87" t="s">
        <v>157</v>
      </c>
      <c r="BO87" t="s">
        <v>166</v>
      </c>
      <c r="BP87" t="s">
        <v>1233</v>
      </c>
      <c r="BQ87">
        <v>2008</v>
      </c>
      <c r="BR87" t="s">
        <v>148</v>
      </c>
      <c r="BS87" t="s">
        <v>1234</v>
      </c>
      <c r="BT87" t="s">
        <v>169</v>
      </c>
      <c r="BU87" t="s">
        <v>169</v>
      </c>
      <c r="BV87" t="s">
        <v>169</v>
      </c>
      <c r="BW87" t="s">
        <v>128</v>
      </c>
      <c r="BX87" t="s">
        <v>162</v>
      </c>
      <c r="BY87" t="s">
        <v>1235</v>
      </c>
      <c r="BZ87" t="s">
        <v>1236</v>
      </c>
      <c r="CA87" t="s">
        <v>157</v>
      </c>
      <c r="CD87" t="s">
        <v>173</v>
      </c>
      <c r="CS87" s="1" t="s">
        <v>123</v>
      </c>
      <c r="DC87" s="1" t="s">
        <v>123</v>
      </c>
      <c r="DM87" s="1" t="s">
        <v>174</v>
      </c>
      <c r="DN87" t="s">
        <v>394</v>
      </c>
      <c r="DR87" t="s">
        <v>1230</v>
      </c>
      <c r="DS87" t="s">
        <v>150</v>
      </c>
      <c r="DT87" t="s">
        <v>150</v>
      </c>
      <c r="DU87" t="s">
        <v>150</v>
      </c>
      <c r="DV87" t="s">
        <v>150</v>
      </c>
      <c r="DW87" t="s">
        <v>150</v>
      </c>
      <c r="DX87" t="s">
        <v>169</v>
      </c>
      <c r="DY87" t="s">
        <v>150</v>
      </c>
      <c r="DZ87">
        <v>20</v>
      </c>
      <c r="EA87">
        <v>5</v>
      </c>
      <c r="EB87">
        <v>0</v>
      </c>
      <c r="EC87">
        <v>30</v>
      </c>
      <c r="ED87">
        <v>25</v>
      </c>
      <c r="EE87">
        <v>10</v>
      </c>
      <c r="EF87">
        <v>10</v>
      </c>
      <c r="EH87">
        <v>10</v>
      </c>
      <c r="EI87">
        <v>5</v>
      </c>
      <c r="EJ87">
        <v>0</v>
      </c>
      <c r="EK87">
        <v>25</v>
      </c>
      <c r="EL87">
        <v>25</v>
      </c>
      <c r="EM87">
        <v>5</v>
      </c>
      <c r="EN87">
        <v>30</v>
      </c>
      <c r="EP87" s="1" t="s">
        <v>123</v>
      </c>
      <c r="FP87" s="1" t="s">
        <v>123</v>
      </c>
      <c r="GX87" t="s">
        <v>1237</v>
      </c>
      <c r="GY87" t="s">
        <v>1229</v>
      </c>
      <c r="GZ87" t="s">
        <v>1229</v>
      </c>
      <c r="HA87" t="s">
        <v>140</v>
      </c>
      <c r="HB87">
        <v>1958</v>
      </c>
      <c r="HC87" t="str">
        <f>VLOOKUP(AnalizaCzyste[[#This Row],[Rok urodzenia]],KategorieWiekowe[],2,1)</f>
        <v>56-65 lat</v>
      </c>
      <c r="HD87" t="s">
        <v>141</v>
      </c>
    </row>
    <row r="88" spans="1:216" x14ac:dyDescent="0.45">
      <c r="A88">
        <v>129</v>
      </c>
      <c r="B88">
        <f>_xlfn.IFNA(VLOOKUP(AnalizaCzyste[[#This Row],[Zakończono wypełnianie]],Zakończone[],2,0),"BRAK")</f>
        <v>78</v>
      </c>
      <c r="C88">
        <f t="shared" si="2"/>
        <v>33</v>
      </c>
      <c r="D88" t="s">
        <v>1211</v>
      </c>
      <c r="E88" t="s">
        <v>118</v>
      </c>
      <c r="F88" t="s">
        <v>1152</v>
      </c>
      <c r="J88" t="s">
        <v>119</v>
      </c>
      <c r="K88" t="s">
        <v>1212</v>
      </c>
      <c r="L88" t="s">
        <v>1213</v>
      </c>
      <c r="M88">
        <v>808</v>
      </c>
      <c r="N88">
        <v>0</v>
      </c>
      <c r="O88" t="s">
        <v>122</v>
      </c>
      <c r="P88" s="1" t="s">
        <v>123</v>
      </c>
      <c r="AF88" s="1" t="s">
        <v>124</v>
      </c>
      <c r="AG88" t="s">
        <v>428</v>
      </c>
      <c r="AH88" t="str">
        <f>VLOOKUP(AnalizaCzyste[[#This Row],[Jak się nazywa uczelnia którą ukończyłeś? (proszę o wybranie jednej uczelni podlegającej ocenie)]],KategorieUczelni[],2,0)</f>
        <v>Publiczna</v>
      </c>
      <c r="AI88">
        <v>1998</v>
      </c>
      <c r="AJ88" t="s">
        <v>148</v>
      </c>
      <c r="AK88" t="s">
        <v>1215</v>
      </c>
      <c r="AL88" t="s">
        <v>150</v>
      </c>
      <c r="AM88" t="s">
        <v>150</v>
      </c>
      <c r="AN88" t="s">
        <v>151</v>
      </c>
      <c r="AO88" t="s">
        <v>129</v>
      </c>
      <c r="AP88" t="s">
        <v>128</v>
      </c>
      <c r="AQ88" t="s">
        <v>1216</v>
      </c>
      <c r="AR88" t="s">
        <v>131</v>
      </c>
      <c r="AS88" t="s">
        <v>131</v>
      </c>
      <c r="AT88" t="s">
        <v>1217</v>
      </c>
      <c r="AU88" t="s">
        <v>1218</v>
      </c>
      <c r="AV88" t="s">
        <v>1219</v>
      </c>
      <c r="AX88" t="s">
        <v>1220</v>
      </c>
      <c r="AY88" s="1" t="s">
        <v>123</v>
      </c>
      <c r="CS88" s="1" t="s">
        <v>123</v>
      </c>
      <c r="DC88" s="1" t="s">
        <v>123</v>
      </c>
      <c r="DM88" s="1" t="s">
        <v>123</v>
      </c>
      <c r="EP88" s="1" t="s">
        <v>123</v>
      </c>
      <c r="FP88" s="1" t="s">
        <v>123</v>
      </c>
      <c r="GX88" t="s">
        <v>1221</v>
      </c>
      <c r="GY88" t="s">
        <v>1222</v>
      </c>
      <c r="GZ88" t="s">
        <v>1223</v>
      </c>
      <c r="HA88" t="s">
        <v>186</v>
      </c>
      <c r="HB88">
        <v>1973</v>
      </c>
      <c r="HC88" t="str">
        <f>VLOOKUP(AnalizaCzyste[[#This Row],[Rok urodzenia]],KategorieWiekowe[],2,1)</f>
        <v>46-55 lat</v>
      </c>
      <c r="HD88" t="s">
        <v>141</v>
      </c>
    </row>
    <row r="89" spans="1:216" x14ac:dyDescent="0.45">
      <c r="A89">
        <v>88</v>
      </c>
      <c r="B89">
        <f>_xlfn.IFNA(VLOOKUP(AnalizaCzyste[[#This Row],[Zakończono wypełnianie]],Zakończone[],2,0),"BRAK")</f>
        <v>53</v>
      </c>
      <c r="C89">
        <f t="shared" si="2"/>
        <v>48</v>
      </c>
      <c r="D89" t="s">
        <v>873</v>
      </c>
      <c r="E89" t="s">
        <v>118</v>
      </c>
      <c r="F89" t="s">
        <v>797</v>
      </c>
      <c r="J89" t="s">
        <v>119</v>
      </c>
      <c r="K89" t="s">
        <v>895</v>
      </c>
      <c r="L89" t="s">
        <v>896</v>
      </c>
      <c r="M89">
        <v>1418</v>
      </c>
      <c r="N89">
        <v>0</v>
      </c>
      <c r="O89" t="s">
        <v>122</v>
      </c>
      <c r="P89" s="1" t="s">
        <v>123</v>
      </c>
      <c r="AF89" s="1" t="s">
        <v>124</v>
      </c>
      <c r="AG89" s="20" t="s">
        <v>191</v>
      </c>
      <c r="AH89" s="20" t="str">
        <f>VLOOKUP(AnalizaCzyste[[#This Row],[Jak się nazywa uczelnia którą ukończyłeś? (proszę o wybranie jednej uczelni podlegającej ocenie)]],KategorieUczelni[],2,0)</f>
        <v>Publiczna</v>
      </c>
      <c r="AI89">
        <v>1975</v>
      </c>
      <c r="AJ89" t="s">
        <v>126</v>
      </c>
      <c r="AK89" t="s">
        <v>897</v>
      </c>
      <c r="AL89" t="s">
        <v>150</v>
      </c>
      <c r="AM89" t="s">
        <v>162</v>
      </c>
      <c r="AN89" t="s">
        <v>150</v>
      </c>
      <c r="AO89" t="s">
        <v>162</v>
      </c>
      <c r="AP89" t="s">
        <v>162</v>
      </c>
      <c r="AQ89" t="s">
        <v>898</v>
      </c>
      <c r="AR89" t="s">
        <v>153</v>
      </c>
      <c r="AS89" t="s">
        <v>153</v>
      </c>
      <c r="AU89" t="s">
        <v>532</v>
      </c>
      <c r="AV89" t="s">
        <v>532</v>
      </c>
      <c r="AW89" t="s">
        <v>157</v>
      </c>
      <c r="AY89" s="1" t="s">
        <v>159</v>
      </c>
      <c r="AZ89">
        <v>1</v>
      </c>
      <c r="BA89" t="s">
        <v>191</v>
      </c>
      <c r="BB89">
        <v>2011</v>
      </c>
      <c r="BC89" t="s">
        <v>126</v>
      </c>
      <c r="BD89" t="s">
        <v>127</v>
      </c>
      <c r="BE89" t="s">
        <v>162</v>
      </c>
      <c r="BF89" t="s">
        <v>150</v>
      </c>
      <c r="BG89" t="s">
        <v>236</v>
      </c>
      <c r="BH89" t="s">
        <v>132</v>
      </c>
      <c r="BI89" t="s">
        <v>132</v>
      </c>
      <c r="BJ89" t="s">
        <v>900</v>
      </c>
      <c r="BK89" t="s">
        <v>901</v>
      </c>
      <c r="BL89" t="s">
        <v>157</v>
      </c>
      <c r="BM89" t="s">
        <v>878</v>
      </c>
      <c r="BO89" t="s">
        <v>173</v>
      </c>
      <c r="CS89" s="1" t="s">
        <v>123</v>
      </c>
      <c r="DC89" s="1" t="s">
        <v>123</v>
      </c>
      <c r="DM89" s="1" t="s">
        <v>123</v>
      </c>
      <c r="EP89" s="1" t="s">
        <v>123</v>
      </c>
      <c r="FP89" s="1" t="s">
        <v>123</v>
      </c>
      <c r="FQ89" t="s">
        <v>132</v>
      </c>
      <c r="GX89" t="s">
        <v>532</v>
      </c>
      <c r="GY89" t="s">
        <v>532</v>
      </c>
      <c r="GZ89" t="s">
        <v>532</v>
      </c>
      <c r="HA89" t="s">
        <v>140</v>
      </c>
      <c r="HB89">
        <v>1950</v>
      </c>
      <c r="HC89" t="str">
        <f>VLOOKUP(AnalizaCzyste[[#This Row],[Rok urodzenia]],KategorieWiekowe[],2,1)</f>
        <v>powyżej 65 lat</v>
      </c>
      <c r="HD89" t="s">
        <v>141</v>
      </c>
    </row>
    <row r="90" spans="1:216" x14ac:dyDescent="0.45">
      <c r="A90">
        <v>87</v>
      </c>
      <c r="B90">
        <f>_xlfn.IFNA(VLOOKUP(AnalizaCzyste[[#This Row],[Zakończono wypełnianie]],Zakończone[],2,0),"BRAK")</f>
        <v>52</v>
      </c>
      <c r="C90">
        <f t="shared" si="2"/>
        <v>47</v>
      </c>
      <c r="D90" t="s">
        <v>873</v>
      </c>
      <c r="E90" t="s">
        <v>118</v>
      </c>
      <c r="F90" t="s">
        <v>797</v>
      </c>
      <c r="J90" t="s">
        <v>119</v>
      </c>
      <c r="K90" t="s">
        <v>888</v>
      </c>
      <c r="L90" t="s">
        <v>889</v>
      </c>
      <c r="M90">
        <v>1595</v>
      </c>
      <c r="N90">
        <v>0</v>
      </c>
      <c r="O90" t="s">
        <v>122</v>
      </c>
      <c r="P90" s="1" t="s">
        <v>123</v>
      </c>
      <c r="AF90" s="1" t="s">
        <v>124</v>
      </c>
      <c r="AG90" s="20" t="s">
        <v>191</v>
      </c>
      <c r="AH90" s="20" t="str">
        <f>VLOOKUP(AnalizaCzyste[[#This Row],[Jak się nazywa uczelnia którą ukończyłeś? (proszę o wybranie jednej uczelni podlegającej ocenie)]],KategorieUczelni[],2,0)</f>
        <v>Publiczna</v>
      </c>
      <c r="AI90">
        <v>1975</v>
      </c>
      <c r="AJ90" t="s">
        <v>126</v>
      </c>
      <c r="AK90" t="s">
        <v>890</v>
      </c>
      <c r="AL90" t="s">
        <v>150</v>
      </c>
      <c r="AM90" t="s">
        <v>162</v>
      </c>
      <c r="AN90" t="s">
        <v>128</v>
      </c>
      <c r="AO90" t="s">
        <v>169</v>
      </c>
      <c r="AP90" t="s">
        <v>169</v>
      </c>
      <c r="AQ90" t="s">
        <v>883</v>
      </c>
      <c r="AR90" t="s">
        <v>194</v>
      </c>
      <c r="AS90" t="s">
        <v>194</v>
      </c>
      <c r="AT90" t="s">
        <v>891</v>
      </c>
      <c r="AU90" t="s">
        <v>532</v>
      </c>
      <c r="AV90" t="s">
        <v>532</v>
      </c>
      <c r="AW90" t="s">
        <v>892</v>
      </c>
      <c r="AY90" s="1" t="s">
        <v>159</v>
      </c>
      <c r="AZ90">
        <v>1</v>
      </c>
      <c r="BA90" t="s">
        <v>893</v>
      </c>
      <c r="BB90">
        <v>2002</v>
      </c>
      <c r="BC90" t="s">
        <v>126</v>
      </c>
      <c r="BD90" t="s">
        <v>801</v>
      </c>
      <c r="BE90" t="s">
        <v>150</v>
      </c>
      <c r="BF90" t="s">
        <v>150</v>
      </c>
      <c r="BG90" t="s">
        <v>150</v>
      </c>
      <c r="BH90" t="s">
        <v>236</v>
      </c>
      <c r="BI90" t="s">
        <v>128</v>
      </c>
      <c r="BJ90">
        <v>3</v>
      </c>
      <c r="BL90" t="s">
        <v>157</v>
      </c>
      <c r="BO90" t="s">
        <v>173</v>
      </c>
      <c r="CS90" s="1" t="s">
        <v>123</v>
      </c>
      <c r="DC90" s="1" t="s">
        <v>123</v>
      </c>
      <c r="DM90" s="1" t="s">
        <v>123</v>
      </c>
      <c r="EP90" s="1" t="s">
        <v>123</v>
      </c>
      <c r="FP90" s="1" t="s">
        <v>123</v>
      </c>
      <c r="FQ90" t="s">
        <v>132</v>
      </c>
      <c r="GX90" t="s">
        <v>532</v>
      </c>
      <c r="GY90" t="s">
        <v>532</v>
      </c>
      <c r="GZ90" t="s">
        <v>532</v>
      </c>
      <c r="HA90" t="s">
        <v>186</v>
      </c>
      <c r="HB90">
        <v>1950</v>
      </c>
      <c r="HC90" t="str">
        <f>VLOOKUP(AnalizaCzyste[[#This Row],[Rok urodzenia]],KategorieWiekowe[],2,1)</f>
        <v>powyżej 65 lat</v>
      </c>
      <c r="HD90" t="s">
        <v>141</v>
      </c>
    </row>
    <row r="91" spans="1:216" x14ac:dyDescent="0.45">
      <c r="A91">
        <v>188</v>
      </c>
      <c r="B91">
        <f>_xlfn.IFNA(VLOOKUP(AnalizaCzyste[[#This Row],[Zakończono wypełnianie]],Zakończone[],2,0),"BRAK")</f>
        <v>107</v>
      </c>
      <c r="C91">
        <f t="shared" si="2"/>
        <v>68</v>
      </c>
      <c r="D91" t="s">
        <v>1587</v>
      </c>
      <c r="E91" t="s">
        <v>118</v>
      </c>
      <c r="J91" t="s">
        <v>119</v>
      </c>
      <c r="K91" t="s">
        <v>1588</v>
      </c>
      <c r="L91" t="s">
        <v>1589</v>
      </c>
      <c r="M91">
        <v>1788</v>
      </c>
      <c r="N91">
        <v>0</v>
      </c>
      <c r="O91" t="s">
        <v>122</v>
      </c>
      <c r="P91" s="1" t="s">
        <v>123</v>
      </c>
      <c r="AF91" s="1" t="s">
        <v>124</v>
      </c>
      <c r="AG91" t="s">
        <v>191</v>
      </c>
      <c r="AH91" t="str">
        <f>VLOOKUP(AnalizaCzyste[[#This Row],[Jak się nazywa uczelnia którą ukończyłeś? (proszę o wybranie jednej uczelni podlegającej ocenie)]],KategorieUczelni[],2,0)</f>
        <v>Publiczna</v>
      </c>
      <c r="AI91">
        <v>1983</v>
      </c>
      <c r="AJ91" t="s">
        <v>126</v>
      </c>
      <c r="AK91" t="s">
        <v>1590</v>
      </c>
      <c r="AL91" t="s">
        <v>150</v>
      </c>
      <c r="AM91" t="s">
        <v>150</v>
      </c>
      <c r="AN91" t="s">
        <v>236</v>
      </c>
      <c r="AO91" t="s">
        <v>129</v>
      </c>
      <c r="AP91" t="s">
        <v>162</v>
      </c>
      <c r="AQ91">
        <v>36</v>
      </c>
      <c r="AR91" t="s">
        <v>132</v>
      </c>
      <c r="AS91" t="s">
        <v>132</v>
      </c>
      <c r="AT91" t="s">
        <v>1591</v>
      </c>
      <c r="AU91" t="s">
        <v>1592</v>
      </c>
      <c r="AV91" t="s">
        <v>1593</v>
      </c>
      <c r="AW91" t="s">
        <v>172</v>
      </c>
      <c r="AY91" s="1" t="s">
        <v>159</v>
      </c>
      <c r="AZ91">
        <v>3</v>
      </c>
      <c r="BA91" t="s">
        <v>191</v>
      </c>
      <c r="BB91">
        <v>2019</v>
      </c>
      <c r="BC91" t="s">
        <v>126</v>
      </c>
      <c r="BD91" t="s">
        <v>1594</v>
      </c>
      <c r="BE91" t="s">
        <v>236</v>
      </c>
      <c r="BF91" t="s">
        <v>128</v>
      </c>
      <c r="BG91" t="s">
        <v>162</v>
      </c>
      <c r="BH91" t="s">
        <v>151</v>
      </c>
      <c r="BI91" t="s">
        <v>132</v>
      </c>
      <c r="BJ91" t="s">
        <v>1595</v>
      </c>
      <c r="BK91" t="s">
        <v>1596</v>
      </c>
      <c r="BL91" t="s">
        <v>157</v>
      </c>
      <c r="BO91" t="s">
        <v>173</v>
      </c>
      <c r="CS91" s="1" t="s">
        <v>123</v>
      </c>
      <c r="DC91" s="1" t="s">
        <v>123</v>
      </c>
      <c r="DM91" s="1" t="s">
        <v>123</v>
      </c>
      <c r="EP91" s="1" t="s">
        <v>177</v>
      </c>
      <c r="EQ91" t="s">
        <v>178</v>
      </c>
      <c r="ER91">
        <v>2</v>
      </c>
      <c r="ES91" t="s">
        <v>747</v>
      </c>
      <c r="ET91" t="s">
        <v>236</v>
      </c>
      <c r="EU91" t="s">
        <v>236</v>
      </c>
      <c r="EV91" t="s">
        <v>128</v>
      </c>
      <c r="EW91" t="s">
        <v>178</v>
      </c>
      <c r="EX91" t="s">
        <v>1597</v>
      </c>
      <c r="EY91" t="s">
        <v>1598</v>
      </c>
      <c r="EZ91" t="s">
        <v>1206</v>
      </c>
      <c r="FA91" t="s">
        <v>1599</v>
      </c>
      <c r="FB91" t="s">
        <v>129</v>
      </c>
      <c r="FC91" t="s">
        <v>129</v>
      </c>
      <c r="FD91" t="s">
        <v>236</v>
      </c>
      <c r="FE91" t="s">
        <v>178</v>
      </c>
      <c r="FF91" t="s">
        <v>1600</v>
      </c>
      <c r="FG91" t="s">
        <v>1601</v>
      </c>
      <c r="FH91" t="s">
        <v>173</v>
      </c>
      <c r="FP91" s="1" t="s">
        <v>123</v>
      </c>
      <c r="GX91" t="s">
        <v>1602</v>
      </c>
      <c r="GY91" t="s">
        <v>1603</v>
      </c>
      <c r="GZ91" t="s">
        <v>1604</v>
      </c>
      <c r="HA91" t="s">
        <v>186</v>
      </c>
      <c r="HB91">
        <v>1959</v>
      </c>
      <c r="HC91" t="str">
        <f>VLOOKUP(AnalizaCzyste[[#This Row],[Rok urodzenia]],KategorieWiekowe[],2,1)</f>
        <v>56-65 lat</v>
      </c>
      <c r="HD91" t="s">
        <v>483</v>
      </c>
      <c r="HF91" t="s">
        <v>1605</v>
      </c>
      <c r="HG91" t="s">
        <v>1606</v>
      </c>
      <c r="HH91" t="s">
        <v>1607</v>
      </c>
    </row>
    <row r="92" spans="1:216" x14ac:dyDescent="0.45">
      <c r="A92">
        <v>260</v>
      </c>
      <c r="B92">
        <f>_xlfn.IFNA(VLOOKUP(AnalizaCzyste[[#This Row],[Zakończono wypełnianie]],Zakończone[],2,0),"BRAK")</f>
        <v>137</v>
      </c>
      <c r="C92">
        <f t="shared" si="2"/>
        <v>68</v>
      </c>
      <c r="D92" t="s">
        <v>2014</v>
      </c>
      <c r="E92" t="s">
        <v>118</v>
      </c>
      <c r="J92" t="s">
        <v>119</v>
      </c>
      <c r="K92" t="s">
        <v>2046</v>
      </c>
      <c r="L92" t="s">
        <v>2047</v>
      </c>
      <c r="M92">
        <v>707</v>
      </c>
      <c r="N92">
        <v>0</v>
      </c>
      <c r="O92" t="s">
        <v>122</v>
      </c>
      <c r="P92" s="1" t="s">
        <v>123</v>
      </c>
      <c r="AF92" s="1" t="s">
        <v>124</v>
      </c>
      <c r="AG92" t="s">
        <v>191</v>
      </c>
      <c r="AH92" t="str">
        <f>VLOOKUP(AnalizaCzyste[[#This Row],[Jak się nazywa uczelnia którą ukończyłeś? (proszę o wybranie jednej uczelni podlegającej ocenie)]],KategorieUczelni[],2,0)</f>
        <v>Publiczna</v>
      </c>
      <c r="AI92">
        <v>1985</v>
      </c>
      <c r="AJ92" t="s">
        <v>126</v>
      </c>
      <c r="AK92" t="s">
        <v>2017</v>
      </c>
      <c r="AL92" t="s">
        <v>150</v>
      </c>
      <c r="AM92" t="s">
        <v>150</v>
      </c>
      <c r="AN92" t="s">
        <v>151</v>
      </c>
      <c r="AO92" t="s">
        <v>236</v>
      </c>
      <c r="AP92" t="s">
        <v>150</v>
      </c>
      <c r="AQ92" t="s">
        <v>237</v>
      </c>
      <c r="AR92" t="s">
        <v>152</v>
      </c>
      <c r="AS92" t="s">
        <v>759</v>
      </c>
      <c r="AT92" t="s">
        <v>2048</v>
      </c>
      <c r="AU92" t="s">
        <v>1229</v>
      </c>
      <c r="AV92" t="s">
        <v>1229</v>
      </c>
      <c r="AW92" t="s">
        <v>157</v>
      </c>
      <c r="AX92" t="s">
        <v>2032</v>
      </c>
      <c r="AY92" s="1" t="s">
        <v>159</v>
      </c>
      <c r="AZ92">
        <v>1</v>
      </c>
      <c r="BA92" t="s">
        <v>191</v>
      </c>
      <c r="BB92">
        <v>2018</v>
      </c>
      <c r="BC92" t="s">
        <v>126</v>
      </c>
      <c r="BD92" t="s">
        <v>2049</v>
      </c>
      <c r="BE92" t="s">
        <v>151</v>
      </c>
      <c r="BF92" t="s">
        <v>151</v>
      </c>
      <c r="BG92" t="s">
        <v>128</v>
      </c>
      <c r="BH92" t="s">
        <v>162</v>
      </c>
      <c r="BI92" t="s">
        <v>132</v>
      </c>
      <c r="BJ92">
        <v>12</v>
      </c>
      <c r="BK92" t="s">
        <v>2050</v>
      </c>
      <c r="BL92" t="s">
        <v>157</v>
      </c>
      <c r="BO92" t="s">
        <v>173</v>
      </c>
      <c r="CS92" s="1" t="s">
        <v>123</v>
      </c>
      <c r="DC92" s="1" t="s">
        <v>123</v>
      </c>
      <c r="DM92" s="1" t="s">
        <v>123</v>
      </c>
      <c r="EP92" s="1" t="s">
        <v>177</v>
      </c>
      <c r="EQ92" t="s">
        <v>178</v>
      </c>
      <c r="ER92">
        <v>2</v>
      </c>
      <c r="ES92" t="s">
        <v>191</v>
      </c>
      <c r="ET92" t="s">
        <v>151</v>
      </c>
      <c r="EU92" t="s">
        <v>162</v>
      </c>
      <c r="EV92" t="s">
        <v>151</v>
      </c>
      <c r="EW92" t="s">
        <v>178</v>
      </c>
      <c r="EX92" t="s">
        <v>2051</v>
      </c>
      <c r="EY92" t="s">
        <v>2052</v>
      </c>
      <c r="EZ92" t="s">
        <v>1206</v>
      </c>
      <c r="FA92" t="s">
        <v>223</v>
      </c>
      <c r="FB92" t="s">
        <v>162</v>
      </c>
      <c r="FC92" t="s">
        <v>162</v>
      </c>
      <c r="FD92" t="s">
        <v>151</v>
      </c>
      <c r="FE92" t="s">
        <v>178</v>
      </c>
      <c r="FF92" t="s">
        <v>2053</v>
      </c>
      <c r="FG92" t="s">
        <v>2054</v>
      </c>
      <c r="FH92" t="s">
        <v>173</v>
      </c>
      <c r="FP92" s="1" t="s">
        <v>123</v>
      </c>
      <c r="GX92" t="s">
        <v>1229</v>
      </c>
      <c r="GY92" t="s">
        <v>1229</v>
      </c>
      <c r="GZ92" t="s">
        <v>1229</v>
      </c>
      <c r="HA92" t="s">
        <v>186</v>
      </c>
      <c r="HB92">
        <v>1959</v>
      </c>
      <c r="HC92" t="str">
        <f>VLOOKUP(AnalizaCzyste[[#This Row],[Rok urodzenia]],KategorieWiekowe[],2,1)</f>
        <v>56-65 lat</v>
      </c>
      <c r="HD92" t="s">
        <v>141</v>
      </c>
      <c r="HF92" t="s">
        <v>2055</v>
      </c>
      <c r="HH92" t="s">
        <v>2056</v>
      </c>
    </row>
    <row r="93" spans="1:216" x14ac:dyDescent="0.45">
      <c r="A93">
        <v>11</v>
      </c>
      <c r="B93">
        <f>_xlfn.IFNA(VLOOKUP(AnalizaCzyste[[#This Row],[Zakończono wypełnianie]],Zakończone[],2,0),"BRAK")</f>
        <v>10</v>
      </c>
      <c r="C93">
        <f t="shared" si="2"/>
        <v>64</v>
      </c>
      <c r="D93" t="s">
        <v>298</v>
      </c>
      <c r="E93" t="s">
        <v>118</v>
      </c>
      <c r="J93" t="s">
        <v>119</v>
      </c>
      <c r="K93" t="s">
        <v>299</v>
      </c>
      <c r="L93" t="s">
        <v>300</v>
      </c>
      <c r="M93">
        <v>1404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 t="str">
        <f>VLOOKUP(AnalizaCzyste[[#This Row],[Jak się nazywa uczelnia którą ukończyłeś? (proszę o wybranie jednej uczelni podlegającej ocenie)]],KategorieUczelni[],2,0)</f>
        <v>Publiczna</v>
      </c>
      <c r="AI93">
        <v>1986</v>
      </c>
      <c r="AJ93" t="s">
        <v>126</v>
      </c>
      <c r="AK93" t="s">
        <v>301</v>
      </c>
      <c r="AL93" t="s">
        <v>150</v>
      </c>
      <c r="AM93" t="s">
        <v>150</v>
      </c>
      <c r="AN93" t="s">
        <v>162</v>
      </c>
      <c r="AO93" t="s">
        <v>151</v>
      </c>
      <c r="AP93" t="s">
        <v>151</v>
      </c>
      <c r="AQ93">
        <v>2</v>
      </c>
      <c r="AR93" t="s">
        <v>302</v>
      </c>
      <c r="AS93" t="s">
        <v>153</v>
      </c>
      <c r="AT93" t="s">
        <v>303</v>
      </c>
      <c r="AU93" t="s">
        <v>304</v>
      </c>
      <c r="AV93" t="s">
        <v>305</v>
      </c>
      <c r="AW93" t="s">
        <v>157</v>
      </c>
      <c r="AY93" s="1" t="s">
        <v>159</v>
      </c>
      <c r="AZ93">
        <v>1</v>
      </c>
      <c r="BA93" t="s">
        <v>223</v>
      </c>
      <c r="BB93">
        <v>2011</v>
      </c>
      <c r="BC93" t="s">
        <v>148</v>
      </c>
      <c r="BD93" t="s">
        <v>127</v>
      </c>
      <c r="BE93" t="s">
        <v>150</v>
      </c>
      <c r="BF93" t="s">
        <v>150</v>
      </c>
      <c r="BG93" t="s">
        <v>169</v>
      </c>
      <c r="BH93" t="s">
        <v>169</v>
      </c>
      <c r="BI93" t="s">
        <v>169</v>
      </c>
      <c r="BJ93">
        <v>1</v>
      </c>
      <c r="BK93" t="s">
        <v>306</v>
      </c>
      <c r="BL93" t="s">
        <v>157</v>
      </c>
      <c r="BN93" t="s">
        <v>307</v>
      </c>
      <c r="BO93" t="s">
        <v>173</v>
      </c>
      <c r="CS93" s="1" t="s">
        <v>123</v>
      </c>
      <c r="DC93" s="1" t="s">
        <v>214</v>
      </c>
      <c r="DD93" t="s">
        <v>191</v>
      </c>
      <c r="DE93" t="s">
        <v>308</v>
      </c>
      <c r="DF93" t="s">
        <v>150</v>
      </c>
      <c r="DG93" t="s">
        <v>150</v>
      </c>
      <c r="DH93" t="s">
        <v>162</v>
      </c>
      <c r="DI93" t="s">
        <v>150</v>
      </c>
      <c r="DJ93" t="s">
        <v>150</v>
      </c>
      <c r="DK93" t="s">
        <v>150</v>
      </c>
      <c r="DL93" t="s">
        <v>309</v>
      </c>
      <c r="DM93" s="1" t="s">
        <v>123</v>
      </c>
      <c r="EP93" s="1" t="s">
        <v>123</v>
      </c>
      <c r="EQ93" t="s">
        <v>180</v>
      </c>
      <c r="ER93" t="s">
        <v>132</v>
      </c>
      <c r="FP93" s="1" t="s">
        <v>123</v>
      </c>
      <c r="FQ93" t="s">
        <v>132</v>
      </c>
      <c r="FS93" t="s">
        <v>132</v>
      </c>
      <c r="GX93" t="s">
        <v>310</v>
      </c>
      <c r="GY93" t="s">
        <v>311</v>
      </c>
      <c r="GZ93" t="s">
        <v>312</v>
      </c>
      <c r="HA93" t="s">
        <v>186</v>
      </c>
      <c r="HB93">
        <v>1963</v>
      </c>
      <c r="HC93" t="str">
        <f>VLOOKUP(AnalizaCzyste[[#This Row],[Rok urodzenia]],KategorieWiekowe[],2,1)</f>
        <v>56-65 lat</v>
      </c>
      <c r="HD93" t="s">
        <v>141</v>
      </c>
      <c r="HE93" t="s">
        <v>313</v>
      </c>
      <c r="HF93" t="s">
        <v>314</v>
      </c>
      <c r="HG93" t="s">
        <v>315</v>
      </c>
    </row>
    <row r="94" spans="1:216" x14ac:dyDescent="0.45">
      <c r="A94">
        <v>257</v>
      </c>
      <c r="B94">
        <f>_xlfn.IFNA(VLOOKUP(AnalizaCzyste[[#This Row],[Zakończono wypełnianie]],Zakończone[],2,0),"BRAK")</f>
        <v>134</v>
      </c>
      <c r="C94">
        <f t="shared" si="2"/>
        <v>63</v>
      </c>
      <c r="D94" t="s">
        <v>2014</v>
      </c>
      <c r="E94" t="s">
        <v>118</v>
      </c>
      <c r="J94" t="s">
        <v>119</v>
      </c>
      <c r="K94" t="s">
        <v>2015</v>
      </c>
      <c r="L94" t="s">
        <v>2016</v>
      </c>
      <c r="M94">
        <v>1430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 t="str">
        <f>VLOOKUP(AnalizaCzyste[[#This Row],[Jak się nazywa uczelnia którą ukończyłeś? (proszę o wybranie jednej uczelni podlegającej ocenie)]],KategorieUczelni[],2,0)</f>
        <v>Publiczna</v>
      </c>
      <c r="AI94">
        <v>1989</v>
      </c>
      <c r="AJ94" t="s">
        <v>126</v>
      </c>
      <c r="AK94" t="s">
        <v>2017</v>
      </c>
      <c r="AL94" t="s">
        <v>150</v>
      </c>
      <c r="AM94" t="s">
        <v>150</v>
      </c>
      <c r="AN94" t="s">
        <v>162</v>
      </c>
      <c r="AO94" t="s">
        <v>162</v>
      </c>
      <c r="AP94" t="s">
        <v>162</v>
      </c>
      <c r="AQ94">
        <v>0</v>
      </c>
      <c r="AR94" t="s">
        <v>226</v>
      </c>
      <c r="AS94" t="s">
        <v>226</v>
      </c>
      <c r="AT94" t="s">
        <v>2018</v>
      </c>
      <c r="AU94" t="s">
        <v>1229</v>
      </c>
      <c r="AV94" t="s">
        <v>1229</v>
      </c>
      <c r="AW94" t="s">
        <v>157</v>
      </c>
      <c r="AX94" t="s">
        <v>1271</v>
      </c>
      <c r="AY94" s="1" t="s">
        <v>159</v>
      </c>
      <c r="AZ94">
        <v>1</v>
      </c>
      <c r="BA94" t="s">
        <v>191</v>
      </c>
      <c r="BB94">
        <v>2016</v>
      </c>
      <c r="BC94" t="s">
        <v>126</v>
      </c>
      <c r="BD94" t="s">
        <v>2019</v>
      </c>
      <c r="BE94" t="s">
        <v>150</v>
      </c>
      <c r="BF94" t="s">
        <v>150</v>
      </c>
      <c r="BG94" t="s">
        <v>151</v>
      </c>
      <c r="BH94" t="s">
        <v>128</v>
      </c>
      <c r="BI94" t="s">
        <v>162</v>
      </c>
      <c r="BJ94" t="s">
        <v>2020</v>
      </c>
      <c r="BK94" t="s">
        <v>2021</v>
      </c>
      <c r="BL94" t="s">
        <v>157</v>
      </c>
      <c r="BO94" t="s">
        <v>173</v>
      </c>
      <c r="CS94" s="1" t="s">
        <v>123</v>
      </c>
      <c r="DC94" s="1" t="s">
        <v>123</v>
      </c>
      <c r="DM94" s="1" t="s">
        <v>123</v>
      </c>
      <c r="EP94" s="1" t="s">
        <v>123</v>
      </c>
      <c r="FP94" s="1" t="s">
        <v>2022</v>
      </c>
      <c r="FQ94" t="s">
        <v>2023</v>
      </c>
      <c r="FR94" t="s">
        <v>2024</v>
      </c>
      <c r="FS94">
        <v>1</v>
      </c>
      <c r="FT94" t="s">
        <v>191</v>
      </c>
      <c r="FU94" t="s">
        <v>150</v>
      </c>
      <c r="FV94" t="s">
        <v>150</v>
      </c>
      <c r="FW94" t="s">
        <v>150</v>
      </c>
      <c r="FX94" t="s">
        <v>150</v>
      </c>
      <c r="FY94" t="s">
        <v>150</v>
      </c>
      <c r="FZ94" t="s">
        <v>150</v>
      </c>
      <c r="GA94" t="s">
        <v>150</v>
      </c>
      <c r="GC94" t="s">
        <v>2025</v>
      </c>
      <c r="GD94" t="s">
        <v>173</v>
      </c>
      <c r="GX94" t="s">
        <v>1229</v>
      </c>
      <c r="GY94" t="s">
        <v>1229</v>
      </c>
      <c r="GZ94" t="s">
        <v>1229</v>
      </c>
      <c r="HA94" t="s">
        <v>186</v>
      </c>
      <c r="HB94">
        <v>1965</v>
      </c>
      <c r="HC94" t="str">
        <f>VLOOKUP(AnalizaCzyste[[#This Row],[Rok urodzenia]],KategorieWiekowe[],2,1)</f>
        <v>46-55 lat</v>
      </c>
      <c r="HD94" t="s">
        <v>220</v>
      </c>
      <c r="HF94" t="s">
        <v>2026</v>
      </c>
      <c r="HH94" t="s">
        <v>2027</v>
      </c>
    </row>
    <row r="95" spans="1:216" x14ac:dyDescent="0.45">
      <c r="A95">
        <v>196</v>
      </c>
      <c r="B95">
        <f>_xlfn.IFNA(VLOOKUP(AnalizaCzyste[[#This Row],[Zakończono wypełnianie]],Zakończone[],2,0),"BRAK")</f>
        <v>112</v>
      </c>
      <c r="C95">
        <f t="shared" si="2"/>
        <v>56</v>
      </c>
      <c r="D95" t="s">
        <v>1659</v>
      </c>
      <c r="E95" t="s">
        <v>118</v>
      </c>
      <c r="J95" t="s">
        <v>119</v>
      </c>
      <c r="K95" t="s">
        <v>1660</v>
      </c>
      <c r="L95" t="s">
        <v>1661</v>
      </c>
      <c r="M95">
        <v>614</v>
      </c>
      <c r="N95">
        <v>0</v>
      </c>
      <c r="O95" t="s">
        <v>122</v>
      </c>
      <c r="P95" s="1" t="s">
        <v>123</v>
      </c>
      <c r="AF95" s="1" t="s">
        <v>124</v>
      </c>
      <c r="AG95" t="s">
        <v>191</v>
      </c>
      <c r="AH95" t="str">
        <f>VLOOKUP(AnalizaCzyste[[#This Row],[Jak się nazywa uczelnia którą ukończyłeś? (proszę o wybranie jednej uczelni podlegającej ocenie)]],KategorieUczelni[],2,0)</f>
        <v>Publiczna</v>
      </c>
      <c r="AI95">
        <v>1991</v>
      </c>
      <c r="AJ95" t="s">
        <v>126</v>
      </c>
      <c r="AK95" t="s">
        <v>1662</v>
      </c>
      <c r="AL95" t="s">
        <v>150</v>
      </c>
      <c r="AM95" t="s">
        <v>150</v>
      </c>
      <c r="AN95" t="s">
        <v>150</v>
      </c>
      <c r="AO95" t="s">
        <v>132</v>
      </c>
      <c r="AP95" t="s">
        <v>132</v>
      </c>
      <c r="AQ95" t="s">
        <v>718</v>
      </c>
      <c r="AR95" t="s">
        <v>132</v>
      </c>
      <c r="AS95" t="s">
        <v>132</v>
      </c>
      <c r="AT95" t="s">
        <v>1663</v>
      </c>
      <c r="AU95" t="s">
        <v>1664</v>
      </c>
      <c r="AV95" t="s">
        <v>1665</v>
      </c>
      <c r="AW95" t="s">
        <v>172</v>
      </c>
      <c r="AY95" s="1" t="s">
        <v>159</v>
      </c>
      <c r="AZ95">
        <v>1</v>
      </c>
      <c r="BA95" t="s">
        <v>191</v>
      </c>
      <c r="BB95">
        <v>2018</v>
      </c>
      <c r="BC95" t="s">
        <v>126</v>
      </c>
      <c r="BD95" t="s">
        <v>1666</v>
      </c>
      <c r="BE95" t="s">
        <v>151</v>
      </c>
      <c r="BF95" t="s">
        <v>151</v>
      </c>
      <c r="BG95" t="s">
        <v>151</v>
      </c>
      <c r="BH95" t="s">
        <v>151</v>
      </c>
      <c r="BI95" t="s">
        <v>151</v>
      </c>
      <c r="BJ95">
        <v>1</v>
      </c>
      <c r="BL95" t="s">
        <v>172</v>
      </c>
      <c r="BO95" t="s">
        <v>173</v>
      </c>
      <c r="CS95" s="1" t="s">
        <v>123</v>
      </c>
      <c r="DC95" s="1" t="s">
        <v>123</v>
      </c>
      <c r="DM95" s="1" t="s">
        <v>123</v>
      </c>
      <c r="EP95" s="1" t="s">
        <v>177</v>
      </c>
      <c r="EQ95" t="s">
        <v>178</v>
      </c>
      <c r="ER95">
        <v>1</v>
      </c>
      <c r="ES95" t="s">
        <v>191</v>
      </c>
      <c r="ET95" t="s">
        <v>169</v>
      </c>
      <c r="EU95" t="s">
        <v>169</v>
      </c>
      <c r="EV95" t="s">
        <v>151</v>
      </c>
      <c r="EW95" t="s">
        <v>178</v>
      </c>
      <c r="EX95" t="s">
        <v>1667</v>
      </c>
      <c r="EY95" t="s">
        <v>1668</v>
      </c>
      <c r="EZ95" t="s">
        <v>173</v>
      </c>
      <c r="FP95" s="1" t="s">
        <v>123</v>
      </c>
      <c r="GX95" t="s">
        <v>1669</v>
      </c>
      <c r="GY95" t="s">
        <v>1670</v>
      </c>
      <c r="GZ95" t="s">
        <v>1671</v>
      </c>
      <c r="HA95" t="s">
        <v>186</v>
      </c>
      <c r="HB95">
        <v>1966</v>
      </c>
      <c r="HC95" t="str">
        <f>VLOOKUP(AnalizaCzyste[[#This Row],[Rok urodzenia]],KategorieWiekowe[],2,1)</f>
        <v>46-55 lat</v>
      </c>
      <c r="HD95" t="s">
        <v>141</v>
      </c>
    </row>
    <row r="96" spans="1:216" hidden="1" x14ac:dyDescent="0.45">
      <c r="A96">
        <v>47</v>
      </c>
      <c r="B96">
        <f>_xlfn.IFNA(VLOOKUP(AnalizaCzyste[[#This Row],[Zakończono wypełnianie]],Zakończone[],2,0),"BRAK")</f>
        <v>29</v>
      </c>
      <c r="C96">
        <f t="shared" si="2"/>
        <v>34</v>
      </c>
      <c r="D96" t="s">
        <v>570</v>
      </c>
      <c r="E96" t="s">
        <v>118</v>
      </c>
      <c r="F96" t="s">
        <v>548</v>
      </c>
      <c r="J96" t="s">
        <v>119</v>
      </c>
      <c r="K96" t="s">
        <v>571</v>
      </c>
      <c r="L96" t="s">
        <v>572</v>
      </c>
      <c r="M96">
        <v>751</v>
      </c>
      <c r="N96">
        <v>0</v>
      </c>
      <c r="O96" t="s">
        <v>122</v>
      </c>
      <c r="P96" s="1" t="s">
        <v>416</v>
      </c>
      <c r="Q96" t="s">
        <v>445</v>
      </c>
      <c r="R96" t="s">
        <v>148</v>
      </c>
      <c r="S96" t="s">
        <v>573</v>
      </c>
      <c r="T96" t="s">
        <v>162</v>
      </c>
      <c r="U96" t="s">
        <v>128</v>
      </c>
      <c r="V96" t="s">
        <v>151</v>
      </c>
      <c r="W96" t="s">
        <v>237</v>
      </c>
      <c r="X96" t="s">
        <v>302</v>
      </c>
      <c r="Y96" t="s">
        <v>153</v>
      </c>
      <c r="Z96" t="s">
        <v>574</v>
      </c>
      <c r="AA96" t="s">
        <v>575</v>
      </c>
      <c r="AB96" t="s">
        <v>576</v>
      </c>
      <c r="AC96" t="s">
        <v>172</v>
      </c>
      <c r="AE96">
        <v>6</v>
      </c>
      <c r="AF96" s="1" t="s">
        <v>123</v>
      </c>
      <c r="AH96" t="e">
        <f>VLOOKUP(AnalizaCzyste[[#This Row],[Jak się nazywa uczelnia którą ukończyłeś? (proszę o wybranie jednej uczelni podlegającej ocenie)]],KategorieUczelni[],2,0)</f>
        <v>#N/A</v>
      </c>
      <c r="AY96" s="1" t="s">
        <v>123</v>
      </c>
      <c r="CS96" s="1" t="s">
        <v>123</v>
      </c>
      <c r="DC96" s="1" t="s">
        <v>123</v>
      </c>
      <c r="DM96" s="1" t="s">
        <v>123</v>
      </c>
      <c r="EP96" s="1" t="s">
        <v>123</v>
      </c>
      <c r="FP96" s="1" t="s">
        <v>123</v>
      </c>
      <c r="FQ96" t="s">
        <v>132</v>
      </c>
      <c r="FS96" t="s">
        <v>132</v>
      </c>
      <c r="GX96" t="s">
        <v>578</v>
      </c>
      <c r="GY96" t="s">
        <v>579</v>
      </c>
      <c r="GZ96" t="s">
        <v>580</v>
      </c>
      <c r="HA96" t="s">
        <v>186</v>
      </c>
      <c r="HB96">
        <v>1997</v>
      </c>
      <c r="HC96" t="str">
        <f>VLOOKUP(AnalizaCzyste[[#This Row],[Rok urodzenia]],KategorieWiekowe[],2,1)</f>
        <v>poniżej 26 lat</v>
      </c>
      <c r="HD96" t="s">
        <v>483</v>
      </c>
      <c r="HF96" t="s">
        <v>532</v>
      </c>
    </row>
    <row r="97" spans="1:216" hidden="1" x14ac:dyDescent="0.45">
      <c r="A97">
        <v>94</v>
      </c>
      <c r="B97">
        <f>_xlfn.IFNA(VLOOKUP(AnalizaCzyste[[#This Row],[Zakończono wypełnianie]],Zakończone[],2,0),"BRAK")</f>
        <v>57</v>
      </c>
      <c r="C97">
        <f t="shared" si="2"/>
        <v>34</v>
      </c>
      <c r="D97" t="s">
        <v>955</v>
      </c>
      <c r="E97" t="s">
        <v>118</v>
      </c>
      <c r="F97" t="s">
        <v>774</v>
      </c>
      <c r="J97" t="s">
        <v>119</v>
      </c>
      <c r="K97" t="s">
        <v>956</v>
      </c>
      <c r="L97" t="s">
        <v>957</v>
      </c>
      <c r="M97">
        <v>1186</v>
      </c>
      <c r="N97">
        <v>0</v>
      </c>
      <c r="O97" t="s">
        <v>122</v>
      </c>
      <c r="P97" s="1" t="s">
        <v>416</v>
      </c>
      <c r="Q97" t="s">
        <v>223</v>
      </c>
      <c r="R97" t="s">
        <v>148</v>
      </c>
      <c r="S97" t="s">
        <v>958</v>
      </c>
      <c r="T97" t="s">
        <v>151</v>
      </c>
      <c r="U97" t="s">
        <v>128</v>
      </c>
      <c r="V97" t="s">
        <v>236</v>
      </c>
      <c r="W97" t="s">
        <v>959</v>
      </c>
      <c r="X97" t="s">
        <v>302</v>
      </c>
      <c r="Y97" t="s">
        <v>153</v>
      </c>
      <c r="Z97" t="s">
        <v>960</v>
      </c>
      <c r="AA97" t="s">
        <v>961</v>
      </c>
      <c r="AB97" t="s">
        <v>962</v>
      </c>
      <c r="AC97" t="s">
        <v>157</v>
      </c>
      <c r="AE97">
        <v>4</v>
      </c>
      <c r="AF97" s="1" t="s">
        <v>123</v>
      </c>
      <c r="AH97" t="e">
        <f>VLOOKUP(AnalizaCzyste[[#This Row],[Jak się nazywa uczelnia którą ukończyłeś? (proszę o wybranie jednej uczelni podlegającej ocenie)]],KategorieUczelni[],2,0)</f>
        <v>#N/A</v>
      </c>
      <c r="AY97" s="1" t="s">
        <v>123</v>
      </c>
      <c r="CS97" s="1" t="s">
        <v>123</v>
      </c>
      <c r="DC97" s="1" t="s">
        <v>123</v>
      </c>
      <c r="DM97" s="1" t="s">
        <v>123</v>
      </c>
      <c r="EP97" s="1" t="s">
        <v>123</v>
      </c>
      <c r="EQ97" t="s">
        <v>180</v>
      </c>
      <c r="ER97" t="s">
        <v>132</v>
      </c>
      <c r="FP97" s="1" t="s">
        <v>123</v>
      </c>
      <c r="FQ97" t="s">
        <v>132</v>
      </c>
      <c r="GX97" t="s">
        <v>826</v>
      </c>
      <c r="GY97" t="s">
        <v>824</v>
      </c>
      <c r="GZ97" t="s">
        <v>820</v>
      </c>
      <c r="HA97" t="s">
        <v>140</v>
      </c>
      <c r="HB97">
        <v>1993</v>
      </c>
      <c r="HC97" t="str">
        <f>VLOOKUP(AnalizaCzyste[[#This Row],[Rok urodzenia]],KategorieWiekowe[],2,1)</f>
        <v>26-35 lat</v>
      </c>
      <c r="HD97" t="s">
        <v>483</v>
      </c>
    </row>
    <row r="98" spans="1:216" x14ac:dyDescent="0.45">
      <c r="A98">
        <v>184</v>
      </c>
      <c r="B98">
        <f>_xlfn.IFNA(VLOOKUP(AnalizaCzyste[[#This Row],[Zakończono wypełnianie]],Zakończone[],2,0),"BRAK")</f>
        <v>105</v>
      </c>
      <c r="C98">
        <f t="shared" si="2"/>
        <v>35</v>
      </c>
      <c r="D98" t="s">
        <v>1555</v>
      </c>
      <c r="E98" t="s">
        <v>118</v>
      </c>
      <c r="J98" t="s">
        <v>119</v>
      </c>
      <c r="K98" t="s">
        <v>1556</v>
      </c>
      <c r="L98" t="s">
        <v>1557</v>
      </c>
      <c r="M98">
        <v>1119</v>
      </c>
      <c r="N98">
        <v>0</v>
      </c>
      <c r="O98" t="s">
        <v>122</v>
      </c>
      <c r="P98" s="1" t="s">
        <v>123</v>
      </c>
      <c r="AF98" s="1" t="s">
        <v>124</v>
      </c>
      <c r="AG98" t="s">
        <v>191</v>
      </c>
      <c r="AH98" t="str">
        <f>VLOOKUP(AnalizaCzyste[[#This Row],[Jak się nazywa uczelnia którą ukończyłeś? (proszę o wybranie jednej uczelni podlegającej ocenie)]],KategorieUczelni[],2,0)</f>
        <v>Publiczna</v>
      </c>
      <c r="AI98">
        <v>1997</v>
      </c>
      <c r="AJ98" t="s">
        <v>126</v>
      </c>
      <c r="AK98" t="s">
        <v>1558</v>
      </c>
      <c r="AL98" t="s">
        <v>150</v>
      </c>
      <c r="AM98" t="s">
        <v>150</v>
      </c>
      <c r="AN98" t="s">
        <v>150</v>
      </c>
      <c r="AO98" t="s">
        <v>150</v>
      </c>
      <c r="AP98" t="s">
        <v>150</v>
      </c>
      <c r="AQ98" t="s">
        <v>1559</v>
      </c>
      <c r="AR98" t="s">
        <v>132</v>
      </c>
      <c r="AS98" t="s">
        <v>132</v>
      </c>
      <c r="AT98" t="s">
        <v>1560</v>
      </c>
      <c r="AU98" t="s">
        <v>1561</v>
      </c>
      <c r="AV98" t="s">
        <v>1562</v>
      </c>
      <c r="AW98" t="s">
        <v>172</v>
      </c>
      <c r="AY98" s="1" t="s">
        <v>123</v>
      </c>
      <c r="CS98" s="1" t="s">
        <v>123</v>
      </c>
      <c r="DC98" s="1" t="s">
        <v>123</v>
      </c>
      <c r="DM98" s="1" t="s">
        <v>123</v>
      </c>
      <c r="EP98" s="1" t="s">
        <v>123</v>
      </c>
      <c r="FP98" s="1" t="s">
        <v>123</v>
      </c>
      <c r="GX98" t="s">
        <v>1563</v>
      </c>
      <c r="GY98" t="s">
        <v>1564</v>
      </c>
      <c r="GZ98" t="s">
        <v>1565</v>
      </c>
      <c r="HA98" t="s">
        <v>186</v>
      </c>
      <c r="HB98">
        <v>1972</v>
      </c>
      <c r="HC98" t="str">
        <f>VLOOKUP(AnalizaCzyste[[#This Row],[Rok urodzenia]],KategorieWiekowe[],2,1)</f>
        <v>46-55 lat</v>
      </c>
      <c r="HD98" t="s">
        <v>483</v>
      </c>
      <c r="HF98" t="s">
        <v>1566</v>
      </c>
      <c r="HG98" t="s">
        <v>142</v>
      </c>
    </row>
    <row r="99" spans="1:216" x14ac:dyDescent="0.45">
      <c r="A99">
        <v>245</v>
      </c>
      <c r="B99">
        <f>_xlfn.IFNA(VLOOKUP(AnalizaCzyste[[#This Row],[Zakończono wypełnianie]],Zakończone[],2,0),"BRAK")</f>
        <v>131</v>
      </c>
      <c r="C99">
        <f t="shared" ref="C99:C132" si="3">COUNTA(O99:HH99)</f>
        <v>34</v>
      </c>
      <c r="D99" t="s">
        <v>1965</v>
      </c>
      <c r="E99" t="s">
        <v>118</v>
      </c>
      <c r="F99" t="s">
        <v>1966</v>
      </c>
      <c r="J99" t="s">
        <v>119</v>
      </c>
      <c r="K99" t="s">
        <v>1967</v>
      </c>
      <c r="L99" t="s">
        <v>1968</v>
      </c>
      <c r="M99">
        <v>504</v>
      </c>
      <c r="N99">
        <v>0</v>
      </c>
      <c r="O99" t="s">
        <v>122</v>
      </c>
      <c r="P99" s="1" t="s">
        <v>123</v>
      </c>
      <c r="AF99" s="1" t="s">
        <v>124</v>
      </c>
      <c r="AG99" t="s">
        <v>191</v>
      </c>
      <c r="AH99" t="str">
        <f>VLOOKUP(AnalizaCzyste[[#This Row],[Jak się nazywa uczelnia którą ukończyłeś? (proszę o wybranie jednej uczelni podlegającej ocenie)]],KategorieUczelni[],2,0)</f>
        <v>Publiczna</v>
      </c>
      <c r="AI99">
        <v>2003</v>
      </c>
      <c r="AJ99" t="s">
        <v>126</v>
      </c>
      <c r="AK99" t="s">
        <v>127</v>
      </c>
      <c r="AL99" t="s">
        <v>150</v>
      </c>
      <c r="AM99" t="s">
        <v>150</v>
      </c>
      <c r="AN99" t="s">
        <v>162</v>
      </c>
      <c r="AO99" t="s">
        <v>151</v>
      </c>
      <c r="AP99" t="s">
        <v>151</v>
      </c>
      <c r="AQ99" t="s">
        <v>237</v>
      </c>
      <c r="AR99" t="s">
        <v>152</v>
      </c>
      <c r="AS99" t="s">
        <v>131</v>
      </c>
      <c r="AT99" t="s">
        <v>1969</v>
      </c>
      <c r="AU99" t="s">
        <v>1970</v>
      </c>
      <c r="AV99" t="s">
        <v>1971</v>
      </c>
      <c r="AW99" t="s">
        <v>157</v>
      </c>
      <c r="AX99" t="s">
        <v>1972</v>
      </c>
      <c r="AY99" s="1" t="s">
        <v>123</v>
      </c>
      <c r="CS99" s="1" t="s">
        <v>123</v>
      </c>
      <c r="DC99" s="1" t="s">
        <v>123</v>
      </c>
      <c r="DM99" s="1" t="s">
        <v>123</v>
      </c>
      <c r="EP99" s="1" t="s">
        <v>123</v>
      </c>
      <c r="FP99" s="1" t="s">
        <v>123</v>
      </c>
      <c r="GX99" t="s">
        <v>1973</v>
      </c>
      <c r="GY99" t="s">
        <v>1363</v>
      </c>
      <c r="GZ99" t="s">
        <v>1974</v>
      </c>
      <c r="HA99" t="s">
        <v>140</v>
      </c>
      <c r="HB99">
        <v>1979</v>
      </c>
      <c r="HC99" t="str">
        <f>VLOOKUP(AnalizaCzyste[[#This Row],[Rok urodzenia]],KategorieWiekowe[],2,1)</f>
        <v>36-45 lat</v>
      </c>
      <c r="HD99" t="s">
        <v>141</v>
      </c>
    </row>
    <row r="100" spans="1:216" x14ac:dyDescent="0.45">
      <c r="A100">
        <v>16</v>
      </c>
      <c r="B100">
        <f>_xlfn.IFNA(VLOOKUP(AnalizaCzyste[[#This Row],[Zakończono wypełnianie]],Zakończone[],2,0),"BRAK")</f>
        <v>15</v>
      </c>
      <c r="C100">
        <f t="shared" si="3"/>
        <v>36</v>
      </c>
      <c r="D100" t="s">
        <v>347</v>
      </c>
      <c r="E100" t="s">
        <v>118</v>
      </c>
      <c r="J100" t="s">
        <v>119</v>
      </c>
      <c r="K100" t="s">
        <v>348</v>
      </c>
      <c r="L100" t="s">
        <v>349</v>
      </c>
      <c r="M100">
        <v>781</v>
      </c>
      <c r="N100">
        <v>0</v>
      </c>
      <c r="O100" t="s">
        <v>122</v>
      </c>
      <c r="P100" s="1" t="s">
        <v>123</v>
      </c>
      <c r="AF100" s="1" t="s">
        <v>124</v>
      </c>
      <c r="AG100" t="s">
        <v>191</v>
      </c>
      <c r="AH100" t="str">
        <f>VLOOKUP(AnalizaCzyste[[#This Row],[Jak się nazywa uczelnia którą ukończyłeś? (proszę o wybranie jednej uczelni podlegającej ocenie)]],KategorieUczelni[],2,0)</f>
        <v>Publiczna</v>
      </c>
      <c r="AI100">
        <v>2010</v>
      </c>
      <c r="AJ100" t="s">
        <v>126</v>
      </c>
      <c r="AK100" t="s">
        <v>127</v>
      </c>
      <c r="AL100" t="s">
        <v>150</v>
      </c>
      <c r="AM100" t="s">
        <v>128</v>
      </c>
      <c r="AN100" t="s">
        <v>151</v>
      </c>
      <c r="AO100" t="s">
        <v>162</v>
      </c>
      <c r="AP100" t="s">
        <v>162</v>
      </c>
      <c r="AQ100" t="s">
        <v>350</v>
      </c>
      <c r="AR100" t="s">
        <v>302</v>
      </c>
      <c r="AS100" t="s">
        <v>302</v>
      </c>
      <c r="AT100" t="s">
        <v>351</v>
      </c>
      <c r="AU100" t="s">
        <v>352</v>
      </c>
      <c r="AV100" t="s">
        <v>353</v>
      </c>
      <c r="AW100" t="s">
        <v>157</v>
      </c>
      <c r="AY100" s="1" t="s">
        <v>123</v>
      </c>
      <c r="CS100" s="1" t="s">
        <v>123</v>
      </c>
      <c r="DC100" s="1" t="s">
        <v>123</v>
      </c>
      <c r="DM100" s="1" t="s">
        <v>123</v>
      </c>
      <c r="EP100" s="1" t="s">
        <v>123</v>
      </c>
      <c r="ER100" t="s">
        <v>132</v>
      </c>
      <c r="FP100" s="1" t="s">
        <v>123</v>
      </c>
      <c r="FQ100" t="s">
        <v>132</v>
      </c>
      <c r="GX100" t="s">
        <v>354</v>
      </c>
      <c r="GY100" t="s">
        <v>355</v>
      </c>
      <c r="GZ100" t="s">
        <v>356</v>
      </c>
      <c r="HA100" t="s">
        <v>140</v>
      </c>
      <c r="HB100">
        <v>1986</v>
      </c>
      <c r="HC100" t="str">
        <f>VLOOKUP(AnalizaCzyste[[#This Row],[Rok urodzenia]],KategorieWiekowe[],2,1)</f>
        <v>26-35 lat</v>
      </c>
      <c r="HD100" t="s">
        <v>141</v>
      </c>
      <c r="HF100" t="s">
        <v>357</v>
      </c>
    </row>
    <row r="101" spans="1:216" x14ac:dyDescent="0.45">
      <c r="A101">
        <v>236</v>
      </c>
      <c r="B101">
        <f>_xlfn.IFNA(VLOOKUP(AnalizaCzyste[[#This Row],[Zakończono wypełnianie]],Zakończone[],2,0),"BRAK")</f>
        <v>128</v>
      </c>
      <c r="C101">
        <f t="shared" si="3"/>
        <v>36</v>
      </c>
      <c r="D101" t="s">
        <v>1910</v>
      </c>
      <c r="E101" t="s">
        <v>118</v>
      </c>
      <c r="F101" t="s">
        <v>1911</v>
      </c>
      <c r="J101" t="s">
        <v>119</v>
      </c>
      <c r="K101" t="s">
        <v>1912</v>
      </c>
      <c r="L101" t="s">
        <v>1913</v>
      </c>
      <c r="M101">
        <v>1026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 t="str">
        <f>VLOOKUP(AnalizaCzyste[[#This Row],[Jak się nazywa uczelnia którą ukończyłeś? (proszę o wybranie jednej uczelni podlegającej ocenie)]],KategorieUczelni[],2,0)</f>
        <v>Publiczna</v>
      </c>
      <c r="AI101">
        <v>2011</v>
      </c>
      <c r="AJ101" t="s">
        <v>126</v>
      </c>
      <c r="AK101" t="s">
        <v>1914</v>
      </c>
      <c r="AL101" t="s">
        <v>150</v>
      </c>
      <c r="AM101" t="s">
        <v>162</v>
      </c>
      <c r="AN101" t="s">
        <v>150</v>
      </c>
      <c r="AO101" t="s">
        <v>151</v>
      </c>
      <c r="AP101" t="s">
        <v>169</v>
      </c>
      <c r="AQ101" t="s">
        <v>1362</v>
      </c>
      <c r="AR101" t="s">
        <v>131</v>
      </c>
      <c r="AS101" t="s">
        <v>759</v>
      </c>
      <c r="AT101" t="s">
        <v>1915</v>
      </c>
      <c r="AU101" t="s">
        <v>1916</v>
      </c>
      <c r="AV101" t="s">
        <v>1917</v>
      </c>
      <c r="AX101" t="s">
        <v>1918</v>
      </c>
      <c r="AY101" s="1" t="s">
        <v>123</v>
      </c>
      <c r="CS101" s="1" t="s">
        <v>123</v>
      </c>
      <c r="DC101" s="1" t="s">
        <v>123</v>
      </c>
      <c r="DM101" s="1" t="s">
        <v>123</v>
      </c>
      <c r="EP101" s="1" t="s">
        <v>123</v>
      </c>
      <c r="FP101" s="1" t="s">
        <v>123</v>
      </c>
      <c r="GX101" t="s">
        <v>1919</v>
      </c>
      <c r="GY101" t="s">
        <v>1920</v>
      </c>
      <c r="GZ101" t="s">
        <v>1921</v>
      </c>
      <c r="HA101" t="s">
        <v>140</v>
      </c>
      <c r="HB101">
        <v>1987</v>
      </c>
      <c r="HC101" t="str">
        <f>VLOOKUP(AnalizaCzyste[[#This Row],[Rok urodzenia]],KategorieWiekowe[],2,1)</f>
        <v>26-35 lat</v>
      </c>
      <c r="HD101" t="s">
        <v>220</v>
      </c>
      <c r="HF101" t="s">
        <v>1922</v>
      </c>
      <c r="HG101" t="s">
        <v>1923</v>
      </c>
      <c r="HH101" t="s">
        <v>1924</v>
      </c>
    </row>
    <row r="102" spans="1:216" x14ac:dyDescent="0.45">
      <c r="A102">
        <v>10</v>
      </c>
      <c r="B102">
        <f>_xlfn.IFNA(VLOOKUP(AnalizaCzyste[[#This Row],[Zakończono wypełnianie]],Zakończone[],2,0),"BRAK")</f>
        <v>9</v>
      </c>
      <c r="C102">
        <f t="shared" si="3"/>
        <v>35</v>
      </c>
      <c r="D102" t="s">
        <v>288</v>
      </c>
      <c r="E102" t="s">
        <v>118</v>
      </c>
      <c r="J102" t="s">
        <v>119</v>
      </c>
      <c r="K102" t="s">
        <v>289</v>
      </c>
      <c r="L102" t="s">
        <v>290</v>
      </c>
      <c r="M102">
        <v>4259</v>
      </c>
      <c r="N102">
        <v>0</v>
      </c>
      <c r="O102" t="s">
        <v>122</v>
      </c>
      <c r="P102" s="1" t="s">
        <v>123</v>
      </c>
      <c r="AF102" s="1" t="s">
        <v>124</v>
      </c>
      <c r="AG102" t="s">
        <v>191</v>
      </c>
      <c r="AH102" t="str">
        <f>VLOOKUP(AnalizaCzyste[[#This Row],[Jak się nazywa uczelnia którą ukończyłeś? (proszę o wybranie jednej uczelni podlegającej ocenie)]],KategorieUczelni[],2,0)</f>
        <v>Publiczna</v>
      </c>
      <c r="AI102">
        <v>2013</v>
      </c>
      <c r="AJ102" t="s">
        <v>126</v>
      </c>
      <c r="AK102" t="s">
        <v>291</v>
      </c>
      <c r="AL102" t="s">
        <v>150</v>
      </c>
      <c r="AM102" t="s">
        <v>150</v>
      </c>
      <c r="AN102" t="s">
        <v>169</v>
      </c>
      <c r="AO102" t="s">
        <v>151</v>
      </c>
      <c r="AP102" t="s">
        <v>162</v>
      </c>
      <c r="AQ102">
        <v>1</v>
      </c>
      <c r="AR102" t="s">
        <v>131</v>
      </c>
      <c r="AS102" t="s">
        <v>153</v>
      </c>
      <c r="AT102" t="s">
        <v>292</v>
      </c>
      <c r="AU102" t="s">
        <v>293</v>
      </c>
      <c r="AV102" t="s">
        <v>294</v>
      </c>
      <c r="AW102" t="s">
        <v>157</v>
      </c>
      <c r="AY102" s="1" t="s">
        <v>123</v>
      </c>
      <c r="CS102" s="1" t="s">
        <v>123</v>
      </c>
      <c r="DC102" s="1" t="s">
        <v>123</v>
      </c>
      <c r="DM102" s="1" t="s">
        <v>123</v>
      </c>
      <c r="EP102" s="1" t="s">
        <v>123</v>
      </c>
      <c r="FP102" s="1" t="s">
        <v>123</v>
      </c>
      <c r="FQ102" t="s">
        <v>132</v>
      </c>
      <c r="FS102" t="s">
        <v>132</v>
      </c>
      <c r="GX102" t="s">
        <v>295</v>
      </c>
      <c r="GY102" t="s">
        <v>296</v>
      </c>
      <c r="GZ102" t="s">
        <v>297</v>
      </c>
      <c r="HA102" t="s">
        <v>186</v>
      </c>
      <c r="HB102">
        <v>1988</v>
      </c>
      <c r="HC102" t="str">
        <f>VLOOKUP(AnalizaCzyste[[#This Row],[Rok urodzenia]],KategorieWiekowe[],2,1)</f>
        <v>26-35 lat</v>
      </c>
      <c r="HD102" t="s">
        <v>141</v>
      </c>
    </row>
    <row r="103" spans="1:216" x14ac:dyDescent="0.45">
      <c r="A103">
        <v>124</v>
      </c>
      <c r="B103">
        <f>_xlfn.IFNA(VLOOKUP(AnalizaCzyste[[#This Row],[Zakończono wypełnianie]],Zakończone[],2,0),"BRAK")</f>
        <v>73</v>
      </c>
      <c r="C103">
        <f t="shared" si="3"/>
        <v>36</v>
      </c>
      <c r="D103" t="s">
        <v>1151</v>
      </c>
      <c r="E103" t="s">
        <v>118</v>
      </c>
      <c r="F103" t="s">
        <v>1152</v>
      </c>
      <c r="J103" t="s">
        <v>119</v>
      </c>
      <c r="K103" t="s">
        <v>1153</v>
      </c>
      <c r="L103" t="s">
        <v>1154</v>
      </c>
      <c r="M103">
        <v>1159</v>
      </c>
      <c r="N103">
        <v>0</v>
      </c>
      <c r="O103" t="s">
        <v>122</v>
      </c>
      <c r="P103" s="1" t="s">
        <v>123</v>
      </c>
      <c r="AF103" s="1" t="s">
        <v>124</v>
      </c>
      <c r="AG103" t="s">
        <v>191</v>
      </c>
      <c r="AH103" t="str">
        <f>VLOOKUP(AnalizaCzyste[[#This Row],[Jak się nazywa uczelnia którą ukończyłeś? (proszę o wybranie jednej uczelni podlegającej ocenie)]],KategorieUczelni[],2,0)</f>
        <v>Publiczna</v>
      </c>
      <c r="AI103">
        <v>2018</v>
      </c>
      <c r="AJ103" t="s">
        <v>126</v>
      </c>
      <c r="AK103" t="s">
        <v>969</v>
      </c>
      <c r="AL103" t="s">
        <v>150</v>
      </c>
      <c r="AM103" t="s">
        <v>150</v>
      </c>
      <c r="AN103" t="s">
        <v>162</v>
      </c>
      <c r="AO103" t="s">
        <v>128</v>
      </c>
      <c r="AP103" t="s">
        <v>151</v>
      </c>
      <c r="AQ103" t="s">
        <v>530</v>
      </c>
      <c r="AR103" t="s">
        <v>131</v>
      </c>
      <c r="AS103" t="s">
        <v>302</v>
      </c>
      <c r="AT103" t="s">
        <v>1155</v>
      </c>
      <c r="AU103" t="s">
        <v>1156</v>
      </c>
      <c r="AV103" t="s">
        <v>1157</v>
      </c>
      <c r="AW103" t="s">
        <v>230</v>
      </c>
      <c r="AX103" t="s">
        <v>1158</v>
      </c>
      <c r="AY103" s="1" t="s">
        <v>123</v>
      </c>
      <c r="CS103" s="1" t="s">
        <v>123</v>
      </c>
      <c r="DC103" s="1" t="s">
        <v>123</v>
      </c>
      <c r="DM103" s="1" t="s">
        <v>123</v>
      </c>
      <c r="EP103" s="1" t="s">
        <v>123</v>
      </c>
      <c r="FP103" s="1" t="s">
        <v>123</v>
      </c>
      <c r="GX103" t="s">
        <v>1159</v>
      </c>
      <c r="GY103" t="s">
        <v>1160</v>
      </c>
      <c r="GZ103" t="s">
        <v>1161</v>
      </c>
      <c r="HA103" t="s">
        <v>140</v>
      </c>
      <c r="HB103">
        <v>1991</v>
      </c>
      <c r="HC103" t="str">
        <f>VLOOKUP(AnalizaCzyste[[#This Row],[Rok urodzenia]],KategorieWiekowe[],2,1)</f>
        <v>26-35 lat</v>
      </c>
      <c r="HD103" t="s">
        <v>483</v>
      </c>
      <c r="HF103" t="s">
        <v>1162</v>
      </c>
      <c r="HG103" t="s">
        <v>142</v>
      </c>
    </row>
    <row r="104" spans="1:216" x14ac:dyDescent="0.45">
      <c r="A104">
        <v>141</v>
      </c>
      <c r="B104">
        <f>_xlfn.IFNA(VLOOKUP(AnalizaCzyste[[#This Row],[Zakończono wypełnianie]],Zakończone[],2,0),"BRAK")</f>
        <v>85</v>
      </c>
      <c r="C104">
        <f t="shared" si="3"/>
        <v>36</v>
      </c>
      <c r="D104" t="s">
        <v>1322</v>
      </c>
      <c r="E104" t="s">
        <v>118</v>
      </c>
      <c r="J104" t="s">
        <v>119</v>
      </c>
      <c r="K104" t="s">
        <v>1323</v>
      </c>
      <c r="L104" t="s">
        <v>1324</v>
      </c>
      <c r="M104">
        <v>767</v>
      </c>
      <c r="N104">
        <v>0</v>
      </c>
      <c r="O104" t="s">
        <v>122</v>
      </c>
      <c r="P104" s="1" t="s">
        <v>123</v>
      </c>
      <c r="AF104" s="1" t="s">
        <v>124</v>
      </c>
      <c r="AG104" t="s">
        <v>191</v>
      </c>
      <c r="AH104" t="str">
        <f>VLOOKUP(AnalizaCzyste[[#This Row],[Jak się nazywa uczelnia którą ukończyłeś? (proszę o wybranie jednej uczelni podlegającej ocenie)]],KategorieUczelni[],2,0)</f>
        <v>Publiczna</v>
      </c>
      <c r="AI104">
        <v>2018</v>
      </c>
      <c r="AJ104" t="s">
        <v>126</v>
      </c>
      <c r="AK104" t="s">
        <v>1325</v>
      </c>
      <c r="AL104" t="s">
        <v>150</v>
      </c>
      <c r="AM104" t="s">
        <v>150</v>
      </c>
      <c r="AN104" t="s">
        <v>128</v>
      </c>
      <c r="AO104" t="s">
        <v>236</v>
      </c>
      <c r="AP104" t="s">
        <v>128</v>
      </c>
      <c r="AQ104">
        <v>1</v>
      </c>
      <c r="AR104" t="s">
        <v>302</v>
      </c>
      <c r="AS104" t="s">
        <v>226</v>
      </c>
      <c r="AT104" t="s">
        <v>1326</v>
      </c>
      <c r="AU104" t="s">
        <v>1327</v>
      </c>
      <c r="AV104" t="s">
        <v>1328</v>
      </c>
      <c r="AW104" t="s">
        <v>157</v>
      </c>
      <c r="AY104" s="1" t="s">
        <v>123</v>
      </c>
      <c r="CS104" s="1" t="s">
        <v>123</v>
      </c>
      <c r="DC104" s="1" t="s">
        <v>123</v>
      </c>
      <c r="DM104" s="1" t="s">
        <v>123</v>
      </c>
      <c r="EP104" s="1" t="s">
        <v>123</v>
      </c>
      <c r="EQ104" t="s">
        <v>180</v>
      </c>
      <c r="FP104" s="1" t="s">
        <v>123</v>
      </c>
      <c r="GX104" t="s">
        <v>1329</v>
      </c>
      <c r="GY104" t="s">
        <v>1329</v>
      </c>
      <c r="GZ104" t="s">
        <v>132</v>
      </c>
      <c r="HA104" t="s">
        <v>186</v>
      </c>
      <c r="HB104">
        <v>1991</v>
      </c>
      <c r="HC104" t="str">
        <f>VLOOKUP(AnalizaCzyste[[#This Row],[Rok urodzenia]],KategorieWiekowe[],2,1)</f>
        <v>26-35 lat</v>
      </c>
      <c r="HD104" t="s">
        <v>220</v>
      </c>
      <c r="HF104" t="s">
        <v>1330</v>
      </c>
      <c r="HG104" t="s">
        <v>532</v>
      </c>
    </row>
    <row r="105" spans="1:216" x14ac:dyDescent="0.45">
      <c r="A105">
        <v>3</v>
      </c>
      <c r="B105">
        <f>_xlfn.IFNA(VLOOKUP(AnalizaCzyste[[#This Row],[Zakończono wypełnianie]],Zakończone[],2,0),"BRAK")</f>
        <v>3</v>
      </c>
      <c r="C105">
        <f t="shared" si="3"/>
        <v>35</v>
      </c>
      <c r="D105" t="s">
        <v>188</v>
      </c>
      <c r="E105" t="s">
        <v>118</v>
      </c>
      <c r="J105" t="s">
        <v>119</v>
      </c>
      <c r="K105" t="s">
        <v>189</v>
      </c>
      <c r="L105" t="s">
        <v>190</v>
      </c>
      <c r="M105">
        <v>853</v>
      </c>
      <c r="N105">
        <v>0</v>
      </c>
      <c r="O105" t="s">
        <v>122</v>
      </c>
      <c r="P105" s="1" t="s">
        <v>123</v>
      </c>
      <c r="AF105" s="1" t="s">
        <v>124</v>
      </c>
      <c r="AG105" t="s">
        <v>191</v>
      </c>
      <c r="AH105" t="str">
        <f>VLOOKUP(AnalizaCzyste[[#This Row],[Jak się nazywa uczelnia którą ukończyłeś? (proszę o wybranie jednej uczelni podlegającej ocenie)]],KategorieUczelni[],2,0)</f>
        <v>Publiczna</v>
      </c>
      <c r="AI105">
        <v>2017</v>
      </c>
      <c r="AJ105" t="s">
        <v>126</v>
      </c>
      <c r="AK105" t="s">
        <v>192</v>
      </c>
      <c r="AL105" t="s">
        <v>150</v>
      </c>
      <c r="AM105" t="s">
        <v>150</v>
      </c>
      <c r="AN105" t="s">
        <v>162</v>
      </c>
      <c r="AO105" t="s">
        <v>169</v>
      </c>
      <c r="AP105" t="s">
        <v>169</v>
      </c>
      <c r="AQ105" t="s">
        <v>193</v>
      </c>
      <c r="AR105" t="s">
        <v>194</v>
      </c>
      <c r="AS105" t="s">
        <v>194</v>
      </c>
      <c r="AT105" t="s">
        <v>195</v>
      </c>
      <c r="AU105" t="s">
        <v>196</v>
      </c>
      <c r="AV105" t="s">
        <v>197</v>
      </c>
      <c r="AW105" t="s">
        <v>157</v>
      </c>
      <c r="AY105" s="1" t="s">
        <v>123</v>
      </c>
      <c r="CS105" s="1" t="s">
        <v>123</v>
      </c>
      <c r="DC105" s="1" t="s">
        <v>123</v>
      </c>
      <c r="DM105" s="1" t="s">
        <v>123</v>
      </c>
      <c r="EP105" s="1" t="s">
        <v>123</v>
      </c>
      <c r="FP105" s="1" t="s">
        <v>123</v>
      </c>
      <c r="FQ105" t="s">
        <v>132</v>
      </c>
      <c r="GX105" t="s">
        <v>198</v>
      </c>
      <c r="GY105" t="s">
        <v>199</v>
      </c>
      <c r="GZ105" t="s">
        <v>200</v>
      </c>
      <c r="HA105" t="s">
        <v>186</v>
      </c>
      <c r="HB105">
        <v>1991</v>
      </c>
      <c r="HC105" t="str">
        <f>VLOOKUP(AnalizaCzyste[[#This Row],[Rok urodzenia]],KategorieWiekowe[],2,1)</f>
        <v>26-35 lat</v>
      </c>
      <c r="HD105" t="s">
        <v>141</v>
      </c>
      <c r="HF105" t="s">
        <v>201</v>
      </c>
    </row>
    <row r="106" spans="1:216" x14ac:dyDescent="0.45">
      <c r="A106">
        <v>234</v>
      </c>
      <c r="B106">
        <f>_xlfn.IFNA(VLOOKUP(AnalizaCzyste[[#This Row],[Zakończono wypełnianie]],Zakończone[],2,0),"BRAK")</f>
        <v>126</v>
      </c>
      <c r="C106">
        <f t="shared" si="3"/>
        <v>32</v>
      </c>
      <c r="D106" t="s">
        <v>1890</v>
      </c>
      <c r="E106" t="s">
        <v>118</v>
      </c>
      <c r="J106" t="s">
        <v>119</v>
      </c>
      <c r="K106" t="s">
        <v>1891</v>
      </c>
      <c r="L106" t="s">
        <v>1892</v>
      </c>
      <c r="M106">
        <v>680</v>
      </c>
      <c r="N106">
        <v>0</v>
      </c>
      <c r="O106" t="s">
        <v>122</v>
      </c>
      <c r="P106" s="1" t="s">
        <v>123</v>
      </c>
      <c r="AF106" s="1" t="s">
        <v>124</v>
      </c>
      <c r="AG106" t="s">
        <v>191</v>
      </c>
      <c r="AH106" t="str">
        <f>VLOOKUP(AnalizaCzyste[[#This Row],[Jak się nazywa uczelnia którą ukończyłeś? (proszę o wybranie jednej uczelni podlegającej ocenie)]],KategorieUczelni[],2,0)</f>
        <v>Publiczna</v>
      </c>
      <c r="AI106">
        <v>2016</v>
      </c>
      <c r="AJ106" t="s">
        <v>126</v>
      </c>
      <c r="AK106" t="s">
        <v>1893</v>
      </c>
      <c r="AL106" t="s">
        <v>150</v>
      </c>
      <c r="AM106" t="s">
        <v>150</v>
      </c>
      <c r="AN106" t="s">
        <v>150</v>
      </c>
      <c r="AO106" t="s">
        <v>128</v>
      </c>
      <c r="AP106" t="s">
        <v>150</v>
      </c>
      <c r="AQ106" t="s">
        <v>530</v>
      </c>
      <c r="AR106" t="s">
        <v>302</v>
      </c>
      <c r="AS106" t="s">
        <v>226</v>
      </c>
      <c r="AU106" t="s">
        <v>1894</v>
      </c>
      <c r="AV106" t="s">
        <v>1895</v>
      </c>
      <c r="AW106" t="s">
        <v>157</v>
      </c>
      <c r="AY106" s="1" t="s">
        <v>123</v>
      </c>
      <c r="CS106" s="1" t="s">
        <v>123</v>
      </c>
      <c r="DC106" s="1" t="s">
        <v>123</v>
      </c>
      <c r="DM106" s="1" t="s">
        <v>123</v>
      </c>
      <c r="EP106" s="1" t="s">
        <v>123</v>
      </c>
      <c r="FP106" s="1" t="s">
        <v>123</v>
      </c>
      <c r="GX106" t="s">
        <v>1896</v>
      </c>
      <c r="GY106" t="s">
        <v>1897</v>
      </c>
      <c r="GZ106" t="s">
        <v>1898</v>
      </c>
      <c r="HA106" t="s">
        <v>140</v>
      </c>
      <c r="HB106">
        <v>1991</v>
      </c>
      <c r="HC106" t="str">
        <f>VLOOKUP(AnalizaCzyste[[#This Row],[Rok urodzenia]],KategorieWiekowe[],2,1)</f>
        <v>26-35 lat</v>
      </c>
      <c r="HD106" t="s">
        <v>398</v>
      </c>
    </row>
    <row r="107" spans="1:216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34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N107">
        <v>0</v>
      </c>
      <c r="O107" t="s">
        <v>122</v>
      </c>
      <c r="P107" s="1" t="s">
        <v>123</v>
      </c>
      <c r="AF107" s="1" t="s">
        <v>124</v>
      </c>
      <c r="AG107" t="s">
        <v>191</v>
      </c>
      <c r="AH107" t="str">
        <f>VLOOKUP(AnalizaCzyste[[#This Row],[Jak się nazywa uczelnia którą ukończyłeś? (proszę o wybranie jednej uczelni podlegającej ocenie)]],KategorieUczelni[],2,0)</f>
        <v>Publiczna</v>
      </c>
      <c r="AI107">
        <v>2018</v>
      </c>
      <c r="AJ107" t="s">
        <v>126</v>
      </c>
      <c r="AK107" t="s">
        <v>192</v>
      </c>
      <c r="AL107" t="s">
        <v>150</v>
      </c>
      <c r="AM107" t="s">
        <v>162</v>
      </c>
      <c r="AN107" t="s">
        <v>150</v>
      </c>
      <c r="AO107" t="s">
        <v>162</v>
      </c>
      <c r="AP107" t="s">
        <v>169</v>
      </c>
      <c r="AQ107" t="s">
        <v>237</v>
      </c>
      <c r="AR107" t="s">
        <v>153</v>
      </c>
      <c r="AS107" t="s">
        <v>209</v>
      </c>
      <c r="AT107" t="s">
        <v>1548</v>
      </c>
      <c r="AU107" t="s">
        <v>1549</v>
      </c>
      <c r="AV107" t="s">
        <v>1550</v>
      </c>
      <c r="AW107" t="s">
        <v>230</v>
      </c>
      <c r="AY107" s="1" t="s">
        <v>123</v>
      </c>
      <c r="CS107" s="1" t="s">
        <v>123</v>
      </c>
      <c r="DC107" s="1" t="s">
        <v>123</v>
      </c>
      <c r="DM107" s="1" t="s">
        <v>123</v>
      </c>
      <c r="EP107" s="1" t="s">
        <v>123</v>
      </c>
      <c r="FP107" s="1" t="s">
        <v>123</v>
      </c>
      <c r="GX107" t="s">
        <v>1551</v>
      </c>
      <c r="GY107" t="s">
        <v>1552</v>
      </c>
      <c r="GZ107" t="s">
        <v>1553</v>
      </c>
      <c r="HA107" t="s">
        <v>186</v>
      </c>
      <c r="HB107">
        <v>1994</v>
      </c>
      <c r="HC107" t="str">
        <f>VLOOKUP(AnalizaCzyste[[#This Row],[Rok urodzenia]],KategorieWiekowe[],2,1)</f>
        <v>26-35 lat</v>
      </c>
      <c r="HD107" t="s">
        <v>483</v>
      </c>
      <c r="HF107" t="s">
        <v>1554</v>
      </c>
    </row>
    <row r="108" spans="1:216" x14ac:dyDescent="0.45">
      <c r="A108">
        <v>211</v>
      </c>
      <c r="B108">
        <f>_xlfn.IFNA(VLOOKUP(AnalizaCzyste[[#This Row],[Zakończono wypełnianie]],Zakończone[],2,0),"BRAK")</f>
        <v>115</v>
      </c>
      <c r="C108">
        <f t="shared" si="3"/>
        <v>37</v>
      </c>
      <c r="D108" t="s">
        <v>1572</v>
      </c>
      <c r="E108" t="s">
        <v>118</v>
      </c>
      <c r="J108" t="s">
        <v>119</v>
      </c>
      <c r="K108" t="s">
        <v>1738</v>
      </c>
      <c r="L108" t="s">
        <v>1739</v>
      </c>
      <c r="M108">
        <v>1112</v>
      </c>
      <c r="N108">
        <v>0</v>
      </c>
      <c r="O108" t="s">
        <v>122</v>
      </c>
      <c r="P108" s="1" t="s">
        <v>123</v>
      </c>
      <c r="AF108" s="1" t="s">
        <v>124</v>
      </c>
      <c r="AG108" s="20" t="s">
        <v>191</v>
      </c>
      <c r="AH108" s="20" t="str">
        <f>VLOOKUP(AnalizaCzyste[[#This Row],[Jak się nazywa uczelnia którą ukończyłeś? (proszę o wybranie jednej uczelni podlegającej ocenie)]],KategorieUczelni[],2,0)</f>
        <v>Publiczna</v>
      </c>
      <c r="AI108">
        <v>2001</v>
      </c>
      <c r="AJ108" t="s">
        <v>126</v>
      </c>
      <c r="AK108" t="s">
        <v>1339</v>
      </c>
      <c r="AL108" t="s">
        <v>150</v>
      </c>
      <c r="AM108" t="s">
        <v>150</v>
      </c>
      <c r="AN108" t="s">
        <v>150</v>
      </c>
      <c r="AO108" t="s">
        <v>162</v>
      </c>
      <c r="AP108" t="s">
        <v>162</v>
      </c>
      <c r="AQ108" t="s">
        <v>1740</v>
      </c>
      <c r="AR108" t="s">
        <v>131</v>
      </c>
      <c r="AS108" t="s">
        <v>302</v>
      </c>
      <c r="AT108" t="s">
        <v>1741</v>
      </c>
      <c r="AU108" t="s">
        <v>1742</v>
      </c>
      <c r="AV108" t="s">
        <v>1743</v>
      </c>
      <c r="AW108" t="s">
        <v>157</v>
      </c>
      <c r="AX108" t="s">
        <v>1744</v>
      </c>
      <c r="AY108" s="1" t="s">
        <v>123</v>
      </c>
      <c r="CS108" s="1" t="s">
        <v>123</v>
      </c>
      <c r="DC108" s="1" t="s">
        <v>123</v>
      </c>
      <c r="DM108" s="1" t="s">
        <v>123</v>
      </c>
      <c r="EP108" s="1" t="s">
        <v>123</v>
      </c>
      <c r="FP108" s="1" t="s">
        <v>123</v>
      </c>
      <c r="GX108" t="s">
        <v>1745</v>
      </c>
      <c r="GY108" t="s">
        <v>1746</v>
      </c>
      <c r="GZ108" t="s">
        <v>1747</v>
      </c>
      <c r="HA108" t="s">
        <v>186</v>
      </c>
      <c r="HB108">
        <v>1976</v>
      </c>
      <c r="HC108" t="str">
        <f>VLOOKUP(AnalizaCzyste[[#This Row],[Rok urodzenia]],KategorieWiekowe[],2,1)</f>
        <v>36-45 lat</v>
      </c>
      <c r="HD108" t="s">
        <v>141</v>
      </c>
      <c r="HF108" t="s">
        <v>1748</v>
      </c>
      <c r="HG108" t="s">
        <v>1749</v>
      </c>
      <c r="HH108" t="s">
        <v>1750</v>
      </c>
    </row>
    <row r="109" spans="1:216" x14ac:dyDescent="0.45">
      <c r="A109">
        <v>162</v>
      </c>
      <c r="B109">
        <f>_xlfn.IFNA(VLOOKUP(AnalizaCzyste[[#This Row],[Zakończono wypełnianie]],Zakończone[],2,0),"BRAK")</f>
        <v>93</v>
      </c>
      <c r="C109">
        <f t="shared" si="3"/>
        <v>33</v>
      </c>
      <c r="D109" t="s">
        <v>1352</v>
      </c>
      <c r="E109" t="s">
        <v>118</v>
      </c>
      <c r="J109" t="s">
        <v>119</v>
      </c>
      <c r="K109" t="s">
        <v>1426</v>
      </c>
      <c r="L109" t="s">
        <v>1427</v>
      </c>
      <c r="M109">
        <v>490</v>
      </c>
      <c r="N109">
        <v>0</v>
      </c>
      <c r="O109" t="s">
        <v>122</v>
      </c>
      <c r="P109" s="1" t="s">
        <v>123</v>
      </c>
      <c r="AF109" s="1" t="s">
        <v>124</v>
      </c>
      <c r="AG109" t="s">
        <v>1415</v>
      </c>
      <c r="AH109" t="str">
        <f>VLOOKUP(AnalizaCzyste[[#This Row],[Jak się nazywa uczelnia którą ukończyłeś? (proszę o wybranie jednej uczelni podlegającej ocenie)]],KategorieUczelni[],2,0)</f>
        <v>Publiczna</v>
      </c>
      <c r="AI109">
        <v>2006</v>
      </c>
      <c r="AJ109" t="s">
        <v>126</v>
      </c>
      <c r="AK109" t="s">
        <v>192</v>
      </c>
      <c r="AL109" t="s">
        <v>150</v>
      </c>
      <c r="AM109" t="s">
        <v>150</v>
      </c>
      <c r="AN109" t="s">
        <v>169</v>
      </c>
      <c r="AO109" t="s">
        <v>150</v>
      </c>
      <c r="AP109" t="s">
        <v>150</v>
      </c>
      <c r="AQ109" t="s">
        <v>237</v>
      </c>
      <c r="AR109" t="s">
        <v>226</v>
      </c>
      <c r="AS109" t="s">
        <v>1428</v>
      </c>
      <c r="AT109" t="s">
        <v>1429</v>
      </c>
      <c r="AU109" t="s">
        <v>1430</v>
      </c>
      <c r="AV109" t="s">
        <v>1431</v>
      </c>
      <c r="AW109" t="s">
        <v>157</v>
      </c>
      <c r="AY109" s="1" t="s">
        <v>123</v>
      </c>
      <c r="CS109" s="1" t="s">
        <v>123</v>
      </c>
      <c r="DC109" s="1" t="s">
        <v>123</v>
      </c>
      <c r="DM109" s="1" t="s">
        <v>123</v>
      </c>
      <c r="EP109" s="1" t="s">
        <v>123</v>
      </c>
      <c r="FP109" s="1" t="s">
        <v>123</v>
      </c>
      <c r="GX109" t="s">
        <v>1432</v>
      </c>
      <c r="GY109" t="s">
        <v>1433</v>
      </c>
      <c r="GZ109" t="s">
        <v>1434</v>
      </c>
      <c r="HA109" t="s">
        <v>186</v>
      </c>
      <c r="HB109">
        <v>1982</v>
      </c>
      <c r="HC109" t="str">
        <f>VLOOKUP(AnalizaCzyste[[#This Row],[Rok urodzenia]],KategorieWiekowe[],2,1)</f>
        <v>36-45 lat</v>
      </c>
      <c r="HD109" t="s">
        <v>141</v>
      </c>
    </row>
    <row r="110" spans="1:216" x14ac:dyDescent="0.45">
      <c r="A110">
        <v>117</v>
      </c>
      <c r="B110">
        <f>_xlfn.IFNA(VLOOKUP(AnalizaCzyste[[#This Row],[Zakończono wypełnianie]],Zakończone[],2,0),"BRAK")</f>
        <v>70</v>
      </c>
      <c r="C110">
        <f t="shared" si="3"/>
        <v>32</v>
      </c>
      <c r="D110" t="s">
        <v>1098</v>
      </c>
      <c r="E110" t="s">
        <v>118</v>
      </c>
      <c r="J110" t="s">
        <v>119</v>
      </c>
      <c r="K110" t="s">
        <v>1099</v>
      </c>
      <c r="L110" t="s">
        <v>1100</v>
      </c>
      <c r="M110">
        <v>358</v>
      </c>
      <c r="N110">
        <v>0</v>
      </c>
      <c r="O110" t="s">
        <v>122</v>
      </c>
      <c r="P110" s="1" t="s">
        <v>123</v>
      </c>
      <c r="AF110" s="1" t="s">
        <v>124</v>
      </c>
      <c r="AG110" t="s">
        <v>1090</v>
      </c>
      <c r="AH110" t="str">
        <f>VLOOKUP(AnalizaCzyste[[#This Row],[Jak się nazywa uczelnia którą ukończyłeś? (proszę o wybranie jednej uczelni podlegającej ocenie)]],KategorieUczelni[],2,0)</f>
        <v>Publiczna</v>
      </c>
      <c r="AI110">
        <v>2018</v>
      </c>
      <c r="AJ110" t="s">
        <v>126</v>
      </c>
      <c r="AK110" t="s">
        <v>844</v>
      </c>
      <c r="AL110" t="s">
        <v>150</v>
      </c>
      <c r="AM110" t="s">
        <v>151</v>
      </c>
      <c r="AN110" t="s">
        <v>162</v>
      </c>
      <c r="AO110" t="s">
        <v>150</v>
      </c>
      <c r="AP110" t="s">
        <v>132</v>
      </c>
      <c r="AQ110">
        <v>1</v>
      </c>
      <c r="AR110" t="s">
        <v>153</v>
      </c>
      <c r="AS110" t="s">
        <v>132</v>
      </c>
      <c r="AU110" t="s">
        <v>1101</v>
      </c>
      <c r="AV110" t="s">
        <v>1102</v>
      </c>
      <c r="AW110" t="s">
        <v>157</v>
      </c>
      <c r="AY110" s="1" t="s">
        <v>123</v>
      </c>
      <c r="CS110" s="1" t="s">
        <v>123</v>
      </c>
      <c r="DC110" s="1" t="s">
        <v>123</v>
      </c>
      <c r="DM110" s="1" t="s">
        <v>123</v>
      </c>
      <c r="EP110" s="1" t="s">
        <v>123</v>
      </c>
      <c r="FP110" s="1" t="s">
        <v>123</v>
      </c>
      <c r="GX110" t="s">
        <v>1103</v>
      </c>
      <c r="GY110" t="s">
        <v>1104</v>
      </c>
      <c r="GZ110" t="s">
        <v>1105</v>
      </c>
      <c r="HA110" t="s">
        <v>140</v>
      </c>
      <c r="HB110">
        <v>1991</v>
      </c>
      <c r="HC110" t="str">
        <f>VLOOKUP(AnalizaCzyste[[#This Row],[Rok urodzenia]],KategorieWiekowe[],2,1)</f>
        <v>26-35 lat</v>
      </c>
      <c r="HD110" t="s">
        <v>141</v>
      </c>
    </row>
    <row r="111" spans="1:216" x14ac:dyDescent="0.45">
      <c r="A111">
        <v>84</v>
      </c>
      <c r="B111">
        <f>_xlfn.IFNA(VLOOKUP(AnalizaCzyste[[#This Row],[Zakończono wypełnianie]],Zakończone[],2,0),"BRAK")</f>
        <v>49</v>
      </c>
      <c r="C111">
        <f t="shared" si="3"/>
        <v>51</v>
      </c>
      <c r="D111" t="s">
        <v>854</v>
      </c>
      <c r="E111" t="s">
        <v>118</v>
      </c>
      <c r="J111" t="s">
        <v>119</v>
      </c>
      <c r="K111" t="s">
        <v>855</v>
      </c>
      <c r="L111" t="s">
        <v>856</v>
      </c>
      <c r="M111">
        <v>1349</v>
      </c>
      <c r="N111">
        <v>0</v>
      </c>
      <c r="O111" t="s">
        <v>122</v>
      </c>
      <c r="P111" s="1" t="s">
        <v>416</v>
      </c>
      <c r="Q111" t="s">
        <v>179</v>
      </c>
      <c r="R111" t="s">
        <v>148</v>
      </c>
      <c r="S111" t="s">
        <v>857</v>
      </c>
      <c r="T111" t="s">
        <v>162</v>
      </c>
      <c r="U111" t="s">
        <v>162</v>
      </c>
      <c r="V111" t="s">
        <v>151</v>
      </c>
      <c r="W111" t="s">
        <v>718</v>
      </c>
      <c r="X111" t="s">
        <v>152</v>
      </c>
      <c r="Y111" t="s">
        <v>759</v>
      </c>
      <c r="Z111" t="s">
        <v>858</v>
      </c>
      <c r="AA111" t="s">
        <v>859</v>
      </c>
      <c r="AB111" t="s">
        <v>860</v>
      </c>
      <c r="AD111" t="s">
        <v>861</v>
      </c>
      <c r="AE111">
        <v>2</v>
      </c>
      <c r="AF111" s="1" t="s">
        <v>124</v>
      </c>
      <c r="AG111" t="s">
        <v>862</v>
      </c>
      <c r="AH111" t="str">
        <f>VLOOKUP(AnalizaCzyste[[#This Row],[Jak się nazywa uczelnia którą ukończyłeś? (proszę o wybranie jednej uczelni podlegającej ocenie)]],KategorieUczelni[],2,0)</f>
        <v>Publiczna</v>
      </c>
      <c r="AI111">
        <v>2019</v>
      </c>
      <c r="AJ111" t="s">
        <v>148</v>
      </c>
      <c r="AK111" t="s">
        <v>863</v>
      </c>
      <c r="AL111" t="s">
        <v>150</v>
      </c>
      <c r="AM111" t="s">
        <v>150</v>
      </c>
      <c r="AN111" t="s">
        <v>169</v>
      </c>
      <c r="AO111" t="s">
        <v>151</v>
      </c>
      <c r="AP111" t="s">
        <v>150</v>
      </c>
      <c r="AQ111" t="s">
        <v>864</v>
      </c>
      <c r="AR111" t="s">
        <v>302</v>
      </c>
      <c r="AS111" t="s">
        <v>759</v>
      </c>
      <c r="AT111" t="s">
        <v>865</v>
      </c>
      <c r="AU111" t="s">
        <v>866</v>
      </c>
      <c r="AV111" t="s">
        <v>867</v>
      </c>
      <c r="AW111" t="s">
        <v>157</v>
      </c>
      <c r="AY111" s="1" t="s">
        <v>123</v>
      </c>
      <c r="CS111" s="1" t="s">
        <v>123</v>
      </c>
      <c r="DC111" s="1" t="s">
        <v>123</v>
      </c>
      <c r="DM111" s="1" t="s">
        <v>123</v>
      </c>
      <c r="EP111" s="1" t="s">
        <v>123</v>
      </c>
      <c r="FP111" s="1" t="s">
        <v>123</v>
      </c>
      <c r="FQ111" t="s">
        <v>132</v>
      </c>
      <c r="GX111" t="s">
        <v>868</v>
      </c>
      <c r="GY111" t="s">
        <v>869</v>
      </c>
      <c r="GZ111" t="s">
        <v>870</v>
      </c>
      <c r="HA111" t="s">
        <v>186</v>
      </c>
      <c r="HB111">
        <v>1991</v>
      </c>
      <c r="HC111" t="str">
        <f>VLOOKUP(AnalizaCzyste[[#This Row],[Rok urodzenia]],KategorieWiekowe[],2,1)</f>
        <v>26-35 lat</v>
      </c>
      <c r="HD111" t="s">
        <v>220</v>
      </c>
      <c r="HE111" t="s">
        <v>871</v>
      </c>
      <c r="HF111" t="s">
        <v>872</v>
      </c>
      <c r="HG111" t="s">
        <v>386</v>
      </c>
    </row>
    <row r="112" spans="1:216" x14ac:dyDescent="0.45">
      <c r="A112">
        <v>111</v>
      </c>
      <c r="B112">
        <f>_xlfn.IFNA(VLOOKUP(AnalizaCzyste[[#This Row],[Zakończono wypełnianie]],Zakończone[],2,0),"BRAK")</f>
        <v>66</v>
      </c>
      <c r="C112">
        <f t="shared" si="3"/>
        <v>39</v>
      </c>
      <c r="D112" t="s">
        <v>1046</v>
      </c>
      <c r="E112" t="s">
        <v>118</v>
      </c>
      <c r="J112" t="s">
        <v>119</v>
      </c>
      <c r="K112" t="s">
        <v>1047</v>
      </c>
      <c r="L112" t="s">
        <v>1048</v>
      </c>
      <c r="M112">
        <v>1978</v>
      </c>
      <c r="N112">
        <v>0</v>
      </c>
      <c r="O112" t="s">
        <v>122</v>
      </c>
      <c r="P112" s="1" t="s">
        <v>123</v>
      </c>
      <c r="AF112" s="1" t="s">
        <v>124</v>
      </c>
      <c r="AG112" t="s">
        <v>1290</v>
      </c>
      <c r="AH112" t="str">
        <f>VLOOKUP(AnalizaCzyste[[#This Row],[Jak się nazywa uczelnia którą ukończyłeś? (proszę o wybranie jednej uczelni podlegającej ocenie)]],KategorieUczelni[],2,0)</f>
        <v>Niepubliczna</v>
      </c>
      <c r="AI112">
        <v>2009</v>
      </c>
      <c r="AJ112" t="s">
        <v>148</v>
      </c>
      <c r="AK112" t="s">
        <v>1050</v>
      </c>
      <c r="AL112" t="s">
        <v>150</v>
      </c>
      <c r="AM112" t="s">
        <v>162</v>
      </c>
      <c r="AN112" t="s">
        <v>169</v>
      </c>
      <c r="AO112" t="s">
        <v>162</v>
      </c>
      <c r="AP112" t="s">
        <v>150</v>
      </c>
      <c r="AQ112" t="s">
        <v>1051</v>
      </c>
      <c r="AR112" t="s">
        <v>302</v>
      </c>
      <c r="AS112" t="s">
        <v>153</v>
      </c>
      <c r="AT112" t="s">
        <v>1052</v>
      </c>
      <c r="AU112" t="s">
        <v>1053</v>
      </c>
      <c r="AV112" t="s">
        <v>1054</v>
      </c>
      <c r="AW112" t="s">
        <v>230</v>
      </c>
      <c r="AX112" t="s">
        <v>1050</v>
      </c>
      <c r="AY112" s="1" t="s">
        <v>123</v>
      </c>
      <c r="CS112" s="1" t="s">
        <v>123</v>
      </c>
      <c r="DC112" s="1" t="s">
        <v>123</v>
      </c>
      <c r="DM112" s="1" t="s">
        <v>123</v>
      </c>
      <c r="EP112" s="1" t="s">
        <v>123</v>
      </c>
      <c r="EQ112" t="s">
        <v>180</v>
      </c>
      <c r="ER112" t="s">
        <v>132</v>
      </c>
      <c r="FP112" s="1" t="s">
        <v>123</v>
      </c>
      <c r="FQ112" t="s">
        <v>132</v>
      </c>
      <c r="FS112" t="s">
        <v>132</v>
      </c>
      <c r="GX112" t="s">
        <v>1055</v>
      </c>
      <c r="GY112" t="s">
        <v>1056</v>
      </c>
      <c r="GZ112" t="s">
        <v>1057</v>
      </c>
      <c r="HA112" t="s">
        <v>186</v>
      </c>
      <c r="HB112">
        <v>1978</v>
      </c>
      <c r="HC112" t="str">
        <f>VLOOKUP(AnalizaCzyste[[#This Row],[Rok urodzenia]],KategorieWiekowe[],2,1)</f>
        <v>36-45 lat</v>
      </c>
      <c r="HD112" t="s">
        <v>141</v>
      </c>
      <c r="HF112" t="s">
        <v>1058</v>
      </c>
    </row>
    <row r="113" spans="1:216" hidden="1" x14ac:dyDescent="0.45">
      <c r="A113">
        <v>41</v>
      </c>
      <c r="B113">
        <f>_xlfn.IFNA(VLOOKUP(AnalizaCzyste[[#This Row],[Zakończono wypełnianie]],Zakończone[],2,0),"BRAK")</f>
        <v>27</v>
      </c>
      <c r="C113">
        <f t="shared" si="3"/>
        <v>33</v>
      </c>
      <c r="D113" t="s">
        <v>527</v>
      </c>
      <c r="E113" t="s">
        <v>118</v>
      </c>
      <c r="J113" t="s">
        <v>119</v>
      </c>
      <c r="K113" t="s">
        <v>528</v>
      </c>
      <c r="L113" t="s">
        <v>529</v>
      </c>
      <c r="M113">
        <v>283</v>
      </c>
      <c r="N113">
        <v>0</v>
      </c>
      <c r="O113" t="s">
        <v>122</v>
      </c>
      <c r="P113" s="1" t="s">
        <v>416</v>
      </c>
      <c r="Q113" t="s">
        <v>445</v>
      </c>
      <c r="R113" t="s">
        <v>148</v>
      </c>
      <c r="S113" t="s">
        <v>461</v>
      </c>
      <c r="T113" t="s">
        <v>169</v>
      </c>
      <c r="U113" t="s">
        <v>162</v>
      </c>
      <c r="V113" t="s">
        <v>162</v>
      </c>
      <c r="W113" t="s">
        <v>530</v>
      </c>
      <c r="X113" t="s">
        <v>131</v>
      </c>
      <c r="Y113" t="s">
        <v>153</v>
      </c>
      <c r="AA113" t="s">
        <v>531</v>
      </c>
      <c r="AB113" t="s">
        <v>532</v>
      </c>
      <c r="AC113" t="s">
        <v>172</v>
      </c>
      <c r="AE113">
        <v>6</v>
      </c>
      <c r="AF113" s="1" t="s">
        <v>123</v>
      </c>
      <c r="AH113" t="e">
        <f>VLOOKUP(AnalizaCzyste[[#This Row],[Jak się nazywa uczelnia którą ukończyłeś? (proszę o wybranie jednej uczelni podlegającej ocenie)]],KategorieUczelni[],2,0)</f>
        <v>#N/A</v>
      </c>
      <c r="AY113" s="1" t="s">
        <v>123</v>
      </c>
      <c r="CS113" s="1" t="s">
        <v>123</v>
      </c>
      <c r="DC113" s="1" t="s">
        <v>123</v>
      </c>
      <c r="DM113" s="1" t="s">
        <v>123</v>
      </c>
      <c r="EP113" s="1" t="s">
        <v>123</v>
      </c>
      <c r="FP113" s="1" t="s">
        <v>123</v>
      </c>
      <c r="FQ113" t="s">
        <v>132</v>
      </c>
      <c r="GX113" t="s">
        <v>534</v>
      </c>
      <c r="GY113" t="s">
        <v>535</v>
      </c>
      <c r="GZ113" t="s">
        <v>532</v>
      </c>
      <c r="HA113" t="s">
        <v>140</v>
      </c>
      <c r="HB113">
        <v>1996</v>
      </c>
      <c r="HC113" t="str">
        <f>VLOOKUP(AnalizaCzyste[[#This Row],[Rok urodzenia]],KategorieWiekowe[],2,1)</f>
        <v>poniżej 26 lat</v>
      </c>
      <c r="HD113" t="s">
        <v>483</v>
      </c>
      <c r="HF113" t="s">
        <v>536</v>
      </c>
      <c r="HG113" t="s">
        <v>537</v>
      </c>
    </row>
    <row r="114" spans="1:216" hidden="1" x14ac:dyDescent="0.45">
      <c r="A114">
        <v>53</v>
      </c>
      <c r="B114">
        <f>_xlfn.IFNA(VLOOKUP(AnalizaCzyste[[#This Row],[Zakończono wypełnianie]],Zakończone[],2,0),"BRAK")</f>
        <v>32</v>
      </c>
      <c r="C114">
        <f t="shared" si="3"/>
        <v>33</v>
      </c>
      <c r="D114" t="s">
        <v>610</v>
      </c>
      <c r="E114" t="s">
        <v>118</v>
      </c>
      <c r="F114" t="s">
        <v>548</v>
      </c>
      <c r="J114" t="s">
        <v>119</v>
      </c>
      <c r="K114" t="s">
        <v>611</v>
      </c>
      <c r="L114" t="s">
        <v>612</v>
      </c>
      <c r="M114">
        <v>551</v>
      </c>
      <c r="N114">
        <v>0</v>
      </c>
      <c r="O114" t="s">
        <v>122</v>
      </c>
      <c r="P114" s="1" t="s">
        <v>416</v>
      </c>
      <c r="Q114" t="s">
        <v>445</v>
      </c>
      <c r="R114" t="s">
        <v>148</v>
      </c>
      <c r="S114" t="s">
        <v>613</v>
      </c>
      <c r="T114" t="s">
        <v>150</v>
      </c>
      <c r="U114" t="s">
        <v>150</v>
      </c>
      <c r="V114" t="s">
        <v>151</v>
      </c>
      <c r="W114" t="s">
        <v>530</v>
      </c>
      <c r="X114" t="s">
        <v>131</v>
      </c>
      <c r="Y114" t="s">
        <v>302</v>
      </c>
      <c r="Z114" t="s">
        <v>614</v>
      </c>
      <c r="AA114" t="s">
        <v>615</v>
      </c>
      <c r="AB114" t="s">
        <v>616</v>
      </c>
      <c r="AC114" t="s">
        <v>172</v>
      </c>
      <c r="AE114">
        <v>6</v>
      </c>
      <c r="AF114" s="1" t="s">
        <v>123</v>
      </c>
      <c r="AH114" t="e">
        <f>VLOOKUP(AnalizaCzyste[[#This Row],[Jak się nazywa uczelnia którą ukończyłeś? (proszę o wybranie jednej uczelni podlegającej ocenie)]],KategorieUczelni[],2,0)</f>
        <v>#N/A</v>
      </c>
      <c r="AY114" s="1" t="s">
        <v>123</v>
      </c>
      <c r="CS114" s="1" t="s">
        <v>123</v>
      </c>
      <c r="DC114" s="1" t="s">
        <v>123</v>
      </c>
      <c r="DM114" s="1" t="s">
        <v>123</v>
      </c>
      <c r="EP114" s="1" t="s">
        <v>123</v>
      </c>
      <c r="FP114" s="1" t="s">
        <v>123</v>
      </c>
      <c r="FQ114" t="s">
        <v>132</v>
      </c>
      <c r="GX114" t="s">
        <v>617</v>
      </c>
      <c r="GY114" t="s">
        <v>618</v>
      </c>
      <c r="GZ114" t="s">
        <v>619</v>
      </c>
      <c r="HA114" t="s">
        <v>140</v>
      </c>
      <c r="HB114">
        <v>1998</v>
      </c>
      <c r="HC114" t="str">
        <f>VLOOKUP(AnalizaCzyste[[#This Row],[Rok urodzenia]],KategorieWiekowe[],2,1)</f>
        <v>poniżej 26 lat</v>
      </c>
      <c r="HD114" t="s">
        <v>398</v>
      </c>
      <c r="HF114" t="s">
        <v>620</v>
      </c>
    </row>
    <row r="115" spans="1:216" hidden="1" x14ac:dyDescent="0.45">
      <c r="A115">
        <v>54</v>
      </c>
      <c r="B115">
        <f>_xlfn.IFNA(VLOOKUP(AnalizaCzyste[[#This Row],[Zakończono wypełnianie]],Zakończone[],2,0),"BRAK")</f>
        <v>33</v>
      </c>
      <c r="C115">
        <f t="shared" si="3"/>
        <v>33</v>
      </c>
      <c r="D115" t="s">
        <v>621</v>
      </c>
      <c r="E115" t="s">
        <v>118</v>
      </c>
      <c r="F115" t="s">
        <v>359</v>
      </c>
      <c r="J115" t="s">
        <v>119</v>
      </c>
      <c r="K115" t="s">
        <v>622</v>
      </c>
      <c r="L115" t="s">
        <v>623</v>
      </c>
      <c r="M115">
        <v>595</v>
      </c>
      <c r="N115">
        <v>0</v>
      </c>
      <c r="O115" t="s">
        <v>122</v>
      </c>
      <c r="P115" s="1" t="s">
        <v>416</v>
      </c>
      <c r="Q115" t="s">
        <v>445</v>
      </c>
      <c r="R115" t="s">
        <v>148</v>
      </c>
      <c r="S115" t="s">
        <v>624</v>
      </c>
      <c r="T115" t="s">
        <v>150</v>
      </c>
      <c r="U115" t="s">
        <v>150</v>
      </c>
      <c r="V115" t="s">
        <v>169</v>
      </c>
      <c r="W115">
        <v>12</v>
      </c>
      <c r="X115" t="s">
        <v>302</v>
      </c>
      <c r="Y115" t="s">
        <v>226</v>
      </c>
      <c r="AA115" t="s">
        <v>625</v>
      </c>
      <c r="AB115" t="s">
        <v>626</v>
      </c>
      <c r="AC115" t="s">
        <v>172</v>
      </c>
      <c r="AE115">
        <v>4</v>
      </c>
      <c r="AF115" s="1" t="s">
        <v>123</v>
      </c>
      <c r="AH115" t="e">
        <f>VLOOKUP(AnalizaCzyste[[#This Row],[Jak się nazywa uczelnia którą ukończyłeś? (proszę o wybranie jednej uczelni podlegającej ocenie)]],KategorieUczelni[],2,0)</f>
        <v>#N/A</v>
      </c>
      <c r="AY115" s="1" t="s">
        <v>123</v>
      </c>
      <c r="CS115" s="1" t="s">
        <v>123</v>
      </c>
      <c r="DC115" s="1" t="s">
        <v>123</v>
      </c>
      <c r="DM115" s="1" t="s">
        <v>123</v>
      </c>
      <c r="EP115" s="1" t="s">
        <v>123</v>
      </c>
      <c r="FP115" s="1" t="s">
        <v>123</v>
      </c>
      <c r="FQ115" t="s">
        <v>132</v>
      </c>
      <c r="GX115" t="s">
        <v>627</v>
      </c>
      <c r="GY115" t="s">
        <v>628</v>
      </c>
      <c r="GZ115" t="s">
        <v>629</v>
      </c>
      <c r="HA115" t="s">
        <v>186</v>
      </c>
      <c r="HB115" t="s">
        <v>630</v>
      </c>
      <c r="HC115" t="e">
        <f>VLOOKUP(AnalizaCzyste[[#This Row],[Rok urodzenia]],KategorieWiekowe[],2,1)</f>
        <v>#N/A</v>
      </c>
      <c r="HD115" t="s">
        <v>398</v>
      </c>
      <c r="HF115" t="s">
        <v>631</v>
      </c>
      <c r="HG115" t="s">
        <v>632</v>
      </c>
    </row>
    <row r="116" spans="1:216" x14ac:dyDescent="0.45">
      <c r="A116">
        <v>102</v>
      </c>
      <c r="B116">
        <f>_xlfn.IFNA(VLOOKUP(AnalizaCzyste[[#This Row],[Zakończono wypełnianie]],Zakończone[],2,0),"BRAK")</f>
        <v>63</v>
      </c>
      <c r="C116">
        <f t="shared" si="3"/>
        <v>46</v>
      </c>
      <c r="D116" t="s">
        <v>999</v>
      </c>
      <c r="E116" t="s">
        <v>118</v>
      </c>
      <c r="F116" t="s">
        <v>260</v>
      </c>
      <c r="J116" t="s">
        <v>119</v>
      </c>
      <c r="K116" t="s">
        <v>1000</v>
      </c>
      <c r="L116" t="s">
        <v>1001</v>
      </c>
      <c r="M116">
        <v>18013</v>
      </c>
      <c r="N116">
        <v>0</v>
      </c>
      <c r="O116" t="s">
        <v>122</v>
      </c>
      <c r="P116" s="1" t="s">
        <v>123</v>
      </c>
      <c r="AF116" s="1" t="s">
        <v>124</v>
      </c>
      <c r="AG116" t="s">
        <v>2271</v>
      </c>
      <c r="AH116" t="str">
        <f>VLOOKUP(AnalizaCzyste[[#This Row],[Jak się nazywa uczelnia którą ukończyłeś? (proszę o wybranie jednej uczelni podlegającej ocenie)]],KategorieUczelni[],2,0)</f>
        <v>Publiczna</v>
      </c>
      <c r="AI116">
        <v>1996</v>
      </c>
      <c r="AJ116" t="s">
        <v>148</v>
      </c>
      <c r="AK116" t="s">
        <v>1003</v>
      </c>
      <c r="AL116" t="s">
        <v>150</v>
      </c>
      <c r="AM116" t="s">
        <v>150</v>
      </c>
      <c r="AN116" t="s">
        <v>162</v>
      </c>
      <c r="AO116" t="s">
        <v>129</v>
      </c>
      <c r="AP116" t="s">
        <v>236</v>
      </c>
      <c r="AQ116">
        <v>1</v>
      </c>
      <c r="AR116" t="s">
        <v>131</v>
      </c>
      <c r="AS116" t="s">
        <v>153</v>
      </c>
      <c r="AT116" t="s">
        <v>1004</v>
      </c>
      <c r="AU116" t="s">
        <v>1005</v>
      </c>
      <c r="AV116" t="s">
        <v>532</v>
      </c>
      <c r="AW116" t="s">
        <v>157</v>
      </c>
      <c r="AX116" t="s">
        <v>1006</v>
      </c>
      <c r="AY116" s="1" t="s">
        <v>123</v>
      </c>
      <c r="CS116" s="1" t="s">
        <v>123</v>
      </c>
      <c r="DC116" s="1" t="s">
        <v>123</v>
      </c>
      <c r="DM116" s="1" t="s">
        <v>123</v>
      </c>
      <c r="EP116" s="1" t="s">
        <v>177</v>
      </c>
      <c r="EQ116" t="s">
        <v>178</v>
      </c>
      <c r="ER116" t="s">
        <v>132</v>
      </c>
      <c r="ES116" t="s">
        <v>1002</v>
      </c>
      <c r="ET116" t="s">
        <v>236</v>
      </c>
      <c r="EU116" t="s">
        <v>236</v>
      </c>
      <c r="EV116" t="s">
        <v>151</v>
      </c>
      <c r="EW116" t="s">
        <v>178</v>
      </c>
      <c r="EX116" t="s">
        <v>1007</v>
      </c>
      <c r="EY116" t="s">
        <v>1008</v>
      </c>
      <c r="EZ116" t="s">
        <v>173</v>
      </c>
      <c r="FP116" s="1" t="s">
        <v>123</v>
      </c>
      <c r="FQ116" t="s">
        <v>132</v>
      </c>
      <c r="FS116" t="s">
        <v>132</v>
      </c>
      <c r="GX116" t="s">
        <v>1009</v>
      </c>
      <c r="GY116" t="s">
        <v>1007</v>
      </c>
      <c r="GZ116" t="s">
        <v>1009</v>
      </c>
      <c r="HA116" t="s">
        <v>186</v>
      </c>
      <c r="HB116">
        <v>1966</v>
      </c>
      <c r="HC116" t="str">
        <f>VLOOKUP(AnalizaCzyste[[#This Row],[Rok urodzenia]],KategorieWiekowe[],2,1)</f>
        <v>46-55 lat</v>
      </c>
      <c r="HD116" t="s">
        <v>141</v>
      </c>
    </row>
    <row r="117" spans="1:216" x14ac:dyDescent="0.45">
      <c r="A117">
        <v>261</v>
      </c>
      <c r="B117">
        <f>_xlfn.IFNA(VLOOKUP(AnalizaCzyste[[#This Row],[Zakończono wypełnianie]],Zakończone[],2,0),"BRAK")</f>
        <v>138</v>
      </c>
      <c r="C117">
        <f t="shared" si="3"/>
        <v>63</v>
      </c>
      <c r="D117" t="s">
        <v>2014</v>
      </c>
      <c r="E117" t="s">
        <v>118</v>
      </c>
      <c r="J117" t="s">
        <v>119</v>
      </c>
      <c r="K117" t="s">
        <v>2057</v>
      </c>
      <c r="L117" t="s">
        <v>2058</v>
      </c>
      <c r="M117">
        <v>616</v>
      </c>
      <c r="N117">
        <v>0</v>
      </c>
      <c r="O117" t="s">
        <v>122</v>
      </c>
      <c r="P117" s="1" t="s">
        <v>123</v>
      </c>
      <c r="AF117" s="1" t="s">
        <v>124</v>
      </c>
      <c r="AG117" t="s">
        <v>223</v>
      </c>
      <c r="AH117" t="str">
        <f>VLOOKUP(AnalizaCzyste[[#This Row],[Jak się nazywa uczelnia którą ukończyłeś? (proszę o wybranie jednej uczelni podlegającej ocenie)]],KategorieUczelni[],2,0)</f>
        <v>Publiczna</v>
      </c>
      <c r="AI117">
        <v>1992</v>
      </c>
      <c r="AJ117" t="s">
        <v>148</v>
      </c>
      <c r="AK117" t="s">
        <v>2059</v>
      </c>
      <c r="AL117" t="s">
        <v>150</v>
      </c>
      <c r="AM117" t="s">
        <v>169</v>
      </c>
      <c r="AN117" t="s">
        <v>150</v>
      </c>
      <c r="AO117" t="s">
        <v>151</v>
      </c>
      <c r="AP117" t="s">
        <v>162</v>
      </c>
      <c r="AQ117">
        <v>0</v>
      </c>
      <c r="AR117" t="s">
        <v>131</v>
      </c>
      <c r="AS117" t="s">
        <v>302</v>
      </c>
      <c r="AT117" t="s">
        <v>2060</v>
      </c>
      <c r="AU117" t="s">
        <v>1229</v>
      </c>
      <c r="AV117" t="s">
        <v>1229</v>
      </c>
      <c r="AW117" t="s">
        <v>157</v>
      </c>
      <c r="AX117" t="s">
        <v>2032</v>
      </c>
      <c r="AY117" s="1" t="s">
        <v>159</v>
      </c>
      <c r="AZ117">
        <v>1</v>
      </c>
      <c r="BA117" t="s">
        <v>445</v>
      </c>
      <c r="BB117">
        <v>2019</v>
      </c>
      <c r="BC117" t="s">
        <v>148</v>
      </c>
      <c r="BD117" t="s">
        <v>461</v>
      </c>
      <c r="BE117" t="s">
        <v>169</v>
      </c>
      <c r="BF117" t="s">
        <v>169</v>
      </c>
      <c r="BG117" t="s">
        <v>169</v>
      </c>
      <c r="BH117" t="s">
        <v>169</v>
      </c>
      <c r="BI117" t="s">
        <v>132</v>
      </c>
      <c r="BJ117" t="s">
        <v>2020</v>
      </c>
      <c r="BK117" t="s">
        <v>2061</v>
      </c>
      <c r="BL117" t="s">
        <v>157</v>
      </c>
      <c r="BN117" t="s">
        <v>2062</v>
      </c>
      <c r="BO117" t="s">
        <v>173</v>
      </c>
      <c r="CS117" s="1" t="s">
        <v>123</v>
      </c>
      <c r="DC117" s="1" t="s">
        <v>123</v>
      </c>
      <c r="DM117" s="1" t="s">
        <v>123</v>
      </c>
      <c r="EP117" s="1" t="s">
        <v>123</v>
      </c>
      <c r="FP117" s="1" t="s">
        <v>2022</v>
      </c>
      <c r="FQ117" t="s">
        <v>2023</v>
      </c>
      <c r="FR117" t="s">
        <v>2063</v>
      </c>
      <c r="FS117">
        <v>1</v>
      </c>
      <c r="FT117" t="s">
        <v>191</v>
      </c>
      <c r="FU117" t="s">
        <v>150</v>
      </c>
      <c r="FV117" t="s">
        <v>150</v>
      </c>
      <c r="FW117" t="s">
        <v>169</v>
      </c>
      <c r="FX117" t="s">
        <v>169</v>
      </c>
      <c r="FY117" t="s">
        <v>132</v>
      </c>
      <c r="FZ117" t="s">
        <v>132</v>
      </c>
      <c r="GA117" t="s">
        <v>169</v>
      </c>
      <c r="GD117" t="s">
        <v>173</v>
      </c>
      <c r="GX117" t="s">
        <v>1229</v>
      </c>
      <c r="GY117" t="s">
        <v>1229</v>
      </c>
      <c r="GZ117" t="s">
        <v>1229</v>
      </c>
      <c r="HA117" t="s">
        <v>186</v>
      </c>
      <c r="HB117">
        <v>1968</v>
      </c>
      <c r="HC117" t="str">
        <f>VLOOKUP(AnalizaCzyste[[#This Row],[Rok urodzenia]],KategorieWiekowe[],2,1)</f>
        <v>46-55 lat</v>
      </c>
      <c r="HD117" t="s">
        <v>220</v>
      </c>
      <c r="HF117" t="s">
        <v>2055</v>
      </c>
      <c r="HH117" t="s">
        <v>2064</v>
      </c>
    </row>
    <row r="118" spans="1:216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33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N118">
        <v>0</v>
      </c>
      <c r="O118" t="s">
        <v>122</v>
      </c>
      <c r="P118" s="1" t="s">
        <v>123</v>
      </c>
      <c r="AF118" s="1" t="s">
        <v>124</v>
      </c>
      <c r="AG118" t="s">
        <v>223</v>
      </c>
      <c r="AH118" t="str">
        <f>VLOOKUP(AnalizaCzyste[[#This Row],[Jak się nazywa uczelnia którą ukończyłeś? (proszę o wybranie jednej uczelni podlegającej ocenie)]],KategorieUczelni[],2,0)</f>
        <v>Publiczna</v>
      </c>
      <c r="AI118">
        <v>2005</v>
      </c>
      <c r="AJ118" t="s">
        <v>148</v>
      </c>
      <c r="AK118" t="s">
        <v>1495</v>
      </c>
      <c r="AL118" t="s">
        <v>150</v>
      </c>
      <c r="AM118" t="s">
        <v>169</v>
      </c>
      <c r="AN118" t="s">
        <v>169</v>
      </c>
      <c r="AO118" t="s">
        <v>169</v>
      </c>
      <c r="AP118" t="s">
        <v>150</v>
      </c>
      <c r="AQ118" t="s">
        <v>237</v>
      </c>
      <c r="AR118" t="s">
        <v>131</v>
      </c>
      <c r="AS118" t="s">
        <v>302</v>
      </c>
      <c r="AU118" t="s">
        <v>1496</v>
      </c>
      <c r="AV118" t="s">
        <v>386</v>
      </c>
      <c r="AW118" t="s">
        <v>230</v>
      </c>
      <c r="AY118" s="1" t="s">
        <v>123</v>
      </c>
      <c r="CS118" s="1" t="s">
        <v>123</v>
      </c>
      <c r="DC118" s="1" t="s">
        <v>123</v>
      </c>
      <c r="DM118" s="1" t="s">
        <v>123</v>
      </c>
      <c r="EP118" s="1" t="s">
        <v>123</v>
      </c>
      <c r="EQ118" t="s">
        <v>178</v>
      </c>
      <c r="FP118" s="1" t="s">
        <v>123</v>
      </c>
      <c r="GX118" t="s">
        <v>1497</v>
      </c>
      <c r="GY118" t="s">
        <v>1497</v>
      </c>
      <c r="GZ118" t="s">
        <v>1497</v>
      </c>
      <c r="HA118" t="s">
        <v>186</v>
      </c>
      <c r="HB118">
        <v>1981</v>
      </c>
      <c r="HC118" t="str">
        <f>VLOOKUP(AnalizaCzyste[[#This Row],[Rok urodzenia]],KategorieWiekowe[],2,1)</f>
        <v>36-45 lat</v>
      </c>
      <c r="HD118" t="s">
        <v>246</v>
      </c>
    </row>
    <row r="119" spans="1:216" x14ac:dyDescent="0.45">
      <c r="A119">
        <v>93</v>
      </c>
      <c r="B119">
        <f>_xlfn.IFNA(VLOOKUP(AnalizaCzyste[[#This Row],[Zakończono wypełnianie]],Zakończone[],2,0),"BRAK")</f>
        <v>56</v>
      </c>
      <c r="C119">
        <f t="shared" si="3"/>
        <v>48</v>
      </c>
      <c r="D119" t="s">
        <v>938</v>
      </c>
      <c r="E119" t="s">
        <v>118</v>
      </c>
      <c r="J119" t="s">
        <v>119</v>
      </c>
      <c r="K119" t="s">
        <v>939</v>
      </c>
      <c r="L119" t="s">
        <v>940</v>
      </c>
      <c r="M119">
        <v>451</v>
      </c>
      <c r="N119">
        <v>0</v>
      </c>
      <c r="O119" t="s">
        <v>122</v>
      </c>
      <c r="P119" s="1" t="s">
        <v>123</v>
      </c>
      <c r="AF119" s="1" t="s">
        <v>124</v>
      </c>
      <c r="AG119" t="s">
        <v>223</v>
      </c>
      <c r="AH119" t="str">
        <f>VLOOKUP(AnalizaCzyste[[#This Row],[Jak się nazywa uczelnia którą ukończyłeś? (proszę o wybranie jednej uczelni podlegającej ocenie)]],KategorieUczelni[],2,0)</f>
        <v>Publiczna</v>
      </c>
      <c r="AI119">
        <v>2004</v>
      </c>
      <c r="AJ119" t="s">
        <v>148</v>
      </c>
      <c r="AK119" t="s">
        <v>942</v>
      </c>
      <c r="AL119" t="s">
        <v>150</v>
      </c>
      <c r="AM119" t="s">
        <v>150</v>
      </c>
      <c r="AN119" t="s">
        <v>150</v>
      </c>
      <c r="AO119" t="s">
        <v>150</v>
      </c>
      <c r="AP119" t="s">
        <v>169</v>
      </c>
      <c r="AQ119" t="s">
        <v>237</v>
      </c>
      <c r="AR119" t="s">
        <v>302</v>
      </c>
      <c r="AS119" t="s">
        <v>943</v>
      </c>
      <c r="AT119" t="s">
        <v>944</v>
      </c>
      <c r="AU119" t="s">
        <v>945</v>
      </c>
      <c r="AV119" t="s">
        <v>946</v>
      </c>
      <c r="AW119" t="s">
        <v>157</v>
      </c>
      <c r="AY119" s="1" t="s">
        <v>123</v>
      </c>
      <c r="CS119" s="1" t="s">
        <v>123</v>
      </c>
      <c r="DC119" s="1" t="s">
        <v>123</v>
      </c>
      <c r="DM119" s="1" t="s">
        <v>123</v>
      </c>
      <c r="EP119" s="1" t="s">
        <v>177</v>
      </c>
      <c r="EQ119" t="s">
        <v>178</v>
      </c>
      <c r="ER119">
        <v>1</v>
      </c>
      <c r="ES119" t="s">
        <v>747</v>
      </c>
      <c r="ET119" t="s">
        <v>169</v>
      </c>
      <c r="EU119" t="s">
        <v>169</v>
      </c>
      <c r="EV119" t="s">
        <v>169</v>
      </c>
      <c r="EW119" t="s">
        <v>178</v>
      </c>
      <c r="EX119" t="s">
        <v>947</v>
      </c>
      <c r="EY119" t="s">
        <v>948</v>
      </c>
      <c r="EZ119" t="s">
        <v>173</v>
      </c>
      <c r="FP119" s="1" t="s">
        <v>123</v>
      </c>
      <c r="FQ119" t="s">
        <v>132</v>
      </c>
      <c r="FS119" t="s">
        <v>132</v>
      </c>
      <c r="GX119" t="s">
        <v>949</v>
      </c>
      <c r="GY119" t="s">
        <v>950</v>
      </c>
      <c r="GZ119" t="s">
        <v>951</v>
      </c>
      <c r="HA119" t="s">
        <v>186</v>
      </c>
      <c r="HB119">
        <v>1984</v>
      </c>
      <c r="HC119" t="str">
        <f>VLOOKUP(AnalizaCzyste[[#This Row],[Rok urodzenia]],KategorieWiekowe[],2,1)</f>
        <v>36-45 lat</v>
      </c>
      <c r="HD119" t="s">
        <v>141</v>
      </c>
      <c r="HE119" t="s">
        <v>952</v>
      </c>
      <c r="HF119" t="s">
        <v>953</v>
      </c>
      <c r="HG119" t="s">
        <v>954</v>
      </c>
    </row>
    <row r="120" spans="1:216" x14ac:dyDescent="0.45">
      <c r="A120">
        <v>220</v>
      </c>
      <c r="B120">
        <f>_xlfn.IFNA(VLOOKUP(AnalizaCzyste[[#This Row],[Zakończono wypełnianie]],Zakończone[],2,0),"BRAK")</f>
        <v>121</v>
      </c>
      <c r="C120">
        <f t="shared" si="3"/>
        <v>36</v>
      </c>
      <c r="D120" t="s">
        <v>1336</v>
      </c>
      <c r="E120" t="s">
        <v>118</v>
      </c>
      <c r="J120" t="s">
        <v>119</v>
      </c>
      <c r="K120" t="s">
        <v>1808</v>
      </c>
      <c r="L120" t="s">
        <v>1809</v>
      </c>
      <c r="M120">
        <v>2379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 t="str">
        <f>VLOOKUP(AnalizaCzyste[[#This Row],[Jak się nazywa uczelnia którą ukończyłeś? (proszę o wybranie jednej uczelni podlegającej ocenie)]],KategorieUczelni[],2,0)</f>
        <v>Publiczna</v>
      </c>
      <c r="AI120">
        <v>2012</v>
      </c>
      <c r="AJ120" t="s">
        <v>148</v>
      </c>
      <c r="AK120" t="s">
        <v>1810</v>
      </c>
      <c r="AL120" t="s">
        <v>150</v>
      </c>
      <c r="AM120" t="s">
        <v>162</v>
      </c>
      <c r="AN120" t="s">
        <v>150</v>
      </c>
      <c r="AO120" t="s">
        <v>162</v>
      </c>
      <c r="AP120" t="s">
        <v>150</v>
      </c>
      <c r="AQ120" t="s">
        <v>237</v>
      </c>
      <c r="AR120" t="s">
        <v>132</v>
      </c>
      <c r="AS120" t="s">
        <v>132</v>
      </c>
      <c r="AT120" t="s">
        <v>1811</v>
      </c>
      <c r="AU120" t="s">
        <v>1812</v>
      </c>
      <c r="AV120" t="s">
        <v>1813</v>
      </c>
      <c r="AW120" t="s">
        <v>230</v>
      </c>
      <c r="AX120" t="s">
        <v>1814</v>
      </c>
      <c r="AY120" s="1" t="s">
        <v>123</v>
      </c>
      <c r="CS120" s="1" t="s">
        <v>123</v>
      </c>
      <c r="DC120" s="1" t="s">
        <v>123</v>
      </c>
      <c r="DM120" s="1" t="s">
        <v>123</v>
      </c>
      <c r="EP120" s="1" t="s">
        <v>123</v>
      </c>
      <c r="FP120" s="1" t="s">
        <v>123</v>
      </c>
      <c r="GX120" t="s">
        <v>1815</v>
      </c>
      <c r="GY120" t="s">
        <v>1816</v>
      </c>
      <c r="GZ120" t="s">
        <v>1817</v>
      </c>
      <c r="HA120" t="s">
        <v>140</v>
      </c>
      <c r="HB120">
        <v>1986</v>
      </c>
      <c r="HC120" t="str">
        <f>VLOOKUP(AnalizaCzyste[[#This Row],[Rok urodzenia]],KategorieWiekowe[],2,1)</f>
        <v>26-35 lat</v>
      </c>
      <c r="HD120" t="s">
        <v>246</v>
      </c>
      <c r="HF120" t="s">
        <v>1818</v>
      </c>
      <c r="HG120" t="s">
        <v>1819</v>
      </c>
    </row>
    <row r="121" spans="1:216" x14ac:dyDescent="0.45">
      <c r="A121">
        <v>217</v>
      </c>
      <c r="B121">
        <f>_xlfn.IFNA(VLOOKUP(AnalizaCzyste[[#This Row],[Zakończono wypełnianie]],Zakończone[],2,0),"BRAK")</f>
        <v>119</v>
      </c>
      <c r="C121">
        <f t="shared" si="3"/>
        <v>34</v>
      </c>
      <c r="D121" t="s">
        <v>1780</v>
      </c>
      <c r="E121" t="s">
        <v>118</v>
      </c>
      <c r="F121" t="s">
        <v>1781</v>
      </c>
      <c r="J121" t="s">
        <v>119</v>
      </c>
      <c r="K121" t="s">
        <v>1782</v>
      </c>
      <c r="L121" t="s">
        <v>1783</v>
      </c>
      <c r="M121">
        <v>968</v>
      </c>
      <c r="N121">
        <v>0</v>
      </c>
      <c r="O121" t="s">
        <v>122</v>
      </c>
      <c r="P121" s="1" t="s">
        <v>123</v>
      </c>
      <c r="AF121" s="1" t="s">
        <v>124</v>
      </c>
      <c r="AG121" t="s">
        <v>223</v>
      </c>
      <c r="AH121" t="str">
        <f>VLOOKUP(AnalizaCzyste[[#This Row],[Jak się nazywa uczelnia którą ukończyłeś? (proszę o wybranie jednej uczelni podlegającej ocenie)]],KategorieUczelni[],2,0)</f>
        <v>Publiczna</v>
      </c>
      <c r="AI121">
        <v>2011</v>
      </c>
      <c r="AJ121" t="s">
        <v>148</v>
      </c>
      <c r="AK121" t="s">
        <v>1784</v>
      </c>
      <c r="AL121" t="s">
        <v>150</v>
      </c>
      <c r="AM121" t="s">
        <v>162</v>
      </c>
      <c r="AN121" t="s">
        <v>169</v>
      </c>
      <c r="AO121" t="s">
        <v>150</v>
      </c>
      <c r="AP121" t="s">
        <v>150</v>
      </c>
      <c r="AQ121">
        <v>2</v>
      </c>
      <c r="AR121" t="s">
        <v>302</v>
      </c>
      <c r="AS121" t="s">
        <v>153</v>
      </c>
      <c r="AT121" t="s">
        <v>1785</v>
      </c>
      <c r="AU121" t="s">
        <v>1786</v>
      </c>
      <c r="AV121" t="s">
        <v>1787</v>
      </c>
      <c r="AW121" t="s">
        <v>157</v>
      </c>
      <c r="AY121" s="1" t="s">
        <v>123</v>
      </c>
      <c r="CS121" s="1" t="s">
        <v>123</v>
      </c>
      <c r="DC121" s="1" t="s">
        <v>123</v>
      </c>
      <c r="DM121" s="1" t="s">
        <v>123</v>
      </c>
      <c r="EP121" s="1" t="s">
        <v>123</v>
      </c>
      <c r="FP121" s="1" t="s">
        <v>123</v>
      </c>
      <c r="GX121" t="s">
        <v>1788</v>
      </c>
      <c r="GY121" t="s">
        <v>1789</v>
      </c>
      <c r="GZ121" t="s">
        <v>1790</v>
      </c>
      <c r="HA121" t="s">
        <v>140</v>
      </c>
      <c r="HB121">
        <v>1986</v>
      </c>
      <c r="HC121" t="str">
        <f>VLOOKUP(AnalizaCzyste[[#This Row],[Rok urodzenia]],KategorieWiekowe[],2,1)</f>
        <v>26-35 lat</v>
      </c>
      <c r="HD121" t="s">
        <v>398</v>
      </c>
      <c r="HF121" t="s">
        <v>1791</v>
      </c>
    </row>
    <row r="122" spans="1:216" x14ac:dyDescent="0.45">
      <c r="A122">
        <v>85</v>
      </c>
      <c r="B122">
        <f>_xlfn.IFNA(VLOOKUP(AnalizaCzyste[[#This Row],[Zakończono wypełnianie]],Zakończone[],2,0),"BRAK")</f>
        <v>50</v>
      </c>
      <c r="C122">
        <f t="shared" si="3"/>
        <v>36</v>
      </c>
      <c r="D122" t="s">
        <v>873</v>
      </c>
      <c r="E122" t="s">
        <v>118</v>
      </c>
      <c r="F122" t="s">
        <v>797</v>
      </c>
      <c r="J122" t="s">
        <v>119</v>
      </c>
      <c r="K122" t="s">
        <v>874</v>
      </c>
      <c r="L122" t="s">
        <v>875</v>
      </c>
      <c r="M122">
        <v>1971</v>
      </c>
      <c r="N122">
        <v>0</v>
      </c>
      <c r="O122" t="s">
        <v>122</v>
      </c>
      <c r="P122" s="1" t="s">
        <v>123</v>
      </c>
      <c r="AF122" s="1" t="s">
        <v>124</v>
      </c>
      <c r="AG122" t="s">
        <v>223</v>
      </c>
      <c r="AH122" t="str">
        <f>VLOOKUP(AnalizaCzyste[[#This Row],[Jak się nazywa uczelnia którą ukończyłeś? (proszę o wybranie jednej uczelni podlegającej ocenie)]],KategorieUczelni[],2,0)</f>
        <v>Publiczna</v>
      </c>
      <c r="AI122">
        <v>2012</v>
      </c>
      <c r="AJ122" t="s">
        <v>148</v>
      </c>
      <c r="AK122" t="s">
        <v>876</v>
      </c>
      <c r="AL122" t="s">
        <v>150</v>
      </c>
      <c r="AM122" t="s">
        <v>162</v>
      </c>
      <c r="AN122" t="s">
        <v>128</v>
      </c>
      <c r="AO122" t="s">
        <v>236</v>
      </c>
      <c r="AP122" t="s">
        <v>151</v>
      </c>
      <c r="AQ122">
        <v>2</v>
      </c>
      <c r="AR122" t="s">
        <v>131</v>
      </c>
      <c r="AS122" t="s">
        <v>153</v>
      </c>
      <c r="AT122" t="s">
        <v>877</v>
      </c>
      <c r="AU122" t="s">
        <v>532</v>
      </c>
      <c r="AV122" t="s">
        <v>532</v>
      </c>
      <c r="AW122" t="s">
        <v>157</v>
      </c>
      <c r="AX122" t="s">
        <v>878</v>
      </c>
      <c r="AY122" s="1" t="s">
        <v>123</v>
      </c>
      <c r="CS122" s="1" t="s">
        <v>123</v>
      </c>
      <c r="DC122" s="1" t="s">
        <v>123</v>
      </c>
      <c r="DM122" s="1" t="s">
        <v>123</v>
      </c>
      <c r="EP122" s="1" t="s">
        <v>123</v>
      </c>
      <c r="FP122" s="1" t="s">
        <v>123</v>
      </c>
      <c r="FQ122" t="s">
        <v>132</v>
      </c>
      <c r="GX122" t="s">
        <v>532</v>
      </c>
      <c r="GY122" t="s">
        <v>532</v>
      </c>
      <c r="GZ122" t="s">
        <v>532</v>
      </c>
      <c r="HA122" t="s">
        <v>186</v>
      </c>
      <c r="HB122">
        <v>1988</v>
      </c>
      <c r="HC122" t="str">
        <f>VLOOKUP(AnalizaCzyste[[#This Row],[Rok urodzenia]],KategorieWiekowe[],2,1)</f>
        <v>26-35 lat</v>
      </c>
      <c r="HD122" t="s">
        <v>246</v>
      </c>
      <c r="HG122" t="s">
        <v>879</v>
      </c>
    </row>
    <row r="123" spans="1:216" x14ac:dyDescent="0.45">
      <c r="A123">
        <v>206</v>
      </c>
      <c r="B123" t="str">
        <f>_xlfn.IFNA(VLOOKUP(AnalizaCzyste[[#This Row],[Zakończono wypełnianie]],Zakończone[],2,0),"BRAK")</f>
        <v>BRAK</v>
      </c>
      <c r="C123">
        <f t="shared" si="3"/>
        <v>32</v>
      </c>
      <c r="D123" t="s">
        <v>1722</v>
      </c>
      <c r="E123" t="s">
        <v>118</v>
      </c>
      <c r="F123" t="s">
        <v>1647</v>
      </c>
      <c r="J123" t="s">
        <v>286</v>
      </c>
      <c r="K123" t="s">
        <v>1723</v>
      </c>
      <c r="L123" t="s">
        <v>1723</v>
      </c>
      <c r="M123">
        <v>0</v>
      </c>
      <c r="N123">
        <v>0</v>
      </c>
      <c r="O123" t="s">
        <v>122</v>
      </c>
      <c r="P123" s="1" t="s">
        <v>123</v>
      </c>
      <c r="AF123" s="1" t="s">
        <v>124</v>
      </c>
      <c r="AG123" s="20" t="s">
        <v>223</v>
      </c>
      <c r="AH123" s="20" t="str">
        <f>VLOOKUP(AnalizaCzyste[[#This Row],[Jak się nazywa uczelnia którą ukończyłeś? (proszę o wybranie jednej uczelni podlegającej ocenie)]],KategorieUczelni[],2,0)</f>
        <v>Publiczna</v>
      </c>
      <c r="AI123">
        <v>2005</v>
      </c>
      <c r="AJ123" t="s">
        <v>148</v>
      </c>
      <c r="AK123" t="s">
        <v>1725</v>
      </c>
      <c r="AL123" t="s">
        <v>150</v>
      </c>
      <c r="AM123" t="s">
        <v>162</v>
      </c>
      <c r="AN123" t="s">
        <v>162</v>
      </c>
      <c r="AO123" t="s">
        <v>162</v>
      </c>
      <c r="AP123" t="s">
        <v>162</v>
      </c>
      <c r="AQ123">
        <v>2</v>
      </c>
      <c r="AR123" t="s">
        <v>131</v>
      </c>
      <c r="AS123" t="s">
        <v>302</v>
      </c>
      <c r="AT123" t="s">
        <v>1726</v>
      </c>
      <c r="AU123" t="s">
        <v>1727</v>
      </c>
      <c r="AV123" t="s">
        <v>1728</v>
      </c>
      <c r="AW123" t="s">
        <v>157</v>
      </c>
      <c r="AY123" s="1" t="s">
        <v>123</v>
      </c>
      <c r="CS123" s="1" t="s">
        <v>123</v>
      </c>
      <c r="DC123" s="1" t="s">
        <v>123</v>
      </c>
      <c r="DM123" s="1" t="s">
        <v>123</v>
      </c>
      <c r="EP123" s="1" t="s">
        <v>123</v>
      </c>
      <c r="FP123" s="1" t="s">
        <v>123</v>
      </c>
      <c r="HA123" t="s">
        <v>140</v>
      </c>
      <c r="HB123">
        <v>1981</v>
      </c>
      <c r="HC123" t="str">
        <f>VLOOKUP(AnalizaCzyste[[#This Row],[Rok urodzenia]],KategorieWiekowe[],2,1)</f>
        <v>36-45 lat</v>
      </c>
      <c r="HD123" t="s">
        <v>483</v>
      </c>
      <c r="HF123" t="s">
        <v>142</v>
      </c>
      <c r="HG123" t="s">
        <v>180</v>
      </c>
    </row>
    <row r="124" spans="1:216" x14ac:dyDescent="0.45">
      <c r="A124">
        <v>30</v>
      </c>
      <c r="B124">
        <f>_xlfn.IFNA(VLOOKUP(AnalizaCzyste[[#This Row],[Zakończono wypełnianie]],Zakończone[],2,0),"BRAK")</f>
        <v>21</v>
      </c>
      <c r="C124">
        <f t="shared" si="3"/>
        <v>48</v>
      </c>
      <c r="D124" t="s">
        <v>442</v>
      </c>
      <c r="E124" t="s">
        <v>118</v>
      </c>
      <c r="J124" t="s">
        <v>119</v>
      </c>
      <c r="K124" t="s">
        <v>443</v>
      </c>
      <c r="L124" t="s">
        <v>444</v>
      </c>
      <c r="M124">
        <v>6812</v>
      </c>
      <c r="N124">
        <v>0</v>
      </c>
      <c r="O124" t="s">
        <v>122</v>
      </c>
      <c r="P124" s="1" t="s">
        <v>123</v>
      </c>
      <c r="AF124" s="1" t="s">
        <v>124</v>
      </c>
      <c r="AG124" t="s">
        <v>445</v>
      </c>
      <c r="AH124" t="str">
        <f>VLOOKUP(AnalizaCzyste[[#This Row],[Jak się nazywa uczelnia którą ukończyłeś? (proszę o wybranie jednej uczelni podlegającej ocenie)]],KategorieUczelni[],2,0)</f>
        <v>Publiczna</v>
      </c>
      <c r="AI124">
        <v>2019</v>
      </c>
      <c r="AJ124" t="s">
        <v>148</v>
      </c>
      <c r="AK124" t="s">
        <v>446</v>
      </c>
      <c r="AL124" t="s">
        <v>150</v>
      </c>
      <c r="AM124" t="s">
        <v>150</v>
      </c>
      <c r="AN124" t="s">
        <v>169</v>
      </c>
      <c r="AO124" t="s">
        <v>169</v>
      </c>
      <c r="AP124" t="s">
        <v>132</v>
      </c>
      <c r="AQ124" t="s">
        <v>237</v>
      </c>
      <c r="AR124" t="s">
        <v>226</v>
      </c>
      <c r="AS124" t="s">
        <v>132</v>
      </c>
      <c r="AT124" t="s">
        <v>447</v>
      </c>
      <c r="AU124" t="s">
        <v>448</v>
      </c>
      <c r="AV124" t="s">
        <v>449</v>
      </c>
      <c r="AW124" t="s">
        <v>157</v>
      </c>
      <c r="AY124" s="1" t="s">
        <v>123</v>
      </c>
      <c r="CS124" s="1" t="s">
        <v>387</v>
      </c>
      <c r="CT124" t="s">
        <v>445</v>
      </c>
      <c r="CU124" t="s">
        <v>450</v>
      </c>
      <c r="CV124" t="s">
        <v>169</v>
      </c>
      <c r="CW124" t="s">
        <v>169</v>
      </c>
      <c r="CX124" t="s">
        <v>169</v>
      </c>
      <c r="CY124" t="s">
        <v>150</v>
      </c>
      <c r="CZ124" t="s">
        <v>150</v>
      </c>
      <c r="DA124" t="s">
        <v>150</v>
      </c>
      <c r="DB124" t="s">
        <v>451</v>
      </c>
      <c r="DC124" s="1" t="s">
        <v>123</v>
      </c>
      <c r="DM124" s="1" t="s">
        <v>123</v>
      </c>
      <c r="EP124" s="1" t="s">
        <v>123</v>
      </c>
      <c r="EQ124" t="s">
        <v>180</v>
      </c>
      <c r="ER124" t="s">
        <v>132</v>
      </c>
      <c r="FP124" s="1" t="s">
        <v>123</v>
      </c>
      <c r="FQ124" t="s">
        <v>132</v>
      </c>
      <c r="FS124" t="s">
        <v>132</v>
      </c>
      <c r="GX124" t="s">
        <v>452</v>
      </c>
      <c r="GY124" t="s">
        <v>453</v>
      </c>
      <c r="GZ124" t="s">
        <v>454</v>
      </c>
      <c r="HA124" t="s">
        <v>140</v>
      </c>
      <c r="HB124">
        <v>1994</v>
      </c>
      <c r="HC124" t="str">
        <f>VLOOKUP(AnalizaCzyste[[#This Row],[Rok urodzenia]],KategorieWiekowe[],2,1)</f>
        <v>26-35 lat</v>
      </c>
      <c r="HD124" t="s">
        <v>220</v>
      </c>
      <c r="HF124" t="s">
        <v>455</v>
      </c>
      <c r="HG124" t="s">
        <v>456</v>
      </c>
    </row>
    <row r="125" spans="1:216" x14ac:dyDescent="0.45">
      <c r="A125">
        <v>38</v>
      </c>
      <c r="B125">
        <f>_xlfn.IFNA(VLOOKUP(AnalizaCzyste[[#This Row],[Zakończono wypełnianie]],Zakończone[],2,0),"BRAK")</f>
        <v>26</v>
      </c>
      <c r="C125">
        <f t="shared" si="3"/>
        <v>46</v>
      </c>
      <c r="D125" t="s">
        <v>511</v>
      </c>
      <c r="E125" t="s">
        <v>118</v>
      </c>
      <c r="F125" t="s">
        <v>375</v>
      </c>
      <c r="J125" t="s">
        <v>119</v>
      </c>
      <c r="K125" t="s">
        <v>512</v>
      </c>
      <c r="L125" t="s">
        <v>513</v>
      </c>
      <c r="M125">
        <v>424</v>
      </c>
      <c r="N125">
        <v>0</v>
      </c>
      <c r="O125" t="s">
        <v>122</v>
      </c>
      <c r="P125" s="1" t="s">
        <v>123</v>
      </c>
      <c r="AF125" s="1" t="s">
        <v>124</v>
      </c>
      <c r="AG125" t="s">
        <v>445</v>
      </c>
      <c r="AH125" t="str">
        <f>VLOOKUP(AnalizaCzyste[[#This Row],[Jak się nazywa uczelnia którą ukończyłeś? (proszę o wybranie jednej uczelni podlegającej ocenie)]],KategorieUczelni[],2,0)</f>
        <v>Publiczna</v>
      </c>
      <c r="AI125">
        <v>2018</v>
      </c>
      <c r="AJ125" t="s">
        <v>148</v>
      </c>
      <c r="AK125" t="s">
        <v>514</v>
      </c>
      <c r="AL125" t="s">
        <v>150</v>
      </c>
      <c r="AM125" t="s">
        <v>169</v>
      </c>
      <c r="AN125" t="s">
        <v>169</v>
      </c>
      <c r="AO125" t="s">
        <v>150</v>
      </c>
      <c r="AP125" t="s">
        <v>132</v>
      </c>
      <c r="AQ125" t="s">
        <v>515</v>
      </c>
      <c r="AR125" t="s">
        <v>302</v>
      </c>
      <c r="AS125" t="s">
        <v>132</v>
      </c>
      <c r="AT125" t="s">
        <v>516</v>
      </c>
      <c r="AU125" t="s">
        <v>517</v>
      </c>
      <c r="AV125" t="s">
        <v>142</v>
      </c>
      <c r="AW125" t="s">
        <v>157</v>
      </c>
      <c r="AY125" s="1" t="s">
        <v>123</v>
      </c>
      <c r="CS125" s="1" t="s">
        <v>123</v>
      </c>
      <c r="DC125" s="1" t="s">
        <v>214</v>
      </c>
      <c r="DD125" t="s">
        <v>445</v>
      </c>
      <c r="DE125" t="s">
        <v>518</v>
      </c>
      <c r="DF125" t="s">
        <v>169</v>
      </c>
      <c r="DG125" t="s">
        <v>150</v>
      </c>
      <c r="DH125" t="s">
        <v>162</v>
      </c>
      <c r="DI125" t="s">
        <v>150</v>
      </c>
      <c r="DJ125" t="s">
        <v>150</v>
      </c>
      <c r="DK125" t="s">
        <v>151</v>
      </c>
      <c r="DM125" s="1" t="s">
        <v>123</v>
      </c>
      <c r="EP125" s="1" t="s">
        <v>123</v>
      </c>
      <c r="EQ125" t="s">
        <v>180</v>
      </c>
      <c r="ER125" t="s">
        <v>132</v>
      </c>
      <c r="FP125" s="1" t="s">
        <v>123</v>
      </c>
      <c r="FQ125" t="s">
        <v>132</v>
      </c>
      <c r="FS125" t="s">
        <v>132</v>
      </c>
      <c r="GX125" t="s">
        <v>519</v>
      </c>
      <c r="GY125" t="s">
        <v>520</v>
      </c>
      <c r="GZ125" t="s">
        <v>142</v>
      </c>
      <c r="HA125" t="s">
        <v>186</v>
      </c>
      <c r="HB125">
        <v>1994</v>
      </c>
      <c r="HC125" t="str">
        <f>VLOOKUP(AnalizaCzyste[[#This Row],[Rok urodzenia]],KategorieWiekowe[],2,1)</f>
        <v>26-35 lat</v>
      </c>
      <c r="HD125" t="s">
        <v>141</v>
      </c>
      <c r="HG125" t="s">
        <v>521</v>
      </c>
    </row>
    <row r="126" spans="1:216" hidden="1" x14ac:dyDescent="0.45">
      <c r="A126">
        <v>50</v>
      </c>
      <c r="B126">
        <f>_xlfn.IFNA(VLOOKUP(AnalizaCzyste[[#This Row],[Zakończono wypełnianie]],Zakończone[],2,0),"BRAK")</f>
        <v>30</v>
      </c>
      <c r="C126">
        <f t="shared" si="3"/>
        <v>32</v>
      </c>
      <c r="D126" t="s">
        <v>585</v>
      </c>
      <c r="E126" t="s">
        <v>118</v>
      </c>
      <c r="F126" t="s">
        <v>375</v>
      </c>
      <c r="J126" t="s">
        <v>119</v>
      </c>
      <c r="K126" t="s">
        <v>586</v>
      </c>
      <c r="L126" t="s">
        <v>587</v>
      </c>
      <c r="M126">
        <v>387</v>
      </c>
      <c r="N126">
        <v>0</v>
      </c>
      <c r="O126" t="s">
        <v>122</v>
      </c>
      <c r="P126" s="1" t="s">
        <v>416</v>
      </c>
      <c r="Q126" t="s">
        <v>445</v>
      </c>
      <c r="R126" t="s">
        <v>148</v>
      </c>
      <c r="S126" t="s">
        <v>588</v>
      </c>
      <c r="T126" t="s">
        <v>162</v>
      </c>
      <c r="U126" t="s">
        <v>150</v>
      </c>
      <c r="V126" t="s">
        <v>162</v>
      </c>
      <c r="W126" t="s">
        <v>589</v>
      </c>
      <c r="X126" t="s">
        <v>302</v>
      </c>
      <c r="Y126" t="s">
        <v>153</v>
      </c>
      <c r="AA126" t="s">
        <v>590</v>
      </c>
      <c r="AB126" t="s">
        <v>591</v>
      </c>
      <c r="AC126" t="s">
        <v>172</v>
      </c>
      <c r="AE126">
        <v>6</v>
      </c>
      <c r="AF126" s="1" t="s">
        <v>123</v>
      </c>
      <c r="AH126" t="e">
        <f>VLOOKUP(AnalizaCzyste[[#This Row],[Jak się nazywa uczelnia którą ukończyłeś? (proszę o wybranie jednej uczelni podlegającej ocenie)]],KategorieUczelni[],2,0)</f>
        <v>#N/A</v>
      </c>
      <c r="AY126" s="1" t="s">
        <v>123</v>
      </c>
      <c r="CS126" s="1" t="s">
        <v>123</v>
      </c>
      <c r="DC126" s="1" t="s">
        <v>123</v>
      </c>
      <c r="DM126" s="1" t="s">
        <v>123</v>
      </c>
      <c r="EP126" s="1" t="s">
        <v>123</v>
      </c>
      <c r="FP126" s="1" t="s">
        <v>123</v>
      </c>
      <c r="FQ126" t="s">
        <v>132</v>
      </c>
      <c r="GX126" t="s">
        <v>592</v>
      </c>
      <c r="GY126" t="s">
        <v>593</v>
      </c>
      <c r="GZ126" t="s">
        <v>594</v>
      </c>
      <c r="HA126" t="s">
        <v>140</v>
      </c>
      <c r="HB126">
        <v>1997</v>
      </c>
      <c r="HC126" t="str">
        <f>VLOOKUP(AnalizaCzyste[[#This Row],[Rok urodzenia]],KategorieWiekowe[],2,1)</f>
        <v>poniżej 26 lat</v>
      </c>
      <c r="HD126" t="s">
        <v>141</v>
      </c>
      <c r="HF126" t="s">
        <v>595</v>
      </c>
    </row>
    <row r="127" spans="1:216" x14ac:dyDescent="0.45">
      <c r="A127">
        <v>52</v>
      </c>
      <c r="B127">
        <f>_xlfn.IFNA(VLOOKUP(AnalizaCzyste[[#This Row],[Zakończono wypełnianie]],Zakończone[],2,0),"BRAK")</f>
        <v>31</v>
      </c>
      <c r="C127">
        <f t="shared" si="3"/>
        <v>38</v>
      </c>
      <c r="D127" t="s">
        <v>598</v>
      </c>
      <c r="E127" t="s">
        <v>118</v>
      </c>
      <c r="F127" t="s">
        <v>359</v>
      </c>
      <c r="J127" t="s">
        <v>119</v>
      </c>
      <c r="K127" t="s">
        <v>599</v>
      </c>
      <c r="L127" t="s">
        <v>600</v>
      </c>
      <c r="M127">
        <v>61362</v>
      </c>
      <c r="N127">
        <v>0</v>
      </c>
      <c r="O127" t="s">
        <v>122</v>
      </c>
      <c r="P127" s="1" t="s">
        <v>123</v>
      </c>
      <c r="AF127" s="1" t="s">
        <v>124</v>
      </c>
      <c r="AG127" t="s">
        <v>445</v>
      </c>
      <c r="AH127" t="str">
        <f>VLOOKUP(AnalizaCzyste[[#This Row],[Jak się nazywa uczelnia którą ukończyłeś? (proszę o wybranie jednej uczelni podlegającej ocenie)]],KategorieUczelni[],2,0)</f>
        <v>Publiczna</v>
      </c>
      <c r="AI127">
        <v>2018</v>
      </c>
      <c r="AJ127" t="s">
        <v>148</v>
      </c>
      <c r="AK127" t="s">
        <v>601</v>
      </c>
      <c r="AL127" t="s">
        <v>150</v>
      </c>
      <c r="AM127" t="s">
        <v>162</v>
      </c>
      <c r="AN127" t="s">
        <v>128</v>
      </c>
      <c r="AO127" t="s">
        <v>129</v>
      </c>
      <c r="AP127" t="s">
        <v>132</v>
      </c>
      <c r="AQ127" t="s">
        <v>602</v>
      </c>
      <c r="AR127" t="s">
        <v>131</v>
      </c>
      <c r="AS127" t="s">
        <v>132</v>
      </c>
      <c r="AU127" t="s">
        <v>603</v>
      </c>
      <c r="AV127" t="s">
        <v>604</v>
      </c>
      <c r="AW127" t="s">
        <v>157</v>
      </c>
      <c r="AY127" s="1" t="s">
        <v>123</v>
      </c>
      <c r="CS127" s="1" t="s">
        <v>123</v>
      </c>
      <c r="DC127" s="1" t="s">
        <v>123</v>
      </c>
      <c r="DM127" s="1" t="s">
        <v>123</v>
      </c>
      <c r="EP127" s="1" t="s">
        <v>123</v>
      </c>
      <c r="EQ127" t="s">
        <v>180</v>
      </c>
      <c r="ER127" t="s">
        <v>132</v>
      </c>
      <c r="FP127" s="1" t="s">
        <v>123</v>
      </c>
      <c r="FQ127" t="s">
        <v>132</v>
      </c>
      <c r="FS127" t="s">
        <v>132</v>
      </c>
      <c r="GX127" t="s">
        <v>605</v>
      </c>
      <c r="GY127" t="s">
        <v>606</v>
      </c>
      <c r="GZ127" t="s">
        <v>607</v>
      </c>
      <c r="HA127" t="s">
        <v>140</v>
      </c>
      <c r="HB127">
        <v>1994</v>
      </c>
      <c r="HC127" t="str">
        <f>VLOOKUP(AnalizaCzyste[[#This Row],[Rok urodzenia]],KategorieWiekowe[],2,1)</f>
        <v>26-35 lat</v>
      </c>
      <c r="HD127" t="s">
        <v>483</v>
      </c>
      <c r="HF127" t="s">
        <v>608</v>
      </c>
      <c r="HG127" t="s">
        <v>609</v>
      </c>
    </row>
    <row r="128" spans="1:216" x14ac:dyDescent="0.45">
      <c r="A128">
        <v>81</v>
      </c>
      <c r="B128">
        <f>_xlfn.IFNA(VLOOKUP(AnalizaCzyste[[#This Row],[Zakończono wypełnianie]],Zakończone[],2,0),"BRAK")</f>
        <v>46</v>
      </c>
      <c r="C128">
        <f t="shared" si="3"/>
        <v>33</v>
      </c>
      <c r="D128" t="s">
        <v>370</v>
      </c>
      <c r="E128" t="s">
        <v>118</v>
      </c>
      <c r="F128" t="s">
        <v>774</v>
      </c>
      <c r="J128" t="s">
        <v>119</v>
      </c>
      <c r="K128" t="s">
        <v>821</v>
      </c>
      <c r="L128" t="s">
        <v>822</v>
      </c>
      <c r="M128">
        <v>3447</v>
      </c>
      <c r="N128">
        <v>0</v>
      </c>
      <c r="O128" t="s">
        <v>122</v>
      </c>
      <c r="P128" s="1" t="s">
        <v>123</v>
      </c>
      <c r="AF128" s="1" t="s">
        <v>124</v>
      </c>
      <c r="AG128" t="s">
        <v>813</v>
      </c>
      <c r="AH128" t="str">
        <f>VLOOKUP(AnalizaCzyste[[#This Row],[Jak się nazywa uczelnia którą ukończyłeś? (proszę o wybranie jednej uczelni podlegającej ocenie)]],KategorieUczelni[],2,0)</f>
        <v>Publiczna</v>
      </c>
      <c r="AI128">
        <v>1960</v>
      </c>
      <c r="AJ128" t="s">
        <v>148</v>
      </c>
      <c r="AK128" t="s">
        <v>823</v>
      </c>
      <c r="AL128" t="s">
        <v>150</v>
      </c>
      <c r="AM128" t="s">
        <v>150</v>
      </c>
      <c r="AN128" t="s">
        <v>151</v>
      </c>
      <c r="AO128" t="s">
        <v>236</v>
      </c>
      <c r="AP128" t="s">
        <v>236</v>
      </c>
      <c r="AQ128" t="s">
        <v>814</v>
      </c>
      <c r="AR128" t="s">
        <v>131</v>
      </c>
      <c r="AS128" t="s">
        <v>131</v>
      </c>
      <c r="AU128" t="s">
        <v>824</v>
      </c>
      <c r="AV128" t="s">
        <v>825</v>
      </c>
      <c r="AW128" t="s">
        <v>157</v>
      </c>
      <c r="AY128" s="1" t="s">
        <v>123</v>
      </c>
      <c r="CS128" s="1" t="s">
        <v>123</v>
      </c>
      <c r="DC128" s="1" t="s">
        <v>123</v>
      </c>
      <c r="DM128" s="1" t="s">
        <v>123</v>
      </c>
      <c r="EP128" s="1" t="s">
        <v>123</v>
      </c>
      <c r="FP128" s="1" t="s">
        <v>123</v>
      </c>
      <c r="FQ128" t="s">
        <v>132</v>
      </c>
      <c r="GX128" t="s">
        <v>826</v>
      </c>
      <c r="GY128" t="s">
        <v>824</v>
      </c>
      <c r="GZ128" t="s">
        <v>827</v>
      </c>
      <c r="HA128" t="s">
        <v>186</v>
      </c>
      <c r="HB128">
        <v>1934</v>
      </c>
      <c r="HC128" t="str">
        <f>VLOOKUP(AnalizaCzyste[[#This Row],[Rok urodzenia]],KategorieWiekowe[],2,1)</f>
        <v>powyżej 65 lat</v>
      </c>
      <c r="HD128" t="s">
        <v>220</v>
      </c>
    </row>
    <row r="129" spans="1:216" x14ac:dyDescent="0.45">
      <c r="A129">
        <v>193</v>
      </c>
      <c r="B129">
        <f>_xlfn.IFNA(VLOOKUP(AnalizaCzyste[[#This Row],[Zakończono wypełnianie]],Zakończone[],2,0),"BRAK")</f>
        <v>110</v>
      </c>
      <c r="C129">
        <f t="shared" si="3"/>
        <v>35</v>
      </c>
      <c r="D129" t="s">
        <v>1131</v>
      </c>
      <c r="E129" t="s">
        <v>118</v>
      </c>
      <c r="J129" t="s">
        <v>119</v>
      </c>
      <c r="K129" t="s">
        <v>1634</v>
      </c>
      <c r="L129" t="s">
        <v>1635</v>
      </c>
      <c r="M129">
        <v>545</v>
      </c>
      <c r="N129">
        <v>0</v>
      </c>
      <c r="O129" t="s">
        <v>122</v>
      </c>
      <c r="P129" s="1" t="s">
        <v>123</v>
      </c>
      <c r="AF129" s="1" t="s">
        <v>124</v>
      </c>
      <c r="AG129" t="s">
        <v>1636</v>
      </c>
      <c r="AH129" t="str">
        <f>VLOOKUP(AnalizaCzyste[[#This Row],[Jak się nazywa uczelnia którą ukończyłeś? (proszę o wybranie jednej uczelni podlegającej ocenie)]],KategorieUczelni[],2,0)</f>
        <v>Publiczna</v>
      </c>
      <c r="AI129">
        <v>2001</v>
      </c>
      <c r="AJ129" t="s">
        <v>148</v>
      </c>
      <c r="AK129" t="s">
        <v>1637</v>
      </c>
      <c r="AL129" t="s">
        <v>150</v>
      </c>
      <c r="AM129" t="s">
        <v>150</v>
      </c>
      <c r="AN129" t="s">
        <v>169</v>
      </c>
      <c r="AO129" t="s">
        <v>150</v>
      </c>
      <c r="AP129" t="s">
        <v>169</v>
      </c>
      <c r="AQ129" t="s">
        <v>1638</v>
      </c>
      <c r="AR129" t="s">
        <v>152</v>
      </c>
      <c r="AS129" t="s">
        <v>153</v>
      </c>
      <c r="AT129" t="s">
        <v>1639</v>
      </c>
      <c r="AU129" t="s">
        <v>1640</v>
      </c>
      <c r="AV129" t="s">
        <v>386</v>
      </c>
      <c r="AW129" t="s">
        <v>157</v>
      </c>
      <c r="AY129" s="1" t="s">
        <v>123</v>
      </c>
      <c r="CS129" s="1" t="s">
        <v>123</v>
      </c>
      <c r="DC129" s="1" t="s">
        <v>123</v>
      </c>
      <c r="DM129" s="1" t="s">
        <v>123</v>
      </c>
      <c r="EP129" s="1" t="s">
        <v>123</v>
      </c>
      <c r="FP129" s="1" t="s">
        <v>123</v>
      </c>
      <c r="GX129" t="s">
        <v>1641</v>
      </c>
      <c r="GY129" t="s">
        <v>1642</v>
      </c>
      <c r="GZ129" t="s">
        <v>1643</v>
      </c>
      <c r="HA129" t="s">
        <v>140</v>
      </c>
      <c r="HB129">
        <v>1977</v>
      </c>
      <c r="HC129" t="str">
        <f>VLOOKUP(AnalizaCzyste[[#This Row],[Rok urodzenia]],KategorieWiekowe[],2,1)</f>
        <v>36-45 lat</v>
      </c>
      <c r="HD129" t="s">
        <v>141</v>
      </c>
      <c r="HE129" t="s">
        <v>1644</v>
      </c>
      <c r="HF129" t="s">
        <v>1645</v>
      </c>
    </row>
    <row r="130" spans="1:216" x14ac:dyDescent="0.45">
      <c r="A130">
        <v>78</v>
      </c>
      <c r="B130">
        <f>_xlfn.IFNA(VLOOKUP(AnalizaCzyste[[#This Row],[Zakończono wypełnianie]],Zakończone[],2,0),"BRAK")</f>
        <v>44</v>
      </c>
      <c r="C130">
        <f t="shared" si="3"/>
        <v>36</v>
      </c>
      <c r="D130" t="s">
        <v>796</v>
      </c>
      <c r="E130" t="s">
        <v>118</v>
      </c>
      <c r="F130" t="s">
        <v>797</v>
      </c>
      <c r="J130" t="s">
        <v>119</v>
      </c>
      <c r="K130" t="s">
        <v>798</v>
      </c>
      <c r="L130" t="s">
        <v>799</v>
      </c>
      <c r="M130">
        <v>2364</v>
      </c>
      <c r="N130">
        <v>0</v>
      </c>
      <c r="O130" t="s">
        <v>122</v>
      </c>
      <c r="P130" s="1" t="s">
        <v>123</v>
      </c>
      <c r="AF130" s="1" t="s">
        <v>124</v>
      </c>
      <c r="AG130" t="s">
        <v>800</v>
      </c>
      <c r="AH130" t="str">
        <f>VLOOKUP(AnalizaCzyste[[#This Row],[Jak się nazywa uczelnia którą ukończyłeś? (proszę o wybranie jednej uczelni podlegającej ocenie)]],KategorieUczelni[],2,0)</f>
        <v>Publiczna</v>
      </c>
      <c r="AI130">
        <v>2002</v>
      </c>
      <c r="AJ130" t="s">
        <v>126</v>
      </c>
      <c r="AK130" t="s">
        <v>801</v>
      </c>
      <c r="AL130" t="s">
        <v>150</v>
      </c>
      <c r="AM130" t="s">
        <v>162</v>
      </c>
      <c r="AN130" t="s">
        <v>151</v>
      </c>
      <c r="AO130" t="s">
        <v>129</v>
      </c>
      <c r="AP130" t="s">
        <v>236</v>
      </c>
      <c r="AQ130">
        <v>3</v>
      </c>
      <c r="AR130" t="s">
        <v>152</v>
      </c>
      <c r="AS130" t="s">
        <v>152</v>
      </c>
      <c r="AT130" t="s">
        <v>802</v>
      </c>
      <c r="AU130" t="s">
        <v>803</v>
      </c>
      <c r="AV130" t="s">
        <v>804</v>
      </c>
      <c r="AW130" t="s">
        <v>157</v>
      </c>
      <c r="AY130" s="1" t="s">
        <v>123</v>
      </c>
      <c r="CS130" s="1" t="s">
        <v>123</v>
      </c>
      <c r="DC130" s="1" t="s">
        <v>123</v>
      </c>
      <c r="DM130" s="1" t="s">
        <v>123</v>
      </c>
      <c r="EP130" s="1" t="s">
        <v>123</v>
      </c>
      <c r="FP130" s="1" t="s">
        <v>123</v>
      </c>
      <c r="FQ130" t="s">
        <v>132</v>
      </c>
      <c r="GX130" t="s">
        <v>805</v>
      </c>
      <c r="GY130" t="s">
        <v>806</v>
      </c>
      <c r="GZ130" t="s">
        <v>807</v>
      </c>
      <c r="HA130" t="s">
        <v>140</v>
      </c>
      <c r="HB130">
        <v>1978</v>
      </c>
      <c r="HC130" t="str">
        <f>VLOOKUP(AnalizaCzyste[[#This Row],[Rok urodzenia]],KategorieWiekowe[],2,1)</f>
        <v>36-45 lat</v>
      </c>
      <c r="HD130" t="s">
        <v>141</v>
      </c>
      <c r="HF130" t="s">
        <v>386</v>
      </c>
      <c r="HG130" t="s">
        <v>386</v>
      </c>
    </row>
    <row r="131" spans="1:216" hidden="1" x14ac:dyDescent="0.45">
      <c r="A131">
        <v>248</v>
      </c>
      <c r="B131">
        <f>_xlfn.IFNA(VLOOKUP(AnalizaCzyste[[#This Row],[Zakończono wypełnianie]],Zakończone[],2,0),"BRAK")</f>
        <v>133</v>
      </c>
      <c r="C131">
        <f t="shared" si="3"/>
        <v>32</v>
      </c>
      <c r="D131" t="s">
        <v>1142</v>
      </c>
      <c r="E131" t="s">
        <v>118</v>
      </c>
      <c r="J131" t="s">
        <v>119</v>
      </c>
      <c r="K131" t="s">
        <v>1979</v>
      </c>
      <c r="L131" t="s">
        <v>1980</v>
      </c>
      <c r="M131">
        <v>1026</v>
      </c>
      <c r="N131">
        <v>0</v>
      </c>
      <c r="O131" t="s">
        <v>122</v>
      </c>
      <c r="P131" s="1" t="s">
        <v>416</v>
      </c>
      <c r="Q131" t="s">
        <v>813</v>
      </c>
      <c r="R131" t="s">
        <v>148</v>
      </c>
      <c r="S131" t="s">
        <v>1982</v>
      </c>
      <c r="T131" t="s">
        <v>162</v>
      </c>
      <c r="U131" t="s">
        <v>162</v>
      </c>
      <c r="V131" t="s">
        <v>150</v>
      </c>
      <c r="W131" t="s">
        <v>1983</v>
      </c>
      <c r="X131" t="s">
        <v>1984</v>
      </c>
      <c r="Y131" t="s">
        <v>194</v>
      </c>
      <c r="Z131" t="s">
        <v>1985</v>
      </c>
      <c r="AA131" t="s">
        <v>1986</v>
      </c>
      <c r="AB131" t="s">
        <v>1987</v>
      </c>
      <c r="AC131" t="s">
        <v>157</v>
      </c>
      <c r="AE131">
        <v>4</v>
      </c>
      <c r="AF131" s="1" t="s">
        <v>123</v>
      </c>
      <c r="AH131" t="e">
        <f>VLOOKUP(AnalizaCzyste[[#This Row],[Jak się nazywa uczelnia którą ukończyłeś? (proszę o wybranie jednej uczelni podlegającej ocenie)]],KategorieUczelni[],2,0)</f>
        <v>#N/A</v>
      </c>
      <c r="AY131" s="1" t="s">
        <v>123</v>
      </c>
      <c r="CS131" s="1" t="s">
        <v>123</v>
      </c>
      <c r="DC131" s="1" t="s">
        <v>123</v>
      </c>
      <c r="DM131" s="1" t="s">
        <v>123</v>
      </c>
      <c r="EP131" s="1" t="s">
        <v>123</v>
      </c>
      <c r="FP131" s="1" t="s">
        <v>123</v>
      </c>
      <c r="GX131" t="s">
        <v>1988</v>
      </c>
      <c r="GY131" t="s">
        <v>1989</v>
      </c>
      <c r="GZ131" t="s">
        <v>1990</v>
      </c>
      <c r="HA131" t="s">
        <v>186</v>
      </c>
      <c r="HB131">
        <v>1992</v>
      </c>
      <c r="HC131" t="str">
        <f>VLOOKUP(AnalizaCzyste[[#This Row],[Rok urodzenia]],KategorieWiekowe[],2,1)</f>
        <v>26-35 lat</v>
      </c>
      <c r="HD131" t="s">
        <v>246</v>
      </c>
      <c r="HF131" t="s">
        <v>1991</v>
      </c>
    </row>
    <row r="132" spans="1:216" x14ac:dyDescent="0.45">
      <c r="A132">
        <v>123</v>
      </c>
      <c r="B132">
        <f>_xlfn.IFNA(VLOOKUP(AnalizaCzyste[[#This Row],[Zakończono wypełnianie]],Zakończone[],2,0),"BRAK")</f>
        <v>72</v>
      </c>
      <c r="C132">
        <f t="shared" si="3"/>
        <v>34</v>
      </c>
      <c r="D132" t="s">
        <v>1142</v>
      </c>
      <c r="E132" t="s">
        <v>118</v>
      </c>
      <c r="J132" t="s">
        <v>119</v>
      </c>
      <c r="K132" t="s">
        <v>1143</v>
      </c>
      <c r="L132" t="s">
        <v>1144</v>
      </c>
      <c r="M132">
        <v>258</v>
      </c>
      <c r="N132">
        <v>0</v>
      </c>
      <c r="O132" t="s">
        <v>122</v>
      </c>
      <c r="P132" s="1" t="s">
        <v>123</v>
      </c>
      <c r="AF132" s="1" t="s">
        <v>124</v>
      </c>
      <c r="AG132" t="s">
        <v>1439</v>
      </c>
      <c r="AH132" t="str">
        <f>VLOOKUP(AnalizaCzyste[[#This Row],[Jak się nazywa uczelnia którą ukończyłeś? (proszę o wybranie jednej uczelni podlegającej ocenie)]],KategorieUczelni[],2,0)</f>
        <v>Niepubliczna</v>
      </c>
      <c r="AI132">
        <v>2016</v>
      </c>
      <c r="AJ132" t="s">
        <v>126</v>
      </c>
      <c r="AK132" t="s">
        <v>1146</v>
      </c>
      <c r="AL132" t="s">
        <v>150</v>
      </c>
      <c r="AM132" t="s">
        <v>150</v>
      </c>
      <c r="AN132" t="s">
        <v>169</v>
      </c>
      <c r="AO132" t="s">
        <v>169</v>
      </c>
      <c r="AP132" t="s">
        <v>169</v>
      </c>
      <c r="AQ132">
        <v>3</v>
      </c>
      <c r="AR132" t="s">
        <v>302</v>
      </c>
      <c r="AS132" t="s">
        <v>943</v>
      </c>
      <c r="AU132" t="s">
        <v>1147</v>
      </c>
      <c r="AV132" t="s">
        <v>1148</v>
      </c>
      <c r="AW132" t="s">
        <v>892</v>
      </c>
      <c r="AY132" s="1" t="s">
        <v>123</v>
      </c>
      <c r="CS132" s="1" t="s">
        <v>123</v>
      </c>
      <c r="DC132" s="1" t="s">
        <v>123</v>
      </c>
      <c r="DM132" s="1" t="s">
        <v>123</v>
      </c>
      <c r="EP132" s="1" t="s">
        <v>123</v>
      </c>
      <c r="EQ132" t="s">
        <v>178</v>
      </c>
      <c r="ER132">
        <v>1</v>
      </c>
      <c r="FP132" s="1" t="s">
        <v>123</v>
      </c>
      <c r="GX132" t="s">
        <v>1149</v>
      </c>
      <c r="GY132" t="s">
        <v>1149</v>
      </c>
      <c r="GZ132" t="s">
        <v>1150</v>
      </c>
      <c r="HA132" t="s">
        <v>186</v>
      </c>
      <c r="HB132">
        <v>1986</v>
      </c>
      <c r="HC132" t="str">
        <f>VLOOKUP(AnalizaCzyste[[#This Row],[Rok urodzenia]],KategorieWiekowe[],2,1)</f>
        <v>26-35 lat</v>
      </c>
      <c r="HD132" t="s">
        <v>398</v>
      </c>
    </row>
    <row r="133" spans="1:216" hidden="1" x14ac:dyDescent="0.45">
      <c r="A133">
        <v>33</v>
      </c>
      <c r="B133">
        <f>_xlfn.IFNA(VLOOKUP(AnalizaCzyste[[#This Row],[Zakończono wypełnianie]],Zakończone[],2,0),"BRAK")</f>
        <v>23</v>
      </c>
      <c r="C133">
        <f t="shared" ref="C133:C135" si="4">COUNTA(O133:HH133)</f>
        <v>31</v>
      </c>
      <c r="D133" t="s">
        <v>472</v>
      </c>
      <c r="E133" t="s">
        <v>118</v>
      </c>
      <c r="F133" t="s">
        <v>375</v>
      </c>
      <c r="J133" t="s">
        <v>119</v>
      </c>
      <c r="K133" t="s">
        <v>473</v>
      </c>
      <c r="L133" t="s">
        <v>474</v>
      </c>
      <c r="M133">
        <v>2507</v>
      </c>
      <c r="N133">
        <v>0</v>
      </c>
      <c r="O133" t="s">
        <v>122</v>
      </c>
      <c r="P133" s="1" t="s">
        <v>416</v>
      </c>
      <c r="Q133" t="s">
        <v>445</v>
      </c>
      <c r="R133" t="s">
        <v>148</v>
      </c>
      <c r="S133" t="s">
        <v>475</v>
      </c>
      <c r="T133" t="s">
        <v>169</v>
      </c>
      <c r="U133" t="s">
        <v>169</v>
      </c>
      <c r="V133" t="s">
        <v>151</v>
      </c>
      <c r="W133" t="s">
        <v>476</v>
      </c>
      <c r="X133" t="s">
        <v>302</v>
      </c>
      <c r="Y133" t="s">
        <v>302</v>
      </c>
      <c r="AA133" t="s">
        <v>477</v>
      </c>
      <c r="AB133" t="s">
        <v>478</v>
      </c>
      <c r="AC133" t="s">
        <v>157</v>
      </c>
      <c r="AE133">
        <v>10</v>
      </c>
      <c r="AF133" s="1" t="s">
        <v>123</v>
      </c>
      <c r="AH133" t="e">
        <f>VLOOKUP(AnalizaCzyste[[#This Row],[Jak się nazywa uczelnia którą ukończyłeś? (proszę o wybranie jednej uczelni podlegającej ocenie)]],KategorieUczelni[],2,0)</f>
        <v>#N/A</v>
      </c>
      <c r="AY133" s="1" t="s">
        <v>123</v>
      </c>
      <c r="CS133" s="1" t="s">
        <v>123</v>
      </c>
      <c r="DC133" s="1" t="s">
        <v>123</v>
      </c>
      <c r="DM133" s="1" t="s">
        <v>123</v>
      </c>
      <c r="EP133" s="1" t="s">
        <v>123</v>
      </c>
      <c r="FP133" s="1" t="s">
        <v>123</v>
      </c>
      <c r="FQ133" t="s">
        <v>132</v>
      </c>
      <c r="GX133" t="s">
        <v>480</v>
      </c>
      <c r="GY133" t="s">
        <v>481</v>
      </c>
      <c r="GZ133" t="s">
        <v>482</v>
      </c>
      <c r="HA133" t="s">
        <v>140</v>
      </c>
      <c r="HB133">
        <v>1996</v>
      </c>
      <c r="HC133" t="str">
        <f>VLOOKUP(AnalizaCzyste[[#This Row],[Rok urodzenia]],KategorieWiekowe[],2,1)</f>
        <v>poniżej 26 lat</v>
      </c>
      <c r="HD133" t="s">
        <v>483</v>
      </c>
    </row>
    <row r="134" spans="1:216" hidden="1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4"/>
        <v>31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N134">
        <v>0</v>
      </c>
      <c r="O134" t="s">
        <v>122</v>
      </c>
      <c r="P134" s="1" t="s">
        <v>416</v>
      </c>
      <c r="Q134" t="s">
        <v>160</v>
      </c>
      <c r="R134" t="s">
        <v>148</v>
      </c>
      <c r="S134" t="s">
        <v>648</v>
      </c>
      <c r="T134" t="s">
        <v>128</v>
      </c>
      <c r="U134" t="s">
        <v>162</v>
      </c>
      <c r="V134" t="s">
        <v>162</v>
      </c>
      <c r="W134" t="s">
        <v>237</v>
      </c>
      <c r="X134" t="s">
        <v>302</v>
      </c>
      <c r="Y134" t="s">
        <v>153</v>
      </c>
      <c r="AA134" t="s">
        <v>649</v>
      </c>
      <c r="AB134" t="s">
        <v>650</v>
      </c>
      <c r="AC134" t="s">
        <v>157</v>
      </c>
      <c r="AE134">
        <v>8</v>
      </c>
      <c r="AF134" s="1" t="s">
        <v>123</v>
      </c>
      <c r="AH134" t="e">
        <f>VLOOKUP(AnalizaCzyste[[#This Row],[Jak się nazywa uczelnia którą ukończyłeś? (proszę o wybranie jednej uczelni podlegającej ocenie)]],KategorieUczelni[],2,0)</f>
        <v>#N/A</v>
      </c>
      <c r="AY134" s="1" t="s">
        <v>123</v>
      </c>
      <c r="CS134" s="1" t="s">
        <v>123</v>
      </c>
      <c r="DC134" s="1" t="s">
        <v>123</v>
      </c>
      <c r="DM134" s="1" t="s">
        <v>123</v>
      </c>
      <c r="EP134" s="1" t="s">
        <v>123</v>
      </c>
      <c r="FP134" s="1" t="s">
        <v>123</v>
      </c>
      <c r="FQ134" t="s">
        <v>132</v>
      </c>
      <c r="GX134" t="s">
        <v>651</v>
      </c>
      <c r="GY134" t="s">
        <v>652</v>
      </c>
      <c r="GZ134" t="s">
        <v>653</v>
      </c>
      <c r="HA134" t="s">
        <v>140</v>
      </c>
      <c r="HB134">
        <v>1998</v>
      </c>
      <c r="HC134" t="str">
        <f>VLOOKUP(AnalizaCzyste[[#This Row],[Rok urodzenia]],KategorieWiekowe[],2,1)</f>
        <v>poniżej 26 lat</v>
      </c>
      <c r="HD134" t="s">
        <v>141</v>
      </c>
    </row>
    <row r="135" spans="1:216" hidden="1" x14ac:dyDescent="0.45">
      <c r="A135">
        <v>82</v>
      </c>
      <c r="B135">
        <f>_xlfn.IFNA(VLOOKUP(AnalizaCzyste[[#This Row],[Zakończono wypełnianie]],Zakończone[],2,0),"BRAK")</f>
        <v>47</v>
      </c>
      <c r="C135">
        <f t="shared" si="4"/>
        <v>30</v>
      </c>
      <c r="D135" t="s">
        <v>828</v>
      </c>
      <c r="E135" t="s">
        <v>118</v>
      </c>
      <c r="J135" t="s">
        <v>119</v>
      </c>
      <c r="K135" t="s">
        <v>829</v>
      </c>
      <c r="L135" t="s">
        <v>830</v>
      </c>
      <c r="M135">
        <v>3349</v>
      </c>
      <c r="N135">
        <v>0</v>
      </c>
      <c r="O135" t="s">
        <v>122</v>
      </c>
      <c r="P135" s="1" t="s">
        <v>123</v>
      </c>
      <c r="AF135" s="1" t="s">
        <v>123</v>
      </c>
      <c r="AH135" t="e">
        <f>VLOOKUP(AnalizaCzyste[[#This Row],[Jak się nazywa uczelnia którą ukończyłeś? (proszę o wybranie jednej uczelni podlegającej ocenie)]],KategorieUczelni[],2,0)</f>
        <v>#N/A</v>
      </c>
      <c r="AY135" s="1" t="s">
        <v>123</v>
      </c>
      <c r="CS135" s="1" t="s">
        <v>123</v>
      </c>
      <c r="DC135" s="1" t="s">
        <v>123</v>
      </c>
      <c r="DM135" s="1" t="s">
        <v>123</v>
      </c>
      <c r="EP135" s="1" t="s">
        <v>177</v>
      </c>
      <c r="EQ135" t="s">
        <v>178</v>
      </c>
      <c r="ER135">
        <v>1</v>
      </c>
      <c r="ES135" t="s">
        <v>191</v>
      </c>
      <c r="ET135" t="s">
        <v>162</v>
      </c>
      <c r="EU135" t="s">
        <v>162</v>
      </c>
      <c r="EV135" t="s">
        <v>128</v>
      </c>
      <c r="EW135" t="s">
        <v>178</v>
      </c>
      <c r="EX135" t="s">
        <v>831</v>
      </c>
      <c r="EY135" t="s">
        <v>832</v>
      </c>
      <c r="EZ135" t="s">
        <v>173</v>
      </c>
      <c r="FP135" s="1" t="s">
        <v>123</v>
      </c>
      <c r="FQ135" t="s">
        <v>132</v>
      </c>
      <c r="FS135" t="s">
        <v>132</v>
      </c>
      <c r="GX135" t="s">
        <v>833</v>
      </c>
      <c r="GY135" t="s">
        <v>834</v>
      </c>
      <c r="GZ135" t="s">
        <v>835</v>
      </c>
      <c r="HA135" t="s">
        <v>140</v>
      </c>
      <c r="HB135">
        <v>1977</v>
      </c>
      <c r="HC135" t="str">
        <f>VLOOKUP(AnalizaCzyste[[#This Row],[Rok urodzenia]],KategorieWiekowe[],2,1)</f>
        <v>36-45 lat</v>
      </c>
      <c r="HD135" t="s">
        <v>398</v>
      </c>
      <c r="HF135" t="s">
        <v>836</v>
      </c>
    </row>
    <row r="136" spans="1:216" ht="14.65" thickBot="1" x14ac:dyDescent="0.5">
      <c r="O136" s="6">
        <f t="shared" ref="O136:AU136" si="5">COUNTA((O3:O135))</f>
        <v>133</v>
      </c>
      <c r="P136" s="6">
        <f t="shared" si="5"/>
        <v>133</v>
      </c>
      <c r="Q136" s="1">
        <f t="shared" si="5"/>
        <v>14</v>
      </c>
      <c r="R136" s="1">
        <f t="shared" si="5"/>
        <v>14</v>
      </c>
      <c r="S136" s="1">
        <f t="shared" si="5"/>
        <v>14</v>
      </c>
      <c r="T136" s="1">
        <f t="shared" si="5"/>
        <v>14</v>
      </c>
      <c r="U136" s="1">
        <f t="shared" si="5"/>
        <v>14</v>
      </c>
      <c r="V136" s="1">
        <f t="shared" si="5"/>
        <v>14</v>
      </c>
      <c r="W136" s="1">
        <f t="shared" si="5"/>
        <v>14</v>
      </c>
      <c r="X136" s="1">
        <f t="shared" si="5"/>
        <v>14</v>
      </c>
      <c r="Y136" s="1">
        <f t="shared" si="5"/>
        <v>14</v>
      </c>
      <c r="Z136" s="1">
        <f t="shared" si="5"/>
        <v>9</v>
      </c>
      <c r="AA136" s="1">
        <f t="shared" si="5"/>
        <v>14</v>
      </c>
      <c r="AB136" s="1">
        <f t="shared" si="5"/>
        <v>14</v>
      </c>
      <c r="AC136" s="1">
        <f t="shared" si="5"/>
        <v>13</v>
      </c>
      <c r="AD136" s="1">
        <f t="shared" si="5"/>
        <v>2</v>
      </c>
      <c r="AE136" s="1">
        <f t="shared" si="5"/>
        <v>14</v>
      </c>
      <c r="AF136" s="6">
        <f t="shared" si="5"/>
        <v>133</v>
      </c>
      <c r="AG136" s="1">
        <f t="shared" si="5"/>
        <v>120</v>
      </c>
      <c r="AH136" s="1"/>
      <c r="AI136" s="1">
        <f t="shared" si="5"/>
        <v>119</v>
      </c>
      <c r="AJ136" s="1">
        <f t="shared" si="5"/>
        <v>120</v>
      </c>
      <c r="AK136" s="1">
        <f t="shared" si="5"/>
        <v>120</v>
      </c>
      <c r="AL136" s="1">
        <f t="shared" si="5"/>
        <v>120</v>
      </c>
      <c r="AM136" s="1">
        <f t="shared" si="5"/>
        <v>120</v>
      </c>
      <c r="AN136" s="1">
        <f t="shared" si="5"/>
        <v>120</v>
      </c>
      <c r="AO136" s="1">
        <f t="shared" si="5"/>
        <v>120</v>
      </c>
      <c r="AP136" s="1">
        <f t="shared" si="5"/>
        <v>120</v>
      </c>
      <c r="AQ136" s="1">
        <f t="shared" si="5"/>
        <v>120</v>
      </c>
      <c r="AR136" s="1">
        <f t="shared" si="5"/>
        <v>120</v>
      </c>
      <c r="AS136" s="1">
        <f t="shared" si="5"/>
        <v>120</v>
      </c>
      <c r="AT136" s="1">
        <f t="shared" si="5"/>
        <v>98</v>
      </c>
      <c r="AU136" s="1">
        <f t="shared" si="5"/>
        <v>120</v>
      </c>
      <c r="AV136" s="1">
        <f t="shared" ref="AV136:CA136" si="6">COUNTA((AV3:AV135))</f>
        <v>120</v>
      </c>
      <c r="AW136" s="1">
        <f t="shared" si="6"/>
        <v>108</v>
      </c>
      <c r="AX136" s="1">
        <f t="shared" si="6"/>
        <v>38</v>
      </c>
      <c r="AY136" s="6">
        <f t="shared" si="6"/>
        <v>133</v>
      </c>
      <c r="AZ136" s="1">
        <f t="shared" si="6"/>
        <v>17</v>
      </c>
      <c r="BA136" s="1">
        <f t="shared" si="6"/>
        <v>17</v>
      </c>
      <c r="BB136" s="1">
        <f t="shared" si="6"/>
        <v>17</v>
      </c>
      <c r="BC136" s="1">
        <f t="shared" si="6"/>
        <v>17</v>
      </c>
      <c r="BD136" s="1">
        <f t="shared" si="6"/>
        <v>17</v>
      </c>
      <c r="BE136" s="1">
        <f t="shared" si="6"/>
        <v>17</v>
      </c>
      <c r="BF136" s="1">
        <f t="shared" si="6"/>
        <v>17</v>
      </c>
      <c r="BG136" s="1">
        <f t="shared" si="6"/>
        <v>17</v>
      </c>
      <c r="BH136" s="1">
        <f t="shared" si="6"/>
        <v>17</v>
      </c>
      <c r="BI136" s="1">
        <f t="shared" si="6"/>
        <v>17</v>
      </c>
      <c r="BJ136" s="1">
        <f t="shared" si="6"/>
        <v>17</v>
      </c>
      <c r="BK136" s="1">
        <f t="shared" si="6"/>
        <v>15</v>
      </c>
      <c r="BL136" s="1">
        <f t="shared" si="6"/>
        <v>17</v>
      </c>
      <c r="BM136" s="1">
        <f t="shared" si="6"/>
        <v>1</v>
      </c>
      <c r="BN136" s="1">
        <f t="shared" si="6"/>
        <v>8</v>
      </c>
      <c r="BO136" s="1">
        <f t="shared" si="6"/>
        <v>17</v>
      </c>
      <c r="BP136" s="1">
        <f t="shared" si="6"/>
        <v>5</v>
      </c>
      <c r="BQ136" s="1">
        <f t="shared" si="6"/>
        <v>5</v>
      </c>
      <c r="BR136" s="1">
        <f t="shared" si="6"/>
        <v>5</v>
      </c>
      <c r="BS136" s="1">
        <f t="shared" si="6"/>
        <v>5</v>
      </c>
      <c r="BT136" s="1">
        <f t="shared" si="6"/>
        <v>5</v>
      </c>
      <c r="BU136" s="1">
        <f t="shared" si="6"/>
        <v>5</v>
      </c>
      <c r="BV136" s="1">
        <f t="shared" si="6"/>
        <v>5</v>
      </c>
      <c r="BW136" s="1">
        <f t="shared" si="6"/>
        <v>5</v>
      </c>
      <c r="BX136" s="1">
        <f t="shared" si="6"/>
        <v>5</v>
      </c>
      <c r="BY136" s="1">
        <f t="shared" si="6"/>
        <v>5</v>
      </c>
      <c r="BZ136" s="1">
        <f t="shared" si="6"/>
        <v>3</v>
      </c>
      <c r="CA136" s="1">
        <f t="shared" si="6"/>
        <v>5</v>
      </c>
      <c r="CB136" s="1">
        <f t="shared" ref="CB136:CS136" si="7">COUNTA((CB3:CB135))</f>
        <v>0</v>
      </c>
      <c r="CC136" s="1">
        <f t="shared" si="7"/>
        <v>3</v>
      </c>
      <c r="CD136" s="1">
        <f t="shared" si="7"/>
        <v>5</v>
      </c>
      <c r="CE136" s="1">
        <f t="shared" si="7"/>
        <v>2</v>
      </c>
      <c r="CF136" s="1">
        <f t="shared" si="7"/>
        <v>2</v>
      </c>
      <c r="CG136" s="1">
        <f t="shared" si="7"/>
        <v>2</v>
      </c>
      <c r="CH136" s="1">
        <f t="shared" si="7"/>
        <v>2</v>
      </c>
      <c r="CI136" s="1">
        <f t="shared" si="7"/>
        <v>2</v>
      </c>
      <c r="CJ136" s="1">
        <f t="shared" si="7"/>
        <v>2</v>
      </c>
      <c r="CK136" s="1">
        <f t="shared" si="7"/>
        <v>2</v>
      </c>
      <c r="CL136" s="1">
        <f t="shared" si="7"/>
        <v>2</v>
      </c>
      <c r="CM136" s="1">
        <f t="shared" si="7"/>
        <v>2</v>
      </c>
      <c r="CN136" s="1">
        <f t="shared" si="7"/>
        <v>2</v>
      </c>
      <c r="CO136" s="1">
        <f t="shared" si="7"/>
        <v>2</v>
      </c>
      <c r="CP136" s="1">
        <f t="shared" si="7"/>
        <v>2</v>
      </c>
      <c r="CQ136" s="1">
        <f t="shared" si="7"/>
        <v>0</v>
      </c>
      <c r="CR136" s="1">
        <f t="shared" si="7"/>
        <v>1</v>
      </c>
      <c r="CS136" s="6">
        <f t="shared" si="7"/>
        <v>133</v>
      </c>
      <c r="DC136" s="6">
        <f>COUNTA((DC3:DC135))</f>
        <v>133</v>
      </c>
      <c r="DM136" s="6">
        <f>COUNTA((DM3:DM135))</f>
        <v>133</v>
      </c>
      <c r="EP136" s="6">
        <f>COUNTA((EP3:EP135))</f>
        <v>133</v>
      </c>
      <c r="FP136" s="6">
        <f>COUNTA((FP3:FP135))</f>
        <v>133</v>
      </c>
      <c r="HA136" s="6">
        <f>COUNTA((HA3:HA135))</f>
        <v>133</v>
      </c>
      <c r="HB136" s="6">
        <f>COUNTA((HB3:HB135))</f>
        <v>133</v>
      </c>
      <c r="HC136" s="6"/>
      <c r="HD136" s="6">
        <f>COUNTA((HD3:HD135))</f>
        <v>133</v>
      </c>
      <c r="HE136" s="6">
        <f>COUNTA((HE3:HE135))</f>
        <v>7</v>
      </c>
      <c r="HF136" s="6">
        <f>COUNTA((HF3:HF135))</f>
        <v>84</v>
      </c>
      <c r="HG136" s="6">
        <f>COUNTA((HG3:HG135))</f>
        <v>52</v>
      </c>
      <c r="HH136" s="6">
        <f>COUNTA((HH3:HH135))</f>
        <v>12</v>
      </c>
    </row>
    <row r="137" spans="1:216" ht="15" thickTop="1" thickBot="1" x14ac:dyDescent="0.5">
      <c r="B137" s="20" t="s">
        <v>2292</v>
      </c>
      <c r="O137" s="7">
        <f>COUNTIF(AnalizaCzyste[Czy jesteś osobą pełnoletnią?],"*"&amp;"Tak"&amp;"*")</f>
        <v>133</v>
      </c>
      <c r="P137" s="7">
        <f>COUNTIF(AnalizaCzyste[Czy jesteś studentem uczelni wyższej?],"*"&amp;"Tak"&amp;"*")</f>
        <v>14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7">
        <f>COUNTIF(AnalizaCzyste[Czy jesteś absolwentem uczelni wyższej?],"*"&amp;"Tak"&amp;"*")</f>
        <v>120</v>
      </c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7">
        <f>COUNTIF(AnalizaCzyste[Czy jesteś rodzicem / opiekunem absolwenta uczelni wyższej?],"*"&amp;"Tak"&amp;"*")</f>
        <v>17</v>
      </c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7">
        <f>COUNTIF(AnalizaCzyste[Czy jesteś aktualnie pracownikiem administracyjnym uczelni wyższej?],"*"&amp;"Tak"&amp;"*")</f>
        <v>4</v>
      </c>
      <c r="CT137" s="8"/>
      <c r="CU137" s="8"/>
      <c r="CV137" s="8"/>
      <c r="CW137" s="8"/>
      <c r="CX137" s="8"/>
      <c r="CY137" s="8"/>
      <c r="CZ137" s="8"/>
      <c r="DA137" s="8"/>
      <c r="DB137" s="8"/>
      <c r="DC137" s="7">
        <f>COUNTIF(AnalizaCzyste[Czy jesteś aktualnie pracownikiem naukowym lub dydaktycznym uczelni wyższej?],"*"&amp;"Tak"&amp;"*")</f>
        <v>16</v>
      </c>
      <c r="DD137" s="8"/>
      <c r="DE137" s="8"/>
      <c r="DF137" s="8"/>
      <c r="DG137" s="8"/>
      <c r="DH137" s="8"/>
      <c r="DI137" s="8"/>
      <c r="DJ137" s="8"/>
      <c r="DK137" s="8"/>
      <c r="DL137" s="8"/>
      <c r="DM137" s="7">
        <f>COUNTIF(AnalizaCzyste[Czy jesteś przedstawicielem władz uczelni z grupy rektorów, prorektorów, dziekanów, prodziekanów, członków senatu lub członków rady uczelni?],"*"&amp;"Tak"&amp;"*")</f>
        <v>5</v>
      </c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7">
        <f>COUNTIF(AnalizaCzyste[Czy jesteś przedstawicielem firmy, w której są zatrudniani absolwenci uczelni wyższych (tytuł licencjata, magistra lub wyższy)?],"*"&amp;"Tak"&amp;"*")</f>
        <v>18</v>
      </c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7">
        <f>COUNTIF(AnalizaCzyste[Czy jesteś przedstawicielem władz samorządowych lub centralnych Rzeczypospolitej Polskiej?],"*"&amp;"Tak"&amp;"*")</f>
        <v>2</v>
      </c>
      <c r="FQ137" s="7">
        <f>COUNTIF(AnalizaCzyste[Proszę wskaż jaki poziom władzy samorządowej lub centralnej reprezentujesz.],"*"&amp;"Tak"&amp;"*")</f>
        <v>0</v>
      </c>
      <c r="FR137" s="7">
        <f>COUNTIF(AnalizaCzyste[Proszę o podanie nazwy organu władzy jaki reprezentujesz.],"*"&amp;"Tak"&amp;"*")</f>
        <v>0</v>
      </c>
      <c r="FS137" s="7">
        <f>COUNTIF(AnalizaCzyste[Ile uczelni będziesz oceniać?26],"*"&amp;"Tak"&amp;"*")</f>
        <v>0</v>
      </c>
      <c r="FT137" s="7">
        <f>COUNTIF(AnalizaCzyste[Jak się nazywa uczelnia, którą ocenisz?],"*"&amp;"Tak"&amp;"*")</f>
        <v>0</v>
      </c>
      <c r="FU137" s="7">
        <f>COUNTIF(AnalizaCzyste[Efekty działań ocenianej uczelni na rzesz jakości edukacji są zgodne ze strategią rozwoju w regionie.],"*"&amp;"Tak"&amp;"*")</f>
        <v>0</v>
      </c>
      <c r="FV137" s="7">
        <f>COUNTIF(AnalizaCzyste[Wartość wykształcenia zdobywanego przez studentów na ocenianej uczelni jest wysoka.27],"*"&amp;"Tak"&amp;"*")</f>
        <v>0</v>
      </c>
      <c r="FW137" s="7">
        <f>COUNTIF(AnalizaCzyste[Zdobyte przez studentów ocenianej uczelni wykształcenie miało/ma pozytywny wpływ na ich zarobki.28],"*"&amp;"Tak"&amp;"*")</f>
        <v>0</v>
      </c>
      <c r="FX137" s="7">
        <f>COUNTIF(AnalizaCzyste[Efekty działań ocenianej uczelni na rzecz jakości edukacji mają dobry wpływ na rozwój regionu.29],"*"&amp;"Tak"&amp;"*")</f>
        <v>0</v>
      </c>
      <c r="FY137" s="7">
        <f>COUNTIF(AnalizaCzyste[Efekty działań ocenianej uczelni na rzecz jakości edukacji mają dobry wpływ na rozwój Polski.30],"*"&amp;"Tak"&amp;"*")</f>
        <v>0</v>
      </c>
      <c r="FZ137" s="7">
        <f>COUNTIF(AnalizaCzyste[Współpraca ocenianej uczelni z biznesem ma pozytywne efekty dla rozwoju regionu / kraju.31],"*"&amp;"Tak"&amp;"*")</f>
        <v>0</v>
      </c>
      <c r="GA137" s="7">
        <f>COUNTIF(AnalizaCzyste[Ogólny poziom mojej satysfakcji z jakości usług edukacyjnych ocenianej uczelni jest wysoki.32],"*"&amp;"Tak"&amp;"*")</f>
        <v>0</v>
      </c>
      <c r="GB137" s="7">
        <f>COUNTIF(AnalizaCzyste[Pole dodatkowe33],"*"&amp;"Tak"&amp;"*")</f>
        <v>0</v>
      </c>
      <c r="GC137" s="7">
        <f>COUNTIF(AnalizaCzyste[Jakie inne efekty pracy ocenianej uczelni technicznej dostrzegasz obecnie?],"*"&amp;"Tak"&amp;"*")</f>
        <v>0</v>
      </c>
      <c r="GD137" s="7">
        <f>COUNTIF(AnalizaCzyste[Czy będziesz oceniać drugą uczelnię?],"*"&amp;"Tak"&amp;"*")</f>
        <v>0</v>
      </c>
      <c r="GE137" s="7">
        <f>COUNTIF(AnalizaCzyste[Jak się nazywa uczelnia, którą ocenisz?34],"*"&amp;"Tak"&amp;"*")</f>
        <v>0</v>
      </c>
      <c r="GF137" s="7">
        <f>COUNTIF(AnalizaCzyste[Efekty działań ocenianej uczelni na rzesz jakości edukacji są zgodne ze strategią rozwoju w regionie.35],"*"&amp;"Tak"&amp;"*")</f>
        <v>0</v>
      </c>
      <c r="GG137" s="7">
        <f>COUNTIF(AnalizaCzyste[Wartość wykształcenia zdobywanego przez studentów na ocenianej uczelni jest wysoka.36],"*"&amp;"Tak"&amp;"*")</f>
        <v>0</v>
      </c>
      <c r="GH137" s="7">
        <f>COUNTIF(AnalizaCzyste[Zdobyte przez studentów ocenianej uczelni wykształcenie miało/ma pozytywny wpływ na ich zarobki.37],"*"&amp;"Tak"&amp;"*")</f>
        <v>0</v>
      </c>
      <c r="GI137" s="7">
        <f>COUNTIF(AnalizaCzyste[Efekty działań ocenianej uczelni na rzecz jakości edukacji mają dobry wpływ na rozwój regionu.38],"*"&amp;"Tak"&amp;"*")</f>
        <v>0</v>
      </c>
      <c r="GJ137" s="7">
        <f>COUNTIF(AnalizaCzyste[Efekty działań ocenianej uczelni na rzecz jakości edukacji mają dobry wpływ na rozwój Polski.39],"*"&amp;"Tak"&amp;"*")</f>
        <v>0</v>
      </c>
      <c r="GK137" s="7">
        <f>COUNTIF(AnalizaCzyste[Współpraca ocenianej uczelni z biznesem ma pozytywne efekty dla rozwoju regionu / kraju.40],"*"&amp;"Tak"&amp;"*")</f>
        <v>0</v>
      </c>
      <c r="GL137" s="7">
        <f>COUNTIF(AnalizaCzyste[Ogólny poziom mojej satysfakcji z jakości usług edukacyjnych ocenianej uczelni jest wysoki.41],"*"&amp;"Tak"&amp;"*")</f>
        <v>0</v>
      </c>
      <c r="GM137" s="7">
        <f>COUNTIF(AnalizaCzyste[Jakie inne efekty pracy ocenianej uczelni dostrzegasz obecnie?],"*"&amp;"Tak"&amp;"*")</f>
        <v>0</v>
      </c>
      <c r="GN137" s="7">
        <f>COUNTIF(AnalizaCzyste[Czy będziesz oceniać trzecią uczelnię?],"*"&amp;"Tak"&amp;"*")</f>
        <v>0</v>
      </c>
      <c r="GO137" s="7">
        <f>COUNTIF(AnalizaCzyste[Jak się nazywa uczelnia, którą ocenisz?42],"*"&amp;"Tak"&amp;"*")</f>
        <v>0</v>
      </c>
      <c r="GP137" s="7">
        <f>COUNTIF(AnalizaCzyste[Efekty działań ocenianej uczelni na rzesz jakości edukacji są zgodne ze strategią rozwoju w regionie.43],"*"&amp;"Tak"&amp;"*")</f>
        <v>0</v>
      </c>
      <c r="GQ137" s="7">
        <f>COUNTIF(AnalizaCzyste[Wartość wykształcenia zdobywanego przez studentów na ocenianej uczelni jest wysoka.44],"*"&amp;"Tak"&amp;"*")</f>
        <v>0</v>
      </c>
      <c r="GR137" s="7">
        <f>COUNTIF(AnalizaCzyste[Zdobyte przez studentów ocenianej uczelni wykształcenie miało/ma pozytywny wpływ na ich zarobki.45],"*"&amp;"Tak"&amp;"*")</f>
        <v>0</v>
      </c>
      <c r="GS137" s="7">
        <f>COUNTIF(AnalizaCzyste[Efekty działań ocenianej uczelni na rzecz jakości edukacji mają dobry wpływ na rozwój regionu.46],"*"&amp;"Tak"&amp;"*")</f>
        <v>0</v>
      </c>
      <c r="GT137" s="7">
        <f>COUNTIF(AnalizaCzyste[Efekty działań ocenianej uczelni na rzecz jakości edukacji mają dobry wpływ na rozwój Polski.47],"*"&amp;"Tak"&amp;"*")</f>
        <v>0</v>
      </c>
      <c r="GU137" s="7">
        <f>COUNTIF(AnalizaCzyste[Współpraca ocenianej uczelni z biznesem ma pozytywne efekty dla rozwoju regionu / kraju.48],"*"&amp;"Tak"&amp;"*")</f>
        <v>0</v>
      </c>
      <c r="GV137" s="7">
        <f>COUNTIF(AnalizaCzyste[Ogólny poziom mojej satysfakcji z jakości usług edukacyjnych ocenianej uczelni jest wysoki.49],"*"&amp;"Tak"&amp;"*")</f>
        <v>0</v>
      </c>
      <c r="GW137" s="7">
        <f>COUNTIF(AnalizaCzyste[Jakie inne efekty pracy ocenianej uczelni dostrzegasz obecnie?50],"*"&amp;"Tak"&amp;"*")</f>
        <v>0</v>
      </c>
      <c r="GX137" s="7">
        <f>COUNTIF(AnalizaCzyste[Jakie, Twoim zdaniem, elementy decydują o tym, że uczelnie są lepsze lub gorsze.],"*"&amp;"Tak"&amp;"*")</f>
        <v>5</v>
      </c>
      <c r="GY137" s="7">
        <f>COUNTIF(AnalizaCzyste[Kolumna51],"*"&amp;"Tak"&amp;"*")</f>
        <v>10</v>
      </c>
      <c r="GZ137" s="7">
        <f>COUNTIF(AnalizaCzyste[Kolumna52],"*"&amp;"Tak"&amp;"*")</f>
        <v>3</v>
      </c>
      <c r="HA137" s="7">
        <f>COUNTIF(AnalizaCzyste[Płeć],"*"&amp;"Mężczyzna"&amp;"*")</f>
        <v>66</v>
      </c>
      <c r="HB137" s="7">
        <f>COUNTIF(AnalizaCzyste[Rok urodzenia],"*"&amp;"Tak"&amp;"*")</f>
        <v>0</v>
      </c>
      <c r="HC137" s="7"/>
      <c r="HD137" s="7">
        <f>COUNTIF(AnalizaCzyste[Z jakiej wielkości miejscowości pochodzisz? (dotyczy miejscowości, w której się wychowałaś/eś],"*"&amp;"Tak"&amp;"*")</f>
        <v>0</v>
      </c>
    </row>
    <row r="138" spans="1:216" ht="15" thickTop="1" thickBot="1" x14ac:dyDescent="0.5">
      <c r="B138" s="20" t="s">
        <v>2293</v>
      </c>
      <c r="O138" s="7">
        <f>COUNTIF(AnalizaCzyste[Czy jesteś osobą pełnoletnią?],"*"&amp;"Nie"&amp;"*")</f>
        <v>0</v>
      </c>
      <c r="P138" s="7">
        <f>COUNTIF(AnalizaCzyste[Czy jesteś studentem uczelni wyższej?],"*"&amp;"Nie (przejście"&amp;"*")</f>
        <v>119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7">
        <f>COUNTIF(AnalizaCzyste[Czy jesteś absolwentem uczelni wyższej?],"*"&amp;"Nie (przejście"&amp;"*")</f>
        <v>13</v>
      </c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7">
        <f>COUNTIF(AnalizaCzyste[Czy jesteś rodzicem / opiekunem absolwenta uczelni wyższej?],"*"&amp;"Nie (przejście"&amp;"*")</f>
        <v>116</v>
      </c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7">
        <f>COUNTIF(AnalizaCzyste[Czy jesteś aktualnie pracownikiem administracyjnym uczelni wyższej?],"*"&amp;"Nie (przejście"&amp;"*")</f>
        <v>129</v>
      </c>
      <c r="CT138" s="8"/>
      <c r="CU138" s="8"/>
      <c r="CV138" s="8"/>
      <c r="CW138" s="8"/>
      <c r="CX138" s="8"/>
      <c r="CY138" s="8"/>
      <c r="CZ138" s="8"/>
      <c r="DA138" s="8"/>
      <c r="DB138" s="8"/>
      <c r="DC138" s="7">
        <f>COUNTIF(AnalizaCzyste[Czy jesteś aktualnie pracownikiem naukowym lub dydaktycznym uczelni wyższej?],"*"&amp;"Nie (przejście"&amp;"*")</f>
        <v>117</v>
      </c>
      <c r="DD138" s="8"/>
      <c r="DE138" s="8"/>
      <c r="DF138" s="8"/>
      <c r="DG138" s="8"/>
      <c r="DH138" s="8"/>
      <c r="DI138" s="8"/>
      <c r="DJ138" s="8"/>
      <c r="DK138" s="8"/>
      <c r="DL138" s="8"/>
      <c r="DM138" s="7">
        <f>COUNTIF(AnalizaCzyste[Czy jesteś przedstawicielem władz uczelni z grupy rektorów, prorektorów, dziekanów, prodziekanów, członków senatu lub członków rady uczelni?],"*"&amp;"Nie (przejście"&amp;"*")</f>
        <v>128</v>
      </c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7">
        <f>COUNTIF(AnalizaCzyste[Czy jesteś przedstawicielem firmy, w której są zatrudniani absolwenci uczelni wyższych (tytuł licencjata, magistra lub wyższy)?],"*"&amp;"Nie (przejście"&amp;"*")</f>
        <v>115</v>
      </c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7">
        <f>COUNTIF(AnalizaCzyste[Czy jesteś przedstawicielem władz samorządowych lub centralnych Rzeczypospolitej Polskiej?],"*"&amp;"Nie (przejście"&amp;"*")</f>
        <v>131</v>
      </c>
      <c r="FQ138" s="7">
        <f>COUNTIF(AnalizaCzyste[Proszę wskaż jaki poziom władzy samorządowej lub centralnej reprezentujesz.],"*"&amp;"Nie (przejście"&amp;"*")</f>
        <v>0</v>
      </c>
      <c r="FR138" s="7">
        <f>COUNTIF(AnalizaCzyste[Proszę o podanie nazwy organu władzy jaki reprezentujesz.],"*"&amp;"Nie (przejście"&amp;"*")</f>
        <v>0</v>
      </c>
      <c r="FS138" s="7">
        <f>COUNTIF(AnalizaCzyste[Ile uczelni będziesz oceniać?26],"*"&amp;"Nie (przejście"&amp;"*")</f>
        <v>0</v>
      </c>
      <c r="FT138" s="7">
        <f>COUNTIF(AnalizaCzyste[Jak się nazywa uczelnia, którą ocenisz?],"*"&amp;"Nie (przejście"&amp;"*")</f>
        <v>0</v>
      </c>
      <c r="FU138" s="7">
        <f>COUNTIF(AnalizaCzyste[Efekty działań ocenianej uczelni na rzesz jakości edukacji są zgodne ze strategią rozwoju w regionie.],"*"&amp;"Nie (przejście"&amp;"*")</f>
        <v>0</v>
      </c>
      <c r="FV138" s="7">
        <f>COUNTIF(AnalizaCzyste[Wartość wykształcenia zdobywanego przez studentów na ocenianej uczelni jest wysoka.27],"*"&amp;"Nie (przejście"&amp;"*")</f>
        <v>0</v>
      </c>
      <c r="FW138" s="7">
        <f>COUNTIF(AnalizaCzyste[Zdobyte przez studentów ocenianej uczelni wykształcenie miało/ma pozytywny wpływ na ich zarobki.28],"*"&amp;"Nie (przejście"&amp;"*")</f>
        <v>0</v>
      </c>
      <c r="FX138" s="7">
        <f>COUNTIF(AnalizaCzyste[Efekty działań ocenianej uczelni na rzecz jakości edukacji mają dobry wpływ na rozwój regionu.29],"*"&amp;"Nie (przejście"&amp;"*")</f>
        <v>0</v>
      </c>
      <c r="FY138" s="7">
        <f>COUNTIF(AnalizaCzyste[Efekty działań ocenianej uczelni na rzecz jakości edukacji mają dobry wpływ na rozwój Polski.30],"*"&amp;"Nie (przejście"&amp;"*")</f>
        <v>0</v>
      </c>
      <c r="FZ138" s="7">
        <f>COUNTIF(AnalizaCzyste[Współpraca ocenianej uczelni z biznesem ma pozytywne efekty dla rozwoju regionu / kraju.31],"*"&amp;"Nie (przejście"&amp;"*")</f>
        <v>0</v>
      </c>
      <c r="GA138" s="7">
        <f>COUNTIF(AnalizaCzyste[Ogólny poziom mojej satysfakcji z jakości usług edukacyjnych ocenianej uczelni jest wysoki.32],"*"&amp;"Nie (przejście"&amp;"*")</f>
        <v>0</v>
      </c>
      <c r="GB138" s="7">
        <f>COUNTIF(AnalizaCzyste[Pole dodatkowe33],"*"&amp;"Nie (przejście"&amp;"*")</f>
        <v>0</v>
      </c>
      <c r="GC138" s="7">
        <f>COUNTIF(AnalizaCzyste[Jakie inne efekty pracy ocenianej uczelni technicznej dostrzegasz obecnie?],"*"&amp;"Nie (przejście"&amp;"*")</f>
        <v>0</v>
      </c>
      <c r="GD138" s="7">
        <f>COUNTIF(AnalizaCzyste[Czy będziesz oceniać drugą uczelnię?],"*"&amp;"Nie (przejście"&amp;"*")</f>
        <v>2</v>
      </c>
      <c r="GE138" s="7">
        <f>COUNTIF(AnalizaCzyste[Jak się nazywa uczelnia, którą ocenisz?34],"*"&amp;"Nie (przejście"&amp;"*")</f>
        <v>0</v>
      </c>
      <c r="GF138" s="7">
        <f>COUNTIF(AnalizaCzyste[Efekty działań ocenianej uczelni na rzesz jakości edukacji są zgodne ze strategią rozwoju w regionie.35],"*"&amp;"Nie (przejście"&amp;"*")</f>
        <v>0</v>
      </c>
      <c r="GG138" s="7">
        <f>COUNTIF(AnalizaCzyste[Wartość wykształcenia zdobywanego przez studentów na ocenianej uczelni jest wysoka.36],"*"&amp;"Nie (przejście"&amp;"*")</f>
        <v>0</v>
      </c>
      <c r="GH138" s="7">
        <f>COUNTIF(AnalizaCzyste[Zdobyte przez studentów ocenianej uczelni wykształcenie miało/ma pozytywny wpływ na ich zarobki.37],"*"&amp;"Nie (przejście"&amp;"*")</f>
        <v>0</v>
      </c>
      <c r="GI138" s="7">
        <f>COUNTIF(AnalizaCzyste[Efekty działań ocenianej uczelni na rzecz jakości edukacji mają dobry wpływ na rozwój regionu.38],"*"&amp;"Nie (przejście"&amp;"*")</f>
        <v>0</v>
      </c>
      <c r="GJ138" s="7">
        <f>COUNTIF(AnalizaCzyste[Efekty działań ocenianej uczelni na rzecz jakości edukacji mają dobry wpływ na rozwój Polski.39],"*"&amp;"Nie (przejście"&amp;"*")</f>
        <v>0</v>
      </c>
      <c r="GK138" s="7">
        <f>COUNTIF(AnalizaCzyste[Współpraca ocenianej uczelni z biznesem ma pozytywne efekty dla rozwoju regionu / kraju.40],"*"&amp;"Nie (przejście"&amp;"*")</f>
        <v>0</v>
      </c>
      <c r="GL138" s="7">
        <f>COUNTIF(AnalizaCzyste[Ogólny poziom mojej satysfakcji z jakości usług edukacyjnych ocenianej uczelni jest wysoki.41],"*"&amp;"Nie (przejście"&amp;"*")</f>
        <v>0</v>
      </c>
      <c r="GM138" s="7">
        <f>COUNTIF(AnalizaCzyste[Jakie inne efekty pracy ocenianej uczelni dostrzegasz obecnie?],"*"&amp;"Nie (przejście"&amp;"*")</f>
        <v>0</v>
      </c>
      <c r="GN138" s="7">
        <f>COUNTIF(AnalizaCzyste[Czy będziesz oceniać trzecią uczelnię?],"*"&amp;"Nie (przejście"&amp;"*")</f>
        <v>0</v>
      </c>
      <c r="GO138" s="7">
        <f>COUNTIF(AnalizaCzyste[Jak się nazywa uczelnia, którą ocenisz?42],"*"&amp;"Nie (przejście"&amp;"*")</f>
        <v>0</v>
      </c>
      <c r="GP138" s="7">
        <f>COUNTIF(AnalizaCzyste[Efekty działań ocenianej uczelni na rzesz jakości edukacji są zgodne ze strategią rozwoju w regionie.43],"*"&amp;"Nie (przejście"&amp;"*")</f>
        <v>0</v>
      </c>
      <c r="GQ138" s="7">
        <f>COUNTIF(AnalizaCzyste[Wartość wykształcenia zdobywanego przez studentów na ocenianej uczelni jest wysoka.44],"*"&amp;"Nie (przejście"&amp;"*")</f>
        <v>0</v>
      </c>
      <c r="GR138" s="7">
        <f>COUNTIF(AnalizaCzyste[Zdobyte przez studentów ocenianej uczelni wykształcenie miało/ma pozytywny wpływ na ich zarobki.45],"*"&amp;"Nie (przejście"&amp;"*")</f>
        <v>0</v>
      </c>
      <c r="GS138" s="7">
        <f>COUNTIF(AnalizaCzyste[Efekty działań ocenianej uczelni na rzecz jakości edukacji mają dobry wpływ na rozwój regionu.46],"*"&amp;"Nie (przejście"&amp;"*")</f>
        <v>0</v>
      </c>
      <c r="GT138" s="7">
        <f>COUNTIF(AnalizaCzyste[Efekty działań ocenianej uczelni na rzecz jakości edukacji mają dobry wpływ na rozwój Polski.47],"*"&amp;"Nie (przejście"&amp;"*")</f>
        <v>0</v>
      </c>
      <c r="GU138" s="7">
        <f>COUNTIF(AnalizaCzyste[Współpraca ocenianej uczelni z biznesem ma pozytywne efekty dla rozwoju regionu / kraju.48],"*"&amp;"Nie (przejście"&amp;"*")</f>
        <v>0</v>
      </c>
      <c r="GV138" s="7">
        <f>COUNTIF(AnalizaCzyste[Ogólny poziom mojej satysfakcji z jakości usług edukacyjnych ocenianej uczelni jest wysoki.49],"*"&amp;"Nie (przejście"&amp;"*")</f>
        <v>0</v>
      </c>
      <c r="GW138" s="7">
        <f>COUNTIF(AnalizaCzyste[Jakie inne efekty pracy ocenianej uczelni dostrzegasz obecnie?50],"*"&amp;"Nie (przejście"&amp;"*")</f>
        <v>0</v>
      </c>
      <c r="GX138" s="7">
        <f>COUNTIF(AnalizaCzyste[Jakie, Twoim zdaniem, elementy decydują o tym, że uczelnie są lepsze lub gorsze.],"*"&amp;"Nie (przejście"&amp;"*")</f>
        <v>0</v>
      </c>
      <c r="GY138" s="7">
        <f>COUNTIF(AnalizaCzyste[Kolumna51],"*"&amp;"Nie (przejście"&amp;"*")</f>
        <v>0</v>
      </c>
      <c r="GZ138" s="7">
        <f>COUNTIF(AnalizaCzyste[Kolumna52],"*"&amp;"Nie (przejście"&amp;"*")</f>
        <v>0</v>
      </c>
      <c r="HA138" s="7">
        <f>COUNTIF(AnalizaCzyste[Płeć],"*"&amp;"Kobieta"&amp;"*")</f>
        <v>67</v>
      </c>
      <c r="HB138" s="7">
        <f>COUNTIF(AnalizaCzyste[Rok urodzenia],"*"&amp;"Nie (przejście"&amp;"*")</f>
        <v>0</v>
      </c>
      <c r="HC138" s="7"/>
      <c r="HD138" s="7">
        <f>COUNTIF(AnalizaCzyste[Z jakiej wielkości miejscowości pochodzisz? (dotyczy miejscowości, w której się wychowałaś/eś],"*"&amp;"Nie (przejście"&amp;"*")</f>
        <v>0</v>
      </c>
    </row>
    <row r="139" spans="1:216" ht="14.65" thickTop="1" x14ac:dyDescent="0.45">
      <c r="B139" s="20" t="s">
        <v>2294</v>
      </c>
      <c r="O139" s="7">
        <f>COUNTBLANK(AnalizaCzyste[Czy jesteś osobą pełnoletnią?])</f>
        <v>0</v>
      </c>
      <c r="P139" s="7">
        <f>COUNTBLANK(AnalizaCzyste[Czy jesteś studentem uczelni wyższej?])</f>
        <v>0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7">
        <f>COUNTBLANK(AnalizaCzyste[Czy jesteś absolwentem uczelni wyższej?])</f>
        <v>0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7">
        <f>COUNTBLANK(AnalizaCzyste[Czy jesteś rodzicem / opiekunem absolwenta uczelni wyższej?])</f>
        <v>0</v>
      </c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7">
        <f>COUNTBLANK(AnalizaCzyste[Czy jesteś aktualnie pracownikiem administracyjnym uczelni wyższej?])</f>
        <v>0</v>
      </c>
      <c r="CT139" s="8"/>
      <c r="CU139" s="8"/>
      <c r="CV139" s="8"/>
      <c r="CW139" s="8"/>
      <c r="CX139" s="8"/>
      <c r="CY139" s="8"/>
      <c r="CZ139" s="8"/>
      <c r="DA139" s="8"/>
      <c r="DB139" s="8"/>
      <c r="DC139" s="7">
        <f>COUNTBLANK(AnalizaCzyste[Czy jesteś aktualnie pracownikiem naukowym lub dydaktycznym uczelni wyższej?])</f>
        <v>0</v>
      </c>
      <c r="DD139" s="8"/>
      <c r="DE139" s="8"/>
      <c r="DF139" s="8"/>
      <c r="DG139" s="8"/>
      <c r="DH139" s="8"/>
      <c r="DI139" s="8"/>
      <c r="DJ139" s="8"/>
      <c r="DK139" s="8"/>
      <c r="DL139" s="8"/>
      <c r="DM139" s="7">
        <f>COUNTBLANK(AnalizaCzyste[Czy jesteś przedstawicielem władz uczelni z grupy rektorów, prorektorów, dziekanów, prodziekanów, członków senatu lub członków rady uczelni?])</f>
        <v>0</v>
      </c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7">
        <f>COUNTBLANK(AnalizaCzyste[Czy jesteś przedstawicielem firmy, w której są zatrudniani absolwenci uczelni wyższych (tytuł licencjata, magistra lub wyższy)?])</f>
        <v>0</v>
      </c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7">
        <f>COUNTBLANK(AnalizaCzyste[Czy jesteś przedstawicielem władz samorządowych lub centralnych Rzeczypospolitej Polskiej?])</f>
        <v>0</v>
      </c>
      <c r="FQ139" s="7">
        <f>COUNTBLANK(AnalizaCzyste[Proszę wskaż jaki poziom władzy samorządowej lub centralnej reprezentujesz.])</f>
        <v>66</v>
      </c>
      <c r="FR139" s="7">
        <f>COUNTBLANK(AnalizaCzyste[Proszę o podanie nazwy organu władzy jaki reprezentujesz.])</f>
        <v>131</v>
      </c>
      <c r="FS139" s="7">
        <f>COUNTBLANK(AnalizaCzyste[Ile uczelni będziesz oceniać?26])</f>
        <v>96</v>
      </c>
      <c r="FT139" s="7">
        <f>COUNTBLANK(AnalizaCzyste[Jak się nazywa uczelnia, którą ocenisz?])</f>
        <v>131</v>
      </c>
      <c r="FU139" s="7">
        <f>COUNTBLANK(AnalizaCzyste[Efekty działań ocenianej uczelni na rzesz jakości edukacji są zgodne ze strategią rozwoju w regionie.])</f>
        <v>131</v>
      </c>
      <c r="FV139" s="7">
        <f>COUNTBLANK(AnalizaCzyste[Wartość wykształcenia zdobywanego przez studentów na ocenianej uczelni jest wysoka.27])</f>
        <v>131</v>
      </c>
      <c r="FW139" s="7">
        <f>COUNTBLANK(AnalizaCzyste[Zdobyte przez studentów ocenianej uczelni wykształcenie miało/ma pozytywny wpływ na ich zarobki.28])</f>
        <v>131</v>
      </c>
      <c r="FX139" s="7">
        <f>COUNTBLANK(AnalizaCzyste[Efekty działań ocenianej uczelni na rzecz jakości edukacji mają dobry wpływ na rozwój regionu.29])</f>
        <v>131</v>
      </c>
      <c r="FY139" s="7">
        <f>COUNTBLANK(AnalizaCzyste[Efekty działań ocenianej uczelni na rzecz jakości edukacji mają dobry wpływ na rozwój Polski.30])</f>
        <v>131</v>
      </c>
      <c r="FZ139" s="7">
        <f>COUNTBLANK(AnalizaCzyste[Współpraca ocenianej uczelni z biznesem ma pozytywne efekty dla rozwoju regionu / kraju.31])</f>
        <v>131</v>
      </c>
      <c r="GA139" s="7">
        <f>COUNTBLANK(AnalizaCzyste[Ogólny poziom mojej satysfakcji z jakości usług edukacyjnych ocenianej uczelni jest wysoki.32])</f>
        <v>131</v>
      </c>
      <c r="GB139" s="7">
        <f>COUNTBLANK(AnalizaCzyste[Pole dodatkowe33])</f>
        <v>133</v>
      </c>
      <c r="GC139" s="7">
        <f>COUNTBLANK(AnalizaCzyste[Jakie inne efekty pracy ocenianej uczelni technicznej dostrzegasz obecnie?])</f>
        <v>132</v>
      </c>
      <c r="GD139" s="7">
        <f>COUNTBLANK(AnalizaCzyste[Czy będziesz oceniać drugą uczelnię?])</f>
        <v>131</v>
      </c>
      <c r="GE139" s="7">
        <f>COUNTBLANK(AnalizaCzyste[Jak się nazywa uczelnia, którą ocenisz?34])</f>
        <v>133</v>
      </c>
      <c r="GF139" s="7">
        <f>COUNTBLANK(AnalizaCzyste[Efekty działań ocenianej uczelni na rzesz jakości edukacji są zgodne ze strategią rozwoju w regionie.35])</f>
        <v>133</v>
      </c>
      <c r="GG139" s="7">
        <f>COUNTBLANK(AnalizaCzyste[Wartość wykształcenia zdobywanego przez studentów na ocenianej uczelni jest wysoka.36])</f>
        <v>133</v>
      </c>
      <c r="GH139" s="7">
        <f>COUNTBLANK(AnalizaCzyste[Zdobyte przez studentów ocenianej uczelni wykształcenie miało/ma pozytywny wpływ na ich zarobki.37])</f>
        <v>133</v>
      </c>
      <c r="GI139" s="7">
        <f>COUNTBLANK(AnalizaCzyste[Efekty działań ocenianej uczelni na rzecz jakości edukacji mają dobry wpływ na rozwój regionu.38])</f>
        <v>133</v>
      </c>
      <c r="GJ139" s="7">
        <f>COUNTBLANK(AnalizaCzyste[Efekty działań ocenianej uczelni na rzecz jakości edukacji mają dobry wpływ na rozwój Polski.39])</f>
        <v>133</v>
      </c>
      <c r="GK139" s="7">
        <f>COUNTBLANK(AnalizaCzyste[Współpraca ocenianej uczelni z biznesem ma pozytywne efekty dla rozwoju regionu / kraju.40])</f>
        <v>133</v>
      </c>
      <c r="GL139" s="7">
        <f>COUNTBLANK(AnalizaCzyste[Ogólny poziom mojej satysfakcji z jakości usług edukacyjnych ocenianej uczelni jest wysoki.41])</f>
        <v>133</v>
      </c>
      <c r="GM139" s="7">
        <f>COUNTBLANK(AnalizaCzyste[Jakie inne efekty pracy ocenianej uczelni dostrzegasz obecnie?])</f>
        <v>133</v>
      </c>
      <c r="GN139" s="7">
        <f>COUNTBLANK(AnalizaCzyste[Czy będziesz oceniać trzecią uczelnię?])</f>
        <v>133</v>
      </c>
      <c r="GO139" s="7">
        <f>COUNTBLANK(AnalizaCzyste[Jak się nazywa uczelnia, którą ocenisz?42])</f>
        <v>133</v>
      </c>
      <c r="GP139" s="7">
        <f>COUNTBLANK(AnalizaCzyste[Efekty działań ocenianej uczelni na rzesz jakości edukacji są zgodne ze strategią rozwoju w regionie.43])</f>
        <v>133</v>
      </c>
      <c r="GQ139" s="7">
        <f>COUNTBLANK(AnalizaCzyste[Wartość wykształcenia zdobywanego przez studentów na ocenianej uczelni jest wysoka.44])</f>
        <v>133</v>
      </c>
      <c r="GR139" s="7">
        <f>COUNTBLANK(AnalizaCzyste[Zdobyte przez studentów ocenianej uczelni wykształcenie miało/ma pozytywny wpływ na ich zarobki.45])</f>
        <v>133</v>
      </c>
      <c r="GS139" s="7">
        <f>COUNTBLANK(AnalizaCzyste[Efekty działań ocenianej uczelni na rzecz jakości edukacji mają dobry wpływ na rozwój regionu.46])</f>
        <v>133</v>
      </c>
      <c r="GT139" s="7">
        <f>COUNTBLANK(AnalizaCzyste[Efekty działań ocenianej uczelni na rzecz jakości edukacji mają dobry wpływ na rozwój Polski.47])</f>
        <v>133</v>
      </c>
      <c r="GU139" s="7">
        <f>COUNTBLANK(AnalizaCzyste[Współpraca ocenianej uczelni z biznesem ma pozytywne efekty dla rozwoju regionu / kraju.48])</f>
        <v>133</v>
      </c>
      <c r="GV139" s="7">
        <f>COUNTBLANK(AnalizaCzyste[Ogólny poziom mojej satysfakcji z jakości usług edukacyjnych ocenianej uczelni jest wysoki.49])</f>
        <v>133</v>
      </c>
      <c r="GW139" s="7">
        <f>COUNTBLANK(AnalizaCzyste[Jakie inne efekty pracy ocenianej uczelni dostrzegasz obecnie?50])</f>
        <v>133</v>
      </c>
      <c r="GX139" s="7">
        <f>COUNTBLANK(AnalizaCzyste[Jakie, Twoim zdaniem, elementy decydują o tym, że uczelnie są lepsze lub gorsze.])</f>
        <v>1</v>
      </c>
      <c r="GY139" s="7">
        <f>COUNTBLANK(AnalizaCzyste[Kolumna51])</f>
        <v>1</v>
      </c>
      <c r="GZ139" s="7">
        <f>COUNTBLANK(AnalizaCzyste[Kolumna52])</f>
        <v>1</v>
      </c>
      <c r="HA139" s="7">
        <f>COUNTBLANK(AnalizaCzyste[Płeć])</f>
        <v>0</v>
      </c>
      <c r="HB139" s="7">
        <f>COUNTBLANK(AnalizaCzyste[Rok urodzenia])</f>
        <v>0</v>
      </c>
      <c r="HC139" s="7"/>
      <c r="HD139" s="7">
        <f>COUNTBLANK(AnalizaCzyste[Z jakiej wielkości miejscowości pochodzisz? (dotyczy miejscowości, w której się wychowałaś/eś])</f>
        <v>0</v>
      </c>
    </row>
    <row r="140" spans="1:216" ht="14.65" thickBot="1" x14ac:dyDescent="0.5">
      <c r="O140">
        <f>SUM(O137:O139)</f>
        <v>133</v>
      </c>
      <c r="P140">
        <f t="shared" ref="P140:CB140" si="8">SUM(P137:P139)</f>
        <v>133</v>
      </c>
      <c r="Q140">
        <f t="shared" si="8"/>
        <v>0</v>
      </c>
      <c r="R140">
        <f t="shared" si="8"/>
        <v>0</v>
      </c>
      <c r="S140">
        <f t="shared" si="8"/>
        <v>0</v>
      </c>
      <c r="T140">
        <f t="shared" si="8"/>
        <v>0</v>
      </c>
      <c r="U140">
        <f t="shared" si="8"/>
        <v>0</v>
      </c>
      <c r="V140">
        <f t="shared" si="8"/>
        <v>0</v>
      </c>
      <c r="W140">
        <f t="shared" si="8"/>
        <v>0</v>
      </c>
      <c r="X140">
        <f t="shared" si="8"/>
        <v>0</v>
      </c>
      <c r="Y140">
        <f t="shared" si="8"/>
        <v>0</v>
      </c>
      <c r="Z140">
        <f t="shared" si="8"/>
        <v>0</v>
      </c>
      <c r="AA140">
        <f t="shared" si="8"/>
        <v>0</v>
      </c>
      <c r="AB140">
        <f t="shared" si="8"/>
        <v>0</v>
      </c>
      <c r="AC140">
        <f t="shared" si="8"/>
        <v>0</v>
      </c>
      <c r="AD140">
        <f t="shared" si="8"/>
        <v>0</v>
      </c>
      <c r="AE140">
        <f t="shared" si="8"/>
        <v>0</v>
      </c>
      <c r="AF140">
        <f t="shared" si="8"/>
        <v>133</v>
      </c>
      <c r="AG140">
        <f t="shared" si="8"/>
        <v>0</v>
      </c>
      <c r="AI140">
        <f t="shared" si="8"/>
        <v>0</v>
      </c>
      <c r="AJ140">
        <f t="shared" si="8"/>
        <v>0</v>
      </c>
      <c r="AK140">
        <f t="shared" si="8"/>
        <v>0</v>
      </c>
      <c r="AL140">
        <f t="shared" si="8"/>
        <v>0</v>
      </c>
      <c r="AM140">
        <f t="shared" si="8"/>
        <v>0</v>
      </c>
      <c r="AN140">
        <f t="shared" si="8"/>
        <v>0</v>
      </c>
      <c r="AO140">
        <f t="shared" si="8"/>
        <v>0</v>
      </c>
      <c r="AP140">
        <f t="shared" si="8"/>
        <v>0</v>
      </c>
      <c r="AQ140">
        <f t="shared" si="8"/>
        <v>0</v>
      </c>
      <c r="AR140">
        <f t="shared" si="8"/>
        <v>0</v>
      </c>
      <c r="AS140">
        <f t="shared" si="8"/>
        <v>0</v>
      </c>
      <c r="AT140">
        <f t="shared" si="8"/>
        <v>0</v>
      </c>
      <c r="AU140">
        <f t="shared" si="8"/>
        <v>0</v>
      </c>
      <c r="AV140">
        <f t="shared" si="8"/>
        <v>0</v>
      </c>
      <c r="AW140">
        <f t="shared" si="8"/>
        <v>0</v>
      </c>
      <c r="AX140">
        <f t="shared" si="8"/>
        <v>0</v>
      </c>
      <c r="AY140">
        <f t="shared" si="8"/>
        <v>133</v>
      </c>
      <c r="AZ140">
        <f t="shared" si="8"/>
        <v>0</v>
      </c>
      <c r="BA140">
        <f t="shared" si="8"/>
        <v>0</v>
      </c>
      <c r="BB140">
        <f t="shared" si="8"/>
        <v>0</v>
      </c>
      <c r="BC140">
        <f t="shared" si="8"/>
        <v>0</v>
      </c>
      <c r="BD140">
        <f t="shared" si="8"/>
        <v>0</v>
      </c>
      <c r="BE140">
        <f t="shared" si="8"/>
        <v>0</v>
      </c>
      <c r="BF140">
        <f t="shared" si="8"/>
        <v>0</v>
      </c>
      <c r="BG140">
        <f t="shared" si="8"/>
        <v>0</v>
      </c>
      <c r="BH140">
        <f t="shared" si="8"/>
        <v>0</v>
      </c>
      <c r="BI140">
        <f t="shared" si="8"/>
        <v>0</v>
      </c>
      <c r="BJ140">
        <f t="shared" si="8"/>
        <v>0</v>
      </c>
      <c r="BK140">
        <f t="shared" si="8"/>
        <v>0</v>
      </c>
      <c r="BL140">
        <f t="shared" si="8"/>
        <v>0</v>
      </c>
      <c r="BM140">
        <f t="shared" si="8"/>
        <v>0</v>
      </c>
      <c r="BN140">
        <f t="shared" si="8"/>
        <v>0</v>
      </c>
      <c r="BO140">
        <f t="shared" si="8"/>
        <v>0</v>
      </c>
      <c r="BP140">
        <f t="shared" si="8"/>
        <v>0</v>
      </c>
      <c r="BQ140">
        <f t="shared" si="8"/>
        <v>0</v>
      </c>
      <c r="BR140">
        <f t="shared" si="8"/>
        <v>0</v>
      </c>
      <c r="BS140">
        <f t="shared" si="8"/>
        <v>0</v>
      </c>
      <c r="BT140">
        <f t="shared" si="8"/>
        <v>0</v>
      </c>
      <c r="BU140">
        <f t="shared" si="8"/>
        <v>0</v>
      </c>
      <c r="BV140">
        <f t="shared" si="8"/>
        <v>0</v>
      </c>
      <c r="BW140">
        <f t="shared" si="8"/>
        <v>0</v>
      </c>
      <c r="BX140">
        <f t="shared" si="8"/>
        <v>0</v>
      </c>
      <c r="BY140">
        <f t="shared" si="8"/>
        <v>0</v>
      </c>
      <c r="BZ140">
        <f t="shared" si="8"/>
        <v>0</v>
      </c>
      <c r="CA140">
        <f t="shared" si="8"/>
        <v>0</v>
      </c>
      <c r="CB140">
        <f t="shared" si="8"/>
        <v>0</v>
      </c>
      <c r="CC140">
        <f t="shared" ref="CC140:DM140" si="9">SUM(CC137:CC139)</f>
        <v>0</v>
      </c>
      <c r="CD140">
        <f t="shared" si="9"/>
        <v>0</v>
      </c>
      <c r="CE140">
        <f t="shared" si="9"/>
        <v>0</v>
      </c>
      <c r="CF140">
        <f t="shared" si="9"/>
        <v>0</v>
      </c>
      <c r="CG140">
        <f t="shared" si="9"/>
        <v>0</v>
      </c>
      <c r="CH140">
        <f t="shared" si="9"/>
        <v>0</v>
      </c>
      <c r="CI140">
        <f t="shared" si="9"/>
        <v>0</v>
      </c>
      <c r="CJ140">
        <f t="shared" si="9"/>
        <v>0</v>
      </c>
      <c r="CK140">
        <f t="shared" si="9"/>
        <v>0</v>
      </c>
      <c r="CL140">
        <f t="shared" si="9"/>
        <v>0</v>
      </c>
      <c r="CM140">
        <f t="shared" si="9"/>
        <v>0</v>
      </c>
      <c r="CN140">
        <f t="shared" si="9"/>
        <v>0</v>
      </c>
      <c r="CO140">
        <f t="shared" si="9"/>
        <v>0</v>
      </c>
      <c r="CP140">
        <f t="shared" si="9"/>
        <v>0</v>
      </c>
      <c r="CQ140">
        <f t="shared" si="9"/>
        <v>0</v>
      </c>
      <c r="CR140">
        <f t="shared" si="9"/>
        <v>0</v>
      </c>
      <c r="CS140">
        <f t="shared" si="9"/>
        <v>133</v>
      </c>
      <c r="CT140">
        <f t="shared" si="9"/>
        <v>0</v>
      </c>
      <c r="CU140">
        <f t="shared" si="9"/>
        <v>0</v>
      </c>
      <c r="CV140">
        <f t="shared" si="9"/>
        <v>0</v>
      </c>
      <c r="CW140">
        <f t="shared" si="9"/>
        <v>0</v>
      </c>
      <c r="CX140">
        <f t="shared" si="9"/>
        <v>0</v>
      </c>
      <c r="CY140">
        <f t="shared" si="9"/>
        <v>0</v>
      </c>
      <c r="CZ140">
        <f t="shared" si="9"/>
        <v>0</v>
      </c>
      <c r="DA140">
        <f t="shared" si="9"/>
        <v>0</v>
      </c>
      <c r="DB140">
        <f t="shared" si="9"/>
        <v>0</v>
      </c>
      <c r="DC140">
        <f t="shared" si="9"/>
        <v>133</v>
      </c>
      <c r="DD140">
        <f t="shared" si="9"/>
        <v>0</v>
      </c>
      <c r="DE140">
        <f t="shared" si="9"/>
        <v>0</v>
      </c>
      <c r="DF140">
        <f t="shared" si="9"/>
        <v>0</v>
      </c>
      <c r="DG140">
        <f t="shared" si="9"/>
        <v>0</v>
      </c>
      <c r="DH140">
        <f t="shared" si="9"/>
        <v>0</v>
      </c>
      <c r="DI140">
        <f t="shared" si="9"/>
        <v>0</v>
      </c>
      <c r="DJ140">
        <f t="shared" si="9"/>
        <v>0</v>
      </c>
      <c r="DK140">
        <f t="shared" si="9"/>
        <v>0</v>
      </c>
      <c r="DL140">
        <f t="shared" si="9"/>
        <v>0</v>
      </c>
      <c r="DM140">
        <f t="shared" si="9"/>
        <v>133</v>
      </c>
      <c r="DN140">
        <f>SUM(DN137:DN139)</f>
        <v>0</v>
      </c>
      <c r="DO140">
        <f t="shared" ref="DO140:FZ140" si="10">SUM(DO137:DO139)</f>
        <v>0</v>
      </c>
      <c r="DP140">
        <f t="shared" si="10"/>
        <v>0</v>
      </c>
      <c r="DQ140">
        <f t="shared" si="10"/>
        <v>0</v>
      </c>
      <c r="DR140">
        <f t="shared" si="10"/>
        <v>0</v>
      </c>
      <c r="DS140">
        <f t="shared" si="10"/>
        <v>0</v>
      </c>
      <c r="DT140">
        <f t="shared" si="10"/>
        <v>0</v>
      </c>
      <c r="DU140">
        <f t="shared" si="10"/>
        <v>0</v>
      </c>
      <c r="DV140">
        <f t="shared" si="10"/>
        <v>0</v>
      </c>
      <c r="DW140">
        <f t="shared" si="10"/>
        <v>0</v>
      </c>
      <c r="DX140">
        <f t="shared" si="10"/>
        <v>0</v>
      </c>
      <c r="DY140">
        <f t="shared" si="10"/>
        <v>0</v>
      </c>
      <c r="DZ140">
        <f t="shared" si="10"/>
        <v>0</v>
      </c>
      <c r="EA140">
        <f t="shared" si="10"/>
        <v>0</v>
      </c>
      <c r="EB140">
        <f t="shared" si="10"/>
        <v>0</v>
      </c>
      <c r="EC140">
        <f t="shared" si="10"/>
        <v>0</v>
      </c>
      <c r="ED140">
        <f t="shared" si="10"/>
        <v>0</v>
      </c>
      <c r="EE140">
        <f t="shared" si="10"/>
        <v>0</v>
      </c>
      <c r="EF140">
        <f t="shared" si="10"/>
        <v>0</v>
      </c>
      <c r="EG140">
        <f t="shared" si="10"/>
        <v>0</v>
      </c>
      <c r="EH140">
        <f t="shared" si="10"/>
        <v>0</v>
      </c>
      <c r="EI140">
        <f t="shared" si="10"/>
        <v>0</v>
      </c>
      <c r="EJ140">
        <f t="shared" si="10"/>
        <v>0</v>
      </c>
      <c r="EK140">
        <f t="shared" si="10"/>
        <v>0</v>
      </c>
      <c r="EL140">
        <f t="shared" si="10"/>
        <v>0</v>
      </c>
      <c r="EM140">
        <f t="shared" si="10"/>
        <v>0</v>
      </c>
      <c r="EN140">
        <f t="shared" si="10"/>
        <v>0</v>
      </c>
      <c r="EO140">
        <f t="shared" si="10"/>
        <v>0</v>
      </c>
      <c r="EP140">
        <f t="shared" si="10"/>
        <v>133</v>
      </c>
      <c r="EQ140">
        <f t="shared" si="10"/>
        <v>0</v>
      </c>
      <c r="ER140">
        <f t="shared" si="10"/>
        <v>0</v>
      </c>
      <c r="ES140">
        <f t="shared" si="10"/>
        <v>0</v>
      </c>
      <c r="ET140">
        <f t="shared" si="10"/>
        <v>0</v>
      </c>
      <c r="EU140">
        <f t="shared" si="10"/>
        <v>0</v>
      </c>
      <c r="EV140">
        <f t="shared" si="10"/>
        <v>0</v>
      </c>
      <c r="EW140">
        <f t="shared" si="10"/>
        <v>0</v>
      </c>
      <c r="EX140">
        <f t="shared" si="10"/>
        <v>0</v>
      </c>
      <c r="EY140">
        <f t="shared" si="10"/>
        <v>0</v>
      </c>
      <c r="EZ140">
        <f t="shared" si="10"/>
        <v>0</v>
      </c>
      <c r="FA140">
        <f t="shared" si="10"/>
        <v>0</v>
      </c>
      <c r="FB140">
        <f t="shared" si="10"/>
        <v>0</v>
      </c>
      <c r="FC140">
        <f t="shared" si="10"/>
        <v>0</v>
      </c>
      <c r="FD140">
        <f t="shared" si="10"/>
        <v>0</v>
      </c>
      <c r="FE140">
        <f t="shared" si="10"/>
        <v>0</v>
      </c>
      <c r="FF140">
        <f t="shared" si="10"/>
        <v>0</v>
      </c>
      <c r="FG140">
        <f t="shared" si="10"/>
        <v>0</v>
      </c>
      <c r="FH140">
        <f t="shared" si="10"/>
        <v>0</v>
      </c>
      <c r="FI140">
        <f t="shared" si="10"/>
        <v>0</v>
      </c>
      <c r="FJ140">
        <f t="shared" si="10"/>
        <v>0</v>
      </c>
      <c r="FK140">
        <f t="shared" si="10"/>
        <v>0</v>
      </c>
      <c r="FL140">
        <f t="shared" si="10"/>
        <v>0</v>
      </c>
      <c r="FM140">
        <f t="shared" si="10"/>
        <v>0</v>
      </c>
      <c r="FN140">
        <f t="shared" si="10"/>
        <v>0</v>
      </c>
      <c r="FO140">
        <f t="shared" si="10"/>
        <v>0</v>
      </c>
      <c r="FP140">
        <f t="shared" si="10"/>
        <v>133</v>
      </c>
      <c r="FQ140">
        <f t="shared" si="10"/>
        <v>66</v>
      </c>
      <c r="FR140">
        <f t="shared" si="10"/>
        <v>131</v>
      </c>
      <c r="FS140">
        <f t="shared" si="10"/>
        <v>96</v>
      </c>
      <c r="FT140">
        <f t="shared" si="10"/>
        <v>131</v>
      </c>
      <c r="FU140">
        <f t="shared" si="10"/>
        <v>131</v>
      </c>
      <c r="FV140">
        <f t="shared" si="10"/>
        <v>131</v>
      </c>
      <c r="FW140">
        <f t="shared" si="10"/>
        <v>131</v>
      </c>
      <c r="FX140">
        <f t="shared" si="10"/>
        <v>131</v>
      </c>
      <c r="FY140">
        <f t="shared" si="10"/>
        <v>131</v>
      </c>
      <c r="FZ140">
        <f t="shared" si="10"/>
        <v>131</v>
      </c>
      <c r="GA140">
        <f t="shared" ref="GA140:HA140" si="11">SUM(GA137:GA139)</f>
        <v>131</v>
      </c>
      <c r="GB140">
        <f t="shared" si="11"/>
        <v>133</v>
      </c>
      <c r="GC140">
        <f t="shared" si="11"/>
        <v>132</v>
      </c>
      <c r="GD140">
        <f t="shared" si="11"/>
        <v>133</v>
      </c>
      <c r="GE140">
        <f t="shared" si="11"/>
        <v>133</v>
      </c>
      <c r="GF140">
        <f t="shared" si="11"/>
        <v>133</v>
      </c>
      <c r="GG140">
        <f t="shared" si="11"/>
        <v>133</v>
      </c>
      <c r="GH140">
        <f t="shared" si="11"/>
        <v>133</v>
      </c>
      <c r="GI140">
        <f t="shared" si="11"/>
        <v>133</v>
      </c>
      <c r="GJ140">
        <f t="shared" si="11"/>
        <v>133</v>
      </c>
      <c r="GK140">
        <f t="shared" si="11"/>
        <v>133</v>
      </c>
      <c r="GL140">
        <f t="shared" si="11"/>
        <v>133</v>
      </c>
      <c r="GM140">
        <f t="shared" si="11"/>
        <v>133</v>
      </c>
      <c r="GN140">
        <f t="shared" si="11"/>
        <v>133</v>
      </c>
      <c r="GO140">
        <f t="shared" si="11"/>
        <v>133</v>
      </c>
      <c r="GP140">
        <f t="shared" si="11"/>
        <v>133</v>
      </c>
      <c r="GQ140">
        <f t="shared" si="11"/>
        <v>133</v>
      </c>
      <c r="GR140">
        <f t="shared" si="11"/>
        <v>133</v>
      </c>
      <c r="GS140">
        <f t="shared" si="11"/>
        <v>133</v>
      </c>
      <c r="GT140">
        <f t="shared" si="11"/>
        <v>133</v>
      </c>
      <c r="GU140">
        <f t="shared" si="11"/>
        <v>133</v>
      </c>
      <c r="GV140">
        <f t="shared" si="11"/>
        <v>133</v>
      </c>
      <c r="GW140">
        <f t="shared" si="11"/>
        <v>133</v>
      </c>
      <c r="GX140">
        <f t="shared" si="11"/>
        <v>6</v>
      </c>
      <c r="GY140">
        <f t="shared" si="11"/>
        <v>11</v>
      </c>
      <c r="GZ140">
        <f t="shared" si="11"/>
        <v>4</v>
      </c>
      <c r="HA140">
        <f t="shared" si="11"/>
        <v>133</v>
      </c>
      <c r="HB140">
        <f>SUM(HB136,HB139)</f>
        <v>133</v>
      </c>
      <c r="HD140">
        <f>SUM(HD136,HD139)</f>
        <v>133</v>
      </c>
    </row>
    <row r="141" spans="1:216" ht="14.65" thickTop="1" x14ac:dyDescent="0.45">
      <c r="P141" s="7"/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97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2347</v>
      </c>
    </row>
    <row r="174" spans="2:210" x14ac:dyDescent="0.45">
      <c r="P174" t="s">
        <v>2348</v>
      </c>
    </row>
    <row r="175" spans="2:210" x14ac:dyDescent="0.45">
      <c r="P175" t="s">
        <v>2345</v>
      </c>
    </row>
    <row r="176" spans="2:210" x14ac:dyDescent="0.45">
      <c r="P176" t="s">
        <v>2349</v>
      </c>
    </row>
    <row r="177" spans="16:16" x14ac:dyDescent="0.45">
      <c r="P177" t="s">
        <v>2350</v>
      </c>
    </row>
    <row r="178" spans="16:16" x14ac:dyDescent="0.45">
      <c r="P178" t="s">
        <v>2345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96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2341</v>
      </c>
    </row>
    <row r="275" spans="14:15" x14ac:dyDescent="0.45">
      <c r="N275" t="s">
        <v>2342</v>
      </c>
    </row>
    <row r="276" spans="14:15" x14ac:dyDescent="0.45">
      <c r="N276" t="s">
        <v>2345</v>
      </c>
      <c r="O276" s="30">
        <f>138/259</f>
        <v>0.53281853281853286</v>
      </c>
    </row>
    <row r="277" spans="14:15" x14ac:dyDescent="0.45">
      <c r="N277" t="s">
        <v>2344</v>
      </c>
    </row>
    <row r="278" spans="14:15" x14ac:dyDescent="0.45">
      <c r="N278" t="s">
        <v>2343</v>
      </c>
    </row>
    <row r="279" spans="14:15" x14ac:dyDescent="0.45">
      <c r="N279" t="s">
        <v>2345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95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G62"/>
  <sheetViews>
    <sheetView topLeftCell="A37" workbookViewId="0">
      <selection activeCell="B45" sqref="B45:C52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</cols>
  <sheetData>
    <row r="2" spans="2:3" x14ac:dyDescent="0.45">
      <c r="B2" s="20" t="s">
        <v>2319</v>
      </c>
      <c r="C2" s="20" t="s">
        <v>2312</v>
      </c>
    </row>
    <row r="3" spans="2:3" x14ac:dyDescent="0.45">
      <c r="B3">
        <v>1930</v>
      </c>
      <c r="C3" s="20" t="s">
        <v>2318</v>
      </c>
    </row>
    <row r="4" spans="2:3" x14ac:dyDescent="0.45">
      <c r="B4">
        <v>1955</v>
      </c>
      <c r="C4" s="20" t="s">
        <v>2317</v>
      </c>
    </row>
    <row r="5" spans="2:3" x14ac:dyDescent="0.45">
      <c r="B5">
        <v>1965</v>
      </c>
      <c r="C5" s="20" t="s">
        <v>2316</v>
      </c>
    </row>
    <row r="6" spans="2:3" x14ac:dyDescent="0.45">
      <c r="B6">
        <v>1975</v>
      </c>
      <c r="C6" s="20" t="s">
        <v>2315</v>
      </c>
    </row>
    <row r="7" spans="2:3" x14ac:dyDescent="0.45">
      <c r="B7">
        <v>1985</v>
      </c>
      <c r="C7" s="20" t="s">
        <v>2314</v>
      </c>
    </row>
    <row r="8" spans="2:3" x14ac:dyDescent="0.45">
      <c r="B8">
        <v>1995</v>
      </c>
      <c r="C8" s="20" t="s">
        <v>2313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2323</v>
      </c>
      <c r="C11" s="20" t="s">
        <v>2328</v>
      </c>
    </row>
    <row r="12" spans="2:3" x14ac:dyDescent="0.45">
      <c r="B12" s="28" t="s">
        <v>987</v>
      </c>
      <c r="C12" s="20" t="s">
        <v>2327</v>
      </c>
    </row>
    <row r="13" spans="2:3" x14ac:dyDescent="0.45">
      <c r="B13" s="28" t="s">
        <v>1503</v>
      </c>
      <c r="C13" s="20" t="s">
        <v>2325</v>
      </c>
    </row>
    <row r="14" spans="2:3" x14ac:dyDescent="0.45">
      <c r="B14" s="28" t="s">
        <v>234</v>
      </c>
      <c r="C14" s="20" t="s">
        <v>2325</v>
      </c>
    </row>
    <row r="15" spans="2:3" ht="28.5" x14ac:dyDescent="0.45">
      <c r="B15" s="28" t="s">
        <v>2270</v>
      </c>
      <c r="C15" s="20" t="s">
        <v>2325</v>
      </c>
    </row>
    <row r="16" spans="2:3" x14ac:dyDescent="0.45">
      <c r="B16" s="28" t="s">
        <v>2269</v>
      </c>
      <c r="C16" s="20" t="s">
        <v>2325</v>
      </c>
    </row>
    <row r="17" spans="2:3" ht="28.5" x14ac:dyDescent="0.45">
      <c r="B17" s="28" t="s">
        <v>2268</v>
      </c>
      <c r="C17" s="20" t="s">
        <v>2325</v>
      </c>
    </row>
    <row r="18" spans="2:3" x14ac:dyDescent="0.45">
      <c r="B18" s="28" t="s">
        <v>995</v>
      </c>
      <c r="C18" s="20" t="s">
        <v>2325</v>
      </c>
    </row>
    <row r="19" spans="2:3" x14ac:dyDescent="0.45">
      <c r="B19" s="28" t="s">
        <v>1461</v>
      </c>
      <c r="C19" s="20" t="s">
        <v>2325</v>
      </c>
    </row>
    <row r="20" spans="2:3" x14ac:dyDescent="0.45">
      <c r="B20" s="28" t="s">
        <v>428</v>
      </c>
      <c r="C20" s="20" t="s">
        <v>2325</v>
      </c>
    </row>
    <row r="21" spans="2:3" x14ac:dyDescent="0.45">
      <c r="B21" s="28" t="s">
        <v>191</v>
      </c>
      <c r="C21" s="20" t="s">
        <v>2325</v>
      </c>
    </row>
    <row r="22" spans="2:3" x14ac:dyDescent="0.45">
      <c r="B22" s="28" t="s">
        <v>2322</v>
      </c>
      <c r="C22" s="20" t="s">
        <v>2325</v>
      </c>
    </row>
    <row r="23" spans="2:3" x14ac:dyDescent="0.45">
      <c r="B23" s="28" t="s">
        <v>1415</v>
      </c>
      <c r="C23" s="20" t="s">
        <v>2325</v>
      </c>
    </row>
    <row r="24" spans="2:3" x14ac:dyDescent="0.45">
      <c r="B24" s="28" t="s">
        <v>1090</v>
      </c>
      <c r="C24" s="20" t="s">
        <v>2325</v>
      </c>
    </row>
    <row r="25" spans="2:3" x14ac:dyDescent="0.45">
      <c r="B25" s="28" t="s">
        <v>862</v>
      </c>
      <c r="C25" s="20" t="s">
        <v>2325</v>
      </c>
    </row>
    <row r="26" spans="2:3" x14ac:dyDescent="0.45">
      <c r="B26" s="28" t="s">
        <v>1290</v>
      </c>
      <c r="C26" s="20" t="s">
        <v>2327</v>
      </c>
    </row>
    <row r="27" spans="2:3" x14ac:dyDescent="0.45">
      <c r="B27" s="28" t="s">
        <v>1514</v>
      </c>
      <c r="C27" s="20" t="s">
        <v>2326</v>
      </c>
    </row>
    <row r="28" spans="2:3" ht="28.5" x14ac:dyDescent="0.45">
      <c r="B28" s="28" t="s">
        <v>2271</v>
      </c>
      <c r="C28" s="20" t="s">
        <v>2325</v>
      </c>
    </row>
    <row r="29" spans="2:3" ht="28.5" x14ac:dyDescent="0.45">
      <c r="B29" s="28" t="s">
        <v>553</v>
      </c>
      <c r="C29" s="20" t="s">
        <v>2325</v>
      </c>
    </row>
    <row r="30" spans="2:3" ht="28.5" x14ac:dyDescent="0.45">
      <c r="B30" s="28" t="s">
        <v>1472</v>
      </c>
      <c r="C30" s="20" t="s">
        <v>2325</v>
      </c>
    </row>
    <row r="31" spans="2:3" x14ac:dyDescent="0.45">
      <c r="B31" s="28" t="s">
        <v>223</v>
      </c>
      <c r="C31" s="20" t="s">
        <v>2325</v>
      </c>
    </row>
    <row r="32" spans="2:3" x14ac:dyDescent="0.45">
      <c r="B32" s="28" t="s">
        <v>445</v>
      </c>
      <c r="C32" s="20" t="s">
        <v>2325</v>
      </c>
    </row>
    <row r="33" spans="2:3" ht="28.5" x14ac:dyDescent="0.45">
      <c r="B33" s="28" t="s">
        <v>2272</v>
      </c>
      <c r="C33" s="20" t="s">
        <v>2325</v>
      </c>
    </row>
    <row r="34" spans="2:3" x14ac:dyDescent="0.45">
      <c r="B34" s="28" t="s">
        <v>813</v>
      </c>
      <c r="C34" s="20" t="s">
        <v>2325</v>
      </c>
    </row>
    <row r="35" spans="2:3" x14ac:dyDescent="0.45">
      <c r="B35" s="28" t="s">
        <v>1712</v>
      </c>
      <c r="C35" s="20" t="s">
        <v>2325</v>
      </c>
    </row>
    <row r="36" spans="2:3" ht="28.5" x14ac:dyDescent="0.45">
      <c r="B36" s="28" t="s">
        <v>1636</v>
      </c>
      <c r="C36" s="20" t="s">
        <v>2325</v>
      </c>
    </row>
    <row r="37" spans="2:3" x14ac:dyDescent="0.45">
      <c r="B37" s="28" t="s">
        <v>975</v>
      </c>
      <c r="C37" s="20" t="s">
        <v>2325</v>
      </c>
    </row>
    <row r="38" spans="2:3" x14ac:dyDescent="0.45">
      <c r="B38" s="28" t="s">
        <v>701</v>
      </c>
      <c r="C38" s="20" t="s">
        <v>2325</v>
      </c>
    </row>
    <row r="39" spans="2:3" x14ac:dyDescent="0.45">
      <c r="B39" s="28" t="s">
        <v>800</v>
      </c>
      <c r="C39" s="20" t="s">
        <v>2325</v>
      </c>
    </row>
    <row r="40" spans="2:3" x14ac:dyDescent="0.45">
      <c r="B40" s="28" t="s">
        <v>160</v>
      </c>
      <c r="C40" s="20" t="s">
        <v>2325</v>
      </c>
    </row>
    <row r="41" spans="2:3" x14ac:dyDescent="0.45">
      <c r="B41" s="28" t="s">
        <v>1439</v>
      </c>
      <c r="C41" s="20" t="s">
        <v>2327</v>
      </c>
    </row>
    <row r="43" spans="2:3" x14ac:dyDescent="0.45">
      <c r="B43" s="29" t="s">
        <v>2332</v>
      </c>
    </row>
    <row r="44" spans="2:3" x14ac:dyDescent="0.45">
      <c r="B44" s="20" t="s">
        <v>2334</v>
      </c>
      <c r="C44" s="20" t="s">
        <v>2335</v>
      </c>
    </row>
    <row r="45" spans="2:3" x14ac:dyDescent="0.45">
      <c r="B45" t="s">
        <v>169</v>
      </c>
      <c r="C45">
        <v>7</v>
      </c>
    </row>
    <row r="46" spans="2:3" x14ac:dyDescent="0.45">
      <c r="B46" t="s">
        <v>150</v>
      </c>
      <c r="C46">
        <v>6</v>
      </c>
    </row>
    <row r="47" spans="2:3" x14ac:dyDescent="0.45">
      <c r="B47" t="s">
        <v>162</v>
      </c>
      <c r="C47">
        <v>5</v>
      </c>
    </row>
    <row r="48" spans="2:3" x14ac:dyDescent="0.45">
      <c r="B48" t="s">
        <v>151</v>
      </c>
      <c r="C48">
        <v>4</v>
      </c>
    </row>
    <row r="49" spans="2:7" x14ac:dyDescent="0.45">
      <c r="B49" t="s">
        <v>128</v>
      </c>
      <c r="C49">
        <v>3</v>
      </c>
    </row>
    <row r="50" spans="2:7" x14ac:dyDescent="0.45">
      <c r="B50" t="s">
        <v>236</v>
      </c>
      <c r="C50">
        <v>2</v>
      </c>
    </row>
    <row r="51" spans="2:7" x14ac:dyDescent="0.45">
      <c r="B51" t="s">
        <v>129</v>
      </c>
      <c r="C51">
        <v>1</v>
      </c>
    </row>
    <row r="52" spans="2:7" x14ac:dyDescent="0.45">
      <c r="B52" t="s">
        <v>132</v>
      </c>
      <c r="C52" s="20" t="s">
        <v>2333</v>
      </c>
    </row>
    <row r="57" spans="2:7" x14ac:dyDescent="0.45">
      <c r="G57" s="44" t="s">
        <v>398</v>
      </c>
    </row>
    <row r="58" spans="2:7" x14ac:dyDescent="0.45">
      <c r="G58" s="45" t="s">
        <v>141</v>
      </c>
    </row>
    <row r="59" spans="2:7" x14ac:dyDescent="0.45">
      <c r="G59" s="45" t="s">
        <v>483</v>
      </c>
    </row>
    <row r="60" spans="2:7" x14ac:dyDescent="0.45">
      <c r="G60" s="45" t="s">
        <v>246</v>
      </c>
    </row>
    <row r="61" spans="2:7" x14ac:dyDescent="0.45">
      <c r="G61" s="45" t="s">
        <v>220</v>
      </c>
    </row>
    <row r="62" spans="2:7" x14ac:dyDescent="0.45">
      <c r="G62" s="45" t="s">
        <v>1630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PivotCzyste</vt:lpstr>
      <vt:lpstr>Ankiety_analiza(czyszczone)</vt:lpstr>
      <vt:lpstr>PivotNieCzyszczone</vt:lpstr>
      <vt:lpstr>AnkietyNieOczyszczone</vt:lpstr>
      <vt:lpstr>Ankiety_wszystkie</vt:lpstr>
      <vt:lpstr>Ankiety_zakończone</vt:lpstr>
      <vt:lpstr>TabeleGrup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2023-02-10T21:20:24Z</dcterms:modified>
  <cp:category>wyniki indywidualne</cp:category>
</cp:coreProperties>
</file>