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259706ED-8CC9-4128-BE7B-AF6AEF8173C0}" xr6:coauthVersionLast="47" xr6:coauthVersionMax="47" xr10:uidLastSave="{00000000-0000-0000-0000-000000000000}"/>
  <bookViews>
    <workbookView xWindow="855" yWindow="-98" windowWidth="23243" windowHeight="13695" activeTab="3" xr2:uid="{A740BA3C-F861-4639-9BDD-A999A472C642}"/>
  </bookViews>
  <sheets>
    <sheet name="Zestawienia" sheetId="7" r:id="rId1"/>
    <sheet name="Pivot" sheetId="9" r:id="rId2"/>
    <sheet name="Ankiety_analiza(czyszczone)" sheetId="5" r:id="rId3"/>
    <sheet name="TabeleGrup" sheetId="8" r:id="rId4"/>
    <sheet name="PivotCzyste" sheetId="6" r:id="rId5"/>
    <sheet name="PivotNieCzyszczone" sheetId="4" r:id="rId6"/>
    <sheet name="AnkietyNieOczyszczone" sheetId="3" r:id="rId7"/>
    <sheet name="Ankiety_wszystkie" sheetId="1" r:id="rId8"/>
    <sheet name="Ankiety_zakończone" sheetId="2" r:id="rId9"/>
  </sheets>
  <calcPr calcId="191029"/>
  <pivotCaches>
    <pivotCache cacheId="0" r:id="rId10"/>
    <pivotCache cacheId="1" r:id="rId11"/>
  </pivotCaches>
</workbook>
</file>

<file path=xl/calcChain.xml><?xml version="1.0" encoding="utf-8"?>
<calcChain xmlns="http://schemas.openxmlformats.org/spreadsheetml/2006/main">
  <c r="BM3" i="5" l="1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9" i="5"/>
  <c r="BM60" i="5"/>
  <c r="BM61" i="5"/>
  <c r="BM62" i="5"/>
  <c r="BM63" i="5"/>
  <c r="BM64" i="5"/>
  <c r="BM65" i="5"/>
  <c r="BM66" i="5"/>
  <c r="BM67" i="5"/>
  <c r="BM68" i="5"/>
  <c r="BM69" i="5"/>
  <c r="BM70" i="5"/>
  <c r="BM71" i="5"/>
  <c r="BM72" i="5"/>
  <c r="BM73" i="5"/>
  <c r="BM74" i="5"/>
  <c r="BM75" i="5"/>
  <c r="BM76" i="5"/>
  <c r="BM77" i="5"/>
  <c r="BM78" i="5"/>
  <c r="BM79" i="5"/>
  <c r="BM80" i="5"/>
  <c r="BM81" i="5"/>
  <c r="BM82" i="5"/>
  <c r="BM83" i="5"/>
  <c r="BM84" i="5"/>
  <c r="BM85" i="5"/>
  <c r="BM86" i="5"/>
  <c r="BM87" i="5"/>
  <c r="BM88" i="5"/>
  <c r="BM89" i="5"/>
  <c r="BM90" i="5"/>
  <c r="BM91" i="5"/>
  <c r="BM92" i="5"/>
  <c r="BM93" i="5"/>
  <c r="BM94" i="5"/>
  <c r="BM95" i="5"/>
  <c r="BM96" i="5"/>
  <c r="BM97" i="5"/>
  <c r="BM98" i="5"/>
  <c r="BM99" i="5"/>
  <c r="BM100" i="5"/>
  <c r="BM101" i="5"/>
  <c r="BM102" i="5"/>
  <c r="BM103" i="5"/>
  <c r="BM104" i="5"/>
  <c r="BM105" i="5"/>
  <c r="BM106" i="5"/>
  <c r="BM107" i="5"/>
  <c r="BM108" i="5"/>
  <c r="BM109" i="5"/>
  <c r="BM110" i="5"/>
  <c r="BM111" i="5"/>
  <c r="BM112" i="5"/>
  <c r="BM113" i="5"/>
  <c r="BM114" i="5"/>
  <c r="BM115" i="5"/>
  <c r="BM116" i="5"/>
  <c r="BM117" i="5"/>
  <c r="BM118" i="5"/>
  <c r="BM119" i="5"/>
  <c r="BM120" i="5"/>
  <c r="BM121" i="5"/>
  <c r="BM122" i="5"/>
  <c r="BM123" i="5"/>
  <c r="BM124" i="5"/>
  <c r="BM125" i="5"/>
  <c r="BM126" i="5"/>
  <c r="BM127" i="5"/>
  <c r="BM128" i="5"/>
  <c r="BM129" i="5"/>
  <c r="BM130" i="5"/>
  <c r="BM131" i="5"/>
  <c r="BM132" i="5"/>
  <c r="BM133" i="5"/>
  <c r="BM134" i="5"/>
  <c r="BM135" i="5"/>
  <c r="GN9" i="5"/>
  <c r="GN15" i="5"/>
  <c r="GN20" i="5"/>
  <c r="GN21" i="5"/>
  <c r="GN3" i="5"/>
  <c r="GN22" i="5"/>
  <c r="GN23" i="5"/>
  <c r="GN6" i="5"/>
  <c r="GN24" i="5"/>
  <c r="GN25" i="5"/>
  <c r="GN26" i="5"/>
  <c r="GN27" i="5"/>
  <c r="GN28" i="5"/>
  <c r="GN29" i="5"/>
  <c r="GN10" i="5"/>
  <c r="GN11" i="5"/>
  <c r="GN30" i="5"/>
  <c r="GN4" i="5"/>
  <c r="GN7" i="5"/>
  <c r="GN31" i="5"/>
  <c r="GN32" i="5"/>
  <c r="GN5" i="5"/>
  <c r="GN33" i="5"/>
  <c r="GN34" i="5"/>
  <c r="GN12" i="5"/>
  <c r="GN13" i="5"/>
  <c r="GN35" i="5"/>
  <c r="GN36" i="5"/>
  <c r="GN37" i="5"/>
  <c r="GN38" i="5"/>
  <c r="GN16" i="5"/>
  <c r="GN14" i="5"/>
  <c r="GN39" i="5"/>
  <c r="GN17" i="5"/>
  <c r="GN40" i="5"/>
  <c r="GN41" i="5"/>
  <c r="GN42" i="5"/>
  <c r="GN43" i="5"/>
  <c r="GN44" i="5"/>
  <c r="GN45" i="5"/>
  <c r="GN46" i="5"/>
  <c r="GN47" i="5"/>
  <c r="GN48" i="5"/>
  <c r="GN18" i="5"/>
  <c r="GN49" i="5"/>
  <c r="GN50" i="5"/>
  <c r="GN51" i="5"/>
  <c r="GN52" i="5"/>
  <c r="GN53" i="5"/>
  <c r="GN54" i="5"/>
  <c r="GN55" i="5"/>
  <c r="GN56" i="5"/>
  <c r="GN57" i="5"/>
  <c r="GN58" i="5"/>
  <c r="GN59" i="5"/>
  <c r="GN60" i="5"/>
  <c r="GN61" i="5"/>
  <c r="GN62" i="5"/>
  <c r="GN63" i="5"/>
  <c r="GN64" i="5"/>
  <c r="GN65" i="5"/>
  <c r="GN66" i="5"/>
  <c r="GN67" i="5"/>
  <c r="GN68" i="5"/>
  <c r="GN69" i="5"/>
  <c r="GN70" i="5"/>
  <c r="GN71" i="5"/>
  <c r="GN72" i="5"/>
  <c r="GN73" i="5"/>
  <c r="GN74" i="5"/>
  <c r="GN75" i="5"/>
  <c r="GN76" i="5"/>
  <c r="GN77" i="5"/>
  <c r="GN78" i="5"/>
  <c r="GN79" i="5"/>
  <c r="GN80" i="5"/>
  <c r="GN81" i="5"/>
  <c r="GN82" i="5"/>
  <c r="GN83" i="5"/>
  <c r="GN84" i="5"/>
  <c r="GN85" i="5"/>
  <c r="GN86" i="5"/>
  <c r="GN87" i="5"/>
  <c r="GN88" i="5"/>
  <c r="GN89" i="5"/>
  <c r="GN90" i="5"/>
  <c r="GN91" i="5"/>
  <c r="GN92" i="5"/>
  <c r="GN93" i="5"/>
  <c r="GN94" i="5"/>
  <c r="GN95" i="5"/>
  <c r="GN96" i="5"/>
  <c r="GN97" i="5"/>
  <c r="GN98" i="5"/>
  <c r="GN99" i="5"/>
  <c r="GN100" i="5"/>
  <c r="GN101" i="5"/>
  <c r="GN102" i="5"/>
  <c r="GN8" i="5"/>
  <c r="GN103" i="5"/>
  <c r="GN104" i="5"/>
  <c r="GN105" i="5"/>
  <c r="GN106" i="5"/>
  <c r="GN107" i="5"/>
  <c r="GN108" i="5"/>
  <c r="GN109" i="5"/>
  <c r="GN110" i="5"/>
  <c r="GN19" i="5"/>
  <c r="GN111" i="5"/>
  <c r="GN112" i="5"/>
  <c r="GN113" i="5"/>
  <c r="GN114" i="5"/>
  <c r="GN115" i="5"/>
  <c r="GN116" i="5"/>
  <c r="GN117" i="5"/>
  <c r="GN118" i="5"/>
  <c r="GN119" i="5"/>
  <c r="GN120" i="5"/>
  <c r="GN121" i="5"/>
  <c r="GN122" i="5"/>
  <c r="GN123" i="5"/>
  <c r="GN124" i="5"/>
  <c r="GN125" i="5"/>
  <c r="GN126" i="5"/>
  <c r="GN127" i="5"/>
  <c r="GN128" i="5"/>
  <c r="GN129" i="5"/>
  <c r="GN130" i="5"/>
  <c r="GN131" i="5"/>
  <c r="GN132" i="5"/>
  <c r="GN133" i="5"/>
  <c r="GN134" i="5"/>
  <c r="GN135" i="5"/>
  <c r="FF20" i="5"/>
  <c r="FF21" i="5"/>
  <c r="FF3" i="5"/>
  <c r="FF22" i="5"/>
  <c r="FF23" i="5"/>
  <c r="FF6" i="5"/>
  <c r="FF24" i="5"/>
  <c r="FF25" i="5"/>
  <c r="FF26" i="5"/>
  <c r="FF27" i="5"/>
  <c r="FF28" i="5"/>
  <c r="FF29" i="5"/>
  <c r="FF10" i="5"/>
  <c r="FF11" i="5"/>
  <c r="FF30" i="5"/>
  <c r="FF4" i="5"/>
  <c r="FF7" i="5"/>
  <c r="FF31" i="5"/>
  <c r="FF32" i="5"/>
  <c r="FF5" i="5"/>
  <c r="FF33" i="5"/>
  <c r="FF34" i="5"/>
  <c r="FF12" i="5"/>
  <c r="FF13" i="5"/>
  <c r="FF35" i="5"/>
  <c r="FF36" i="5"/>
  <c r="FF37" i="5"/>
  <c r="FF38" i="5"/>
  <c r="FF16" i="5"/>
  <c r="FF14" i="5"/>
  <c r="FF39" i="5"/>
  <c r="FF17" i="5"/>
  <c r="FF40" i="5"/>
  <c r="FF41" i="5"/>
  <c r="FF42" i="5"/>
  <c r="FF43" i="5"/>
  <c r="FF44" i="5"/>
  <c r="FF45" i="5"/>
  <c r="FF46" i="5"/>
  <c r="FF47" i="5"/>
  <c r="FF48" i="5"/>
  <c r="FF18" i="5"/>
  <c r="FF49" i="5"/>
  <c r="FF50" i="5"/>
  <c r="FF51" i="5"/>
  <c r="FF52" i="5"/>
  <c r="FF53" i="5"/>
  <c r="FF54" i="5"/>
  <c r="FF55" i="5"/>
  <c r="FF56" i="5"/>
  <c r="FF57" i="5"/>
  <c r="FF58" i="5"/>
  <c r="FF59" i="5"/>
  <c r="FF60" i="5"/>
  <c r="FF61" i="5"/>
  <c r="FF62" i="5"/>
  <c r="FF63" i="5"/>
  <c r="FF64" i="5"/>
  <c r="FF65" i="5"/>
  <c r="FF66" i="5"/>
  <c r="FF67" i="5"/>
  <c r="FF68" i="5"/>
  <c r="FF69" i="5"/>
  <c r="FF70" i="5"/>
  <c r="FF71" i="5"/>
  <c r="FF72" i="5"/>
  <c r="FF73" i="5"/>
  <c r="FF74" i="5"/>
  <c r="FF75" i="5"/>
  <c r="FF76" i="5"/>
  <c r="FF77" i="5"/>
  <c r="FF78" i="5"/>
  <c r="FF79" i="5"/>
  <c r="FF80" i="5"/>
  <c r="FF81" i="5"/>
  <c r="FF82" i="5"/>
  <c r="FF83" i="5"/>
  <c r="FF84" i="5"/>
  <c r="FF85" i="5"/>
  <c r="FF86" i="5"/>
  <c r="FF87" i="5"/>
  <c r="FF88" i="5"/>
  <c r="FF89" i="5"/>
  <c r="FF90" i="5"/>
  <c r="FF91" i="5"/>
  <c r="FF92" i="5"/>
  <c r="FF93" i="5"/>
  <c r="FF94" i="5"/>
  <c r="FF95" i="5"/>
  <c r="FF96" i="5"/>
  <c r="FF97" i="5"/>
  <c r="FF15" i="5"/>
  <c r="FF9" i="5"/>
  <c r="FF98" i="5"/>
  <c r="FF99" i="5"/>
  <c r="FF100" i="5"/>
  <c r="FF101" i="5"/>
  <c r="FF102" i="5"/>
  <c r="FF8" i="5"/>
  <c r="FF103" i="5"/>
  <c r="FF104" i="5"/>
  <c r="FF105" i="5"/>
  <c r="FF106" i="5"/>
  <c r="FF107" i="5"/>
  <c r="FF108" i="5"/>
  <c r="FF109" i="5"/>
  <c r="FF110" i="5"/>
  <c r="FF19" i="5"/>
  <c r="FF111" i="5"/>
  <c r="FF112" i="5"/>
  <c r="FF113" i="5"/>
  <c r="FF114" i="5"/>
  <c r="FF115" i="5"/>
  <c r="FF116" i="5"/>
  <c r="FF117" i="5"/>
  <c r="FF118" i="5"/>
  <c r="FF119" i="5"/>
  <c r="FF120" i="5"/>
  <c r="FF121" i="5"/>
  <c r="FF122" i="5"/>
  <c r="FF123" i="5"/>
  <c r="FF124" i="5"/>
  <c r="FF125" i="5"/>
  <c r="FF126" i="5"/>
  <c r="FF127" i="5"/>
  <c r="FF128" i="5"/>
  <c r="FF129" i="5"/>
  <c r="FF130" i="5"/>
  <c r="FF131" i="5"/>
  <c r="FF132" i="5"/>
  <c r="FF133" i="5"/>
  <c r="FF134" i="5"/>
  <c r="FF135" i="5"/>
  <c r="EJ5" i="5"/>
  <c r="EJ33" i="5"/>
  <c r="EJ34" i="5"/>
  <c r="EJ7" i="5"/>
  <c r="EJ12" i="5"/>
  <c r="EJ13" i="5"/>
  <c r="EJ29" i="5"/>
  <c r="EJ31" i="5"/>
  <c r="EJ10" i="5"/>
  <c r="EJ35" i="5"/>
  <c r="EJ11" i="5"/>
  <c r="EJ36" i="5"/>
  <c r="EJ37" i="5"/>
  <c r="EJ25" i="5"/>
  <c r="EJ38" i="5"/>
  <c r="EJ16" i="5"/>
  <c r="EJ14" i="5"/>
  <c r="EJ39" i="5"/>
  <c r="EJ17" i="5"/>
  <c r="EJ40" i="5"/>
  <c r="EJ41" i="5"/>
  <c r="EJ20" i="5"/>
  <c r="EJ42" i="5"/>
  <c r="EJ43" i="5"/>
  <c r="EJ44" i="5"/>
  <c r="EJ45" i="5"/>
  <c r="EJ46" i="5"/>
  <c r="EJ47" i="5"/>
  <c r="EJ48" i="5"/>
  <c r="EJ18" i="5"/>
  <c r="EJ49" i="5"/>
  <c r="EJ50" i="5"/>
  <c r="EJ51" i="5"/>
  <c r="EJ52" i="5"/>
  <c r="EJ53" i="5"/>
  <c r="EJ54" i="5"/>
  <c r="EJ55" i="5"/>
  <c r="EJ56" i="5"/>
  <c r="EJ57" i="5"/>
  <c r="EJ58" i="5"/>
  <c r="EJ59" i="5"/>
  <c r="EJ60" i="5"/>
  <c r="EJ61" i="5"/>
  <c r="EJ62" i="5"/>
  <c r="EJ63" i="5"/>
  <c r="EJ64" i="5"/>
  <c r="EJ65" i="5"/>
  <c r="EJ21" i="5"/>
  <c r="EJ26" i="5"/>
  <c r="EJ23" i="5"/>
  <c r="EJ27" i="5"/>
  <c r="EJ32" i="5"/>
  <c r="EJ66" i="5"/>
  <c r="EJ67" i="5"/>
  <c r="EJ68" i="5"/>
  <c r="EJ69" i="5"/>
  <c r="EJ70" i="5"/>
  <c r="EJ71" i="5"/>
  <c r="EJ72" i="5"/>
  <c r="EJ73" i="5"/>
  <c r="EJ74" i="5"/>
  <c r="EJ75" i="5"/>
  <c r="EJ76" i="5"/>
  <c r="EJ77" i="5"/>
  <c r="EJ78" i="5"/>
  <c r="EJ79" i="5"/>
  <c r="EJ80" i="5"/>
  <c r="EJ81" i="5"/>
  <c r="EJ82" i="5"/>
  <c r="EJ83" i="5"/>
  <c r="EJ84" i="5"/>
  <c r="EJ85" i="5"/>
  <c r="EJ86" i="5"/>
  <c r="EJ87" i="5"/>
  <c r="EJ88" i="5"/>
  <c r="EJ22" i="5"/>
  <c r="EJ89" i="5"/>
  <c r="EJ90" i="5"/>
  <c r="EJ91" i="5"/>
  <c r="EJ92" i="5"/>
  <c r="EJ93" i="5"/>
  <c r="EJ94" i="5"/>
  <c r="EJ95" i="5"/>
  <c r="EJ96" i="5"/>
  <c r="EJ97" i="5"/>
  <c r="EJ15" i="5"/>
  <c r="EJ9" i="5"/>
  <c r="EJ3" i="5"/>
  <c r="EJ6" i="5"/>
  <c r="EJ30" i="5"/>
  <c r="EJ4" i="5"/>
  <c r="EJ24" i="5"/>
  <c r="EJ98" i="5"/>
  <c r="EJ99" i="5"/>
  <c r="EJ100" i="5"/>
  <c r="EJ101" i="5"/>
  <c r="EJ102" i="5"/>
  <c r="EJ8" i="5"/>
  <c r="EJ103" i="5"/>
  <c r="EJ104" i="5"/>
  <c r="EJ105" i="5"/>
  <c r="EJ106" i="5"/>
  <c r="EJ107" i="5"/>
  <c r="EJ108" i="5"/>
  <c r="EJ109" i="5"/>
  <c r="EJ110" i="5"/>
  <c r="EJ19" i="5"/>
  <c r="EJ111" i="5"/>
  <c r="EJ112" i="5"/>
  <c r="EJ113" i="5"/>
  <c r="EJ114" i="5"/>
  <c r="EJ115" i="5"/>
  <c r="EJ116" i="5"/>
  <c r="EJ117" i="5"/>
  <c r="EJ118" i="5"/>
  <c r="EJ119" i="5"/>
  <c r="EJ120" i="5"/>
  <c r="EJ121" i="5"/>
  <c r="EJ122" i="5"/>
  <c r="EJ123" i="5"/>
  <c r="EJ124" i="5"/>
  <c r="EJ125" i="5"/>
  <c r="EJ126" i="5"/>
  <c r="EJ127" i="5"/>
  <c r="EJ128" i="5"/>
  <c r="EJ129" i="5"/>
  <c r="EJ130" i="5"/>
  <c r="EJ131" i="5"/>
  <c r="EJ132" i="5"/>
  <c r="EJ133" i="5"/>
  <c r="EJ134" i="5"/>
  <c r="EJ135" i="5"/>
  <c r="EJ28" i="5"/>
  <c r="DP13" i="5"/>
  <c r="DP29" i="5"/>
  <c r="DP31" i="5"/>
  <c r="DP10" i="5"/>
  <c r="DP34" i="5"/>
  <c r="DP35" i="5"/>
  <c r="DP11" i="5"/>
  <c r="DP5" i="5"/>
  <c r="DP36" i="5"/>
  <c r="DP37" i="5"/>
  <c r="DP25" i="5"/>
  <c r="DP38" i="5"/>
  <c r="DP16" i="5"/>
  <c r="DP14" i="5"/>
  <c r="DP39" i="5"/>
  <c r="DP17" i="5"/>
  <c r="DP40" i="5"/>
  <c r="DP41" i="5"/>
  <c r="DP20" i="5"/>
  <c r="DP42" i="5"/>
  <c r="DP43" i="5"/>
  <c r="DP44" i="5"/>
  <c r="DP45" i="5"/>
  <c r="DP46" i="5"/>
  <c r="DP47" i="5"/>
  <c r="DP48" i="5"/>
  <c r="DP18" i="5"/>
  <c r="DP49" i="5"/>
  <c r="DP50" i="5"/>
  <c r="DP51" i="5"/>
  <c r="DP52" i="5"/>
  <c r="DP53" i="5"/>
  <c r="DP54" i="5"/>
  <c r="DP55" i="5"/>
  <c r="DP56" i="5"/>
  <c r="DP57" i="5"/>
  <c r="DP58" i="5"/>
  <c r="DP59" i="5"/>
  <c r="DP60" i="5"/>
  <c r="DP61" i="5"/>
  <c r="DP62" i="5"/>
  <c r="DP63" i="5"/>
  <c r="DP64" i="5"/>
  <c r="DP65" i="5"/>
  <c r="DP21" i="5"/>
  <c r="DP26" i="5"/>
  <c r="DP23" i="5"/>
  <c r="DP27" i="5"/>
  <c r="DP32" i="5"/>
  <c r="DP66" i="5"/>
  <c r="DP67" i="5"/>
  <c r="DP68" i="5"/>
  <c r="DP69" i="5"/>
  <c r="DP70" i="5"/>
  <c r="DP71" i="5"/>
  <c r="DP72" i="5"/>
  <c r="DP73" i="5"/>
  <c r="DP74" i="5"/>
  <c r="DP75" i="5"/>
  <c r="DP76" i="5"/>
  <c r="DP77" i="5"/>
  <c r="DP78" i="5"/>
  <c r="DP79" i="5"/>
  <c r="DP80" i="5"/>
  <c r="DP81" i="5"/>
  <c r="DP82" i="5"/>
  <c r="DP83" i="5"/>
  <c r="DP84" i="5"/>
  <c r="DP85" i="5"/>
  <c r="DP86" i="5"/>
  <c r="DP87" i="5"/>
  <c r="DP88" i="5"/>
  <c r="DP22" i="5"/>
  <c r="DP33" i="5"/>
  <c r="DP89" i="5"/>
  <c r="DP90" i="5"/>
  <c r="DP91" i="5"/>
  <c r="DP92" i="5"/>
  <c r="DP93" i="5"/>
  <c r="DP94" i="5"/>
  <c r="DP95" i="5"/>
  <c r="DP96" i="5"/>
  <c r="DP97" i="5"/>
  <c r="DP15" i="5"/>
  <c r="DP9" i="5"/>
  <c r="DP3" i="5"/>
  <c r="DP6" i="5"/>
  <c r="DP30" i="5"/>
  <c r="DP4" i="5"/>
  <c r="DP7" i="5"/>
  <c r="DP24" i="5"/>
  <c r="DP12" i="5"/>
  <c r="DP98" i="5"/>
  <c r="DP99" i="5"/>
  <c r="DP100" i="5"/>
  <c r="DP101" i="5"/>
  <c r="DP102" i="5"/>
  <c r="DP8" i="5"/>
  <c r="DP103" i="5"/>
  <c r="DP104" i="5"/>
  <c r="DP105" i="5"/>
  <c r="DP106" i="5"/>
  <c r="DP107" i="5"/>
  <c r="DP108" i="5"/>
  <c r="DP109" i="5"/>
  <c r="DP110" i="5"/>
  <c r="DP19" i="5"/>
  <c r="DP111" i="5"/>
  <c r="DP112" i="5"/>
  <c r="DP113" i="5"/>
  <c r="DP114" i="5"/>
  <c r="DP115" i="5"/>
  <c r="DP116" i="5"/>
  <c r="DP117" i="5"/>
  <c r="DP118" i="5"/>
  <c r="DP119" i="5"/>
  <c r="DP120" i="5"/>
  <c r="DP121" i="5"/>
  <c r="DP122" i="5"/>
  <c r="DP123" i="5"/>
  <c r="DP124" i="5"/>
  <c r="DP125" i="5"/>
  <c r="DP126" i="5"/>
  <c r="DP127" i="5"/>
  <c r="DP128" i="5"/>
  <c r="DP129" i="5"/>
  <c r="DP130" i="5"/>
  <c r="DP131" i="5"/>
  <c r="DP132" i="5"/>
  <c r="DP133" i="5"/>
  <c r="DP134" i="5"/>
  <c r="DP135" i="5"/>
  <c r="DP28" i="5"/>
  <c r="DE10" i="5"/>
  <c r="DE34" i="5"/>
  <c r="DE40" i="5"/>
  <c r="DE41" i="5"/>
  <c r="DE20" i="5"/>
  <c r="DE42" i="5"/>
  <c r="DE43" i="5"/>
  <c r="DE44" i="5"/>
  <c r="DE45" i="5"/>
  <c r="DE46" i="5"/>
  <c r="DE47" i="5"/>
  <c r="DE48" i="5"/>
  <c r="DE18" i="5"/>
  <c r="DE49" i="5"/>
  <c r="DE50" i="5"/>
  <c r="DE51" i="5"/>
  <c r="DE52" i="5"/>
  <c r="DE53" i="5"/>
  <c r="DE31" i="5"/>
  <c r="DE54" i="5"/>
  <c r="DE55" i="5"/>
  <c r="DE56" i="5"/>
  <c r="DE57" i="5"/>
  <c r="DE58" i="5"/>
  <c r="DE59" i="5"/>
  <c r="DE60" i="5"/>
  <c r="DE61" i="5"/>
  <c r="DE62" i="5"/>
  <c r="DE63" i="5"/>
  <c r="DE64" i="5"/>
  <c r="DE65" i="5"/>
  <c r="DE25" i="5"/>
  <c r="DE21" i="5"/>
  <c r="DE26" i="5"/>
  <c r="DE23" i="5"/>
  <c r="DE27" i="5"/>
  <c r="DE32" i="5"/>
  <c r="DE13" i="5"/>
  <c r="DE35" i="5"/>
  <c r="DE38" i="5"/>
  <c r="DE66" i="5"/>
  <c r="DE67" i="5"/>
  <c r="DE68" i="5"/>
  <c r="DE69" i="5"/>
  <c r="DE70" i="5"/>
  <c r="DE71" i="5"/>
  <c r="DE72" i="5"/>
  <c r="DE73" i="5"/>
  <c r="DE74" i="5"/>
  <c r="DE75" i="5"/>
  <c r="DE76" i="5"/>
  <c r="DE77" i="5"/>
  <c r="DE78" i="5"/>
  <c r="DE79" i="5"/>
  <c r="DE80" i="5"/>
  <c r="DE81" i="5"/>
  <c r="DE82" i="5"/>
  <c r="DE83" i="5"/>
  <c r="DE84" i="5"/>
  <c r="DE85" i="5"/>
  <c r="DE86" i="5"/>
  <c r="DE87" i="5"/>
  <c r="DE88" i="5"/>
  <c r="DE22" i="5"/>
  <c r="DE11" i="5"/>
  <c r="DE33" i="5"/>
  <c r="DE5" i="5"/>
  <c r="DE16" i="5"/>
  <c r="DE14" i="5"/>
  <c r="DE36" i="5"/>
  <c r="DE89" i="5"/>
  <c r="DE90" i="5"/>
  <c r="DE91" i="5"/>
  <c r="DE92" i="5"/>
  <c r="DE93" i="5"/>
  <c r="DE94" i="5"/>
  <c r="DE95" i="5"/>
  <c r="DE96" i="5"/>
  <c r="DE97" i="5"/>
  <c r="DE15" i="5"/>
  <c r="DE9" i="5"/>
  <c r="DE3" i="5"/>
  <c r="DE6" i="5"/>
  <c r="DE30" i="5"/>
  <c r="DE4" i="5"/>
  <c r="DE7" i="5"/>
  <c r="DE24" i="5"/>
  <c r="DE12" i="5"/>
  <c r="DE39" i="5"/>
  <c r="DE17" i="5"/>
  <c r="DE37" i="5"/>
  <c r="DE98" i="5"/>
  <c r="DE99" i="5"/>
  <c r="DE100" i="5"/>
  <c r="DE101" i="5"/>
  <c r="DE102" i="5"/>
  <c r="DE8" i="5"/>
  <c r="DE103" i="5"/>
  <c r="DE104" i="5"/>
  <c r="DE105" i="5"/>
  <c r="DE106" i="5"/>
  <c r="DE107" i="5"/>
  <c r="DE108" i="5"/>
  <c r="DE109" i="5"/>
  <c r="DE110" i="5"/>
  <c r="DE19" i="5"/>
  <c r="DE111" i="5"/>
  <c r="DE112" i="5"/>
  <c r="DE113" i="5"/>
  <c r="DE114" i="5"/>
  <c r="DE115" i="5"/>
  <c r="DE116" i="5"/>
  <c r="DE117" i="5"/>
  <c r="DE118" i="5"/>
  <c r="DE119" i="5"/>
  <c r="DE120" i="5"/>
  <c r="DE121" i="5"/>
  <c r="DE122" i="5"/>
  <c r="DE123" i="5"/>
  <c r="DE124" i="5"/>
  <c r="DE125" i="5"/>
  <c r="DE126" i="5"/>
  <c r="DE127" i="5"/>
  <c r="DE128" i="5"/>
  <c r="DE129" i="5"/>
  <c r="DE130" i="5"/>
  <c r="DE131" i="5"/>
  <c r="DE132" i="5"/>
  <c r="DE133" i="5"/>
  <c r="DE134" i="5"/>
  <c r="DE135" i="5"/>
  <c r="DE28" i="5"/>
  <c r="DE29" i="5"/>
  <c r="AQ125" i="5"/>
  <c r="AQ126" i="5"/>
  <c r="AQ127" i="5"/>
  <c r="AQ128" i="5"/>
  <c r="AQ129" i="5"/>
  <c r="AQ130" i="5"/>
  <c r="AQ131" i="5"/>
  <c r="AQ132" i="5"/>
  <c r="AQ49" i="5"/>
  <c r="AQ133" i="5"/>
  <c r="AQ65" i="5"/>
  <c r="AQ134" i="5"/>
  <c r="AQ135" i="5"/>
  <c r="AQ97" i="5"/>
  <c r="AQ15" i="5"/>
  <c r="AQ9" i="5"/>
  <c r="AQ3" i="5"/>
  <c r="AQ6" i="5"/>
  <c r="AQ25" i="5"/>
  <c r="AQ31" i="5"/>
  <c r="AQ22" i="5"/>
  <c r="AQ21" i="5"/>
  <c r="AQ11" i="5"/>
  <c r="AQ26" i="5"/>
  <c r="AQ30" i="5"/>
  <c r="AQ23" i="5"/>
  <c r="AQ4" i="5"/>
  <c r="AQ27" i="5"/>
  <c r="AQ7" i="5"/>
  <c r="AQ32" i="5"/>
  <c r="AQ24" i="5"/>
  <c r="AQ10" i="5"/>
  <c r="AQ20" i="5"/>
  <c r="AQ33" i="5"/>
  <c r="AQ34" i="5"/>
  <c r="AQ12" i="5"/>
  <c r="AQ5" i="5"/>
  <c r="AQ39" i="5"/>
  <c r="AQ13" i="5"/>
  <c r="AQ16" i="5"/>
  <c r="AQ17" i="5"/>
  <c r="AQ35" i="5"/>
  <c r="AQ38" i="5"/>
  <c r="AQ14" i="5"/>
  <c r="AQ37" i="5"/>
  <c r="AQ36" i="5"/>
  <c r="AQ28" i="5"/>
  <c r="AQ89" i="5"/>
  <c r="AQ98" i="5"/>
  <c r="AQ99" i="5"/>
  <c r="AQ66" i="5"/>
  <c r="AQ90" i="5"/>
  <c r="AQ67" i="5"/>
  <c r="AQ68" i="5"/>
  <c r="AQ100" i="5"/>
  <c r="AQ42" i="5"/>
  <c r="AQ101" i="5"/>
  <c r="AQ54" i="5"/>
  <c r="AQ102" i="5"/>
  <c r="AQ50" i="5"/>
  <c r="AQ69" i="5"/>
  <c r="AQ91" i="5"/>
  <c r="AQ51" i="5"/>
  <c r="AQ52" i="5"/>
  <c r="AQ70" i="5"/>
  <c r="AQ8" i="5"/>
  <c r="AQ88" i="5"/>
  <c r="AQ55" i="5"/>
  <c r="AQ71" i="5"/>
  <c r="AQ103" i="5"/>
  <c r="AQ104" i="5"/>
  <c r="AQ105" i="5"/>
  <c r="AQ106" i="5"/>
  <c r="AQ107" i="5"/>
  <c r="AQ29" i="5"/>
  <c r="AQ72" i="5"/>
  <c r="AQ73" i="5"/>
  <c r="AQ92" i="5"/>
  <c r="AQ74" i="5"/>
  <c r="AQ108" i="5"/>
  <c r="AQ109" i="5"/>
  <c r="AQ110" i="5"/>
  <c r="AQ19" i="5"/>
  <c r="AQ43" i="5"/>
  <c r="AQ75" i="5"/>
  <c r="AQ93" i="5"/>
  <c r="AQ111" i="5"/>
  <c r="AQ44" i="5"/>
  <c r="AQ56" i="5"/>
  <c r="AQ94" i="5"/>
  <c r="AQ112" i="5"/>
  <c r="AQ113" i="5"/>
  <c r="AQ76" i="5"/>
  <c r="AQ114" i="5"/>
  <c r="AQ77" i="5"/>
  <c r="AQ95" i="5"/>
  <c r="AQ57" i="5"/>
  <c r="AQ115" i="5"/>
  <c r="AQ116" i="5"/>
  <c r="AQ117" i="5"/>
  <c r="AQ45" i="5"/>
  <c r="AQ58" i="5"/>
  <c r="AQ46" i="5"/>
  <c r="AQ78" i="5"/>
  <c r="AQ79" i="5"/>
  <c r="AQ47" i="5"/>
  <c r="AQ80" i="5"/>
  <c r="AQ18" i="5"/>
  <c r="AQ81" i="5"/>
  <c r="AQ41" i="5"/>
  <c r="AQ59" i="5"/>
  <c r="AQ118" i="5"/>
  <c r="AQ119" i="5"/>
  <c r="AQ60" i="5"/>
  <c r="AQ61" i="5"/>
  <c r="AQ82" i="5"/>
  <c r="AQ83" i="5"/>
  <c r="AQ84" i="5"/>
  <c r="AQ40" i="5"/>
  <c r="AQ120" i="5"/>
  <c r="AQ96" i="5"/>
  <c r="AQ48" i="5"/>
  <c r="AQ85" i="5"/>
  <c r="AQ121" i="5"/>
  <c r="AQ86" i="5"/>
  <c r="AQ122" i="5"/>
  <c r="AQ62" i="5"/>
  <c r="AQ87" i="5"/>
  <c r="AQ123" i="5"/>
  <c r="AQ53" i="5"/>
  <c r="AQ124" i="5"/>
  <c r="AQ63" i="5"/>
  <c r="AQ64" i="5"/>
  <c r="V125" i="5"/>
  <c r="V126" i="5"/>
  <c r="V127" i="5"/>
  <c r="V128" i="5"/>
  <c r="V129" i="5"/>
  <c r="V130" i="5"/>
  <c r="V131" i="5"/>
  <c r="V132" i="5"/>
  <c r="V49" i="5"/>
  <c r="V133" i="5"/>
  <c r="V65" i="5"/>
  <c r="V134" i="5"/>
  <c r="V135" i="5"/>
  <c r="V97" i="5"/>
  <c r="V15" i="5"/>
  <c r="V9" i="5"/>
  <c r="V3" i="5"/>
  <c r="V6" i="5"/>
  <c r="V25" i="5"/>
  <c r="V31" i="5"/>
  <c r="V22" i="5"/>
  <c r="V21" i="5"/>
  <c r="V11" i="5"/>
  <c r="V26" i="5"/>
  <c r="V30" i="5"/>
  <c r="V23" i="5"/>
  <c r="V4" i="5"/>
  <c r="V27" i="5"/>
  <c r="V7" i="5"/>
  <c r="V32" i="5"/>
  <c r="V24" i="5"/>
  <c r="V10" i="5"/>
  <c r="V20" i="5"/>
  <c r="V33" i="5"/>
  <c r="V34" i="5"/>
  <c r="V12" i="5"/>
  <c r="V5" i="5"/>
  <c r="V39" i="5"/>
  <c r="V13" i="5"/>
  <c r="V16" i="5"/>
  <c r="V17" i="5"/>
  <c r="V35" i="5"/>
  <c r="V38" i="5"/>
  <c r="V14" i="5"/>
  <c r="V37" i="5"/>
  <c r="V36" i="5"/>
  <c r="V28" i="5"/>
  <c r="V89" i="5"/>
  <c r="V98" i="5"/>
  <c r="V99" i="5"/>
  <c r="V66" i="5"/>
  <c r="V90" i="5"/>
  <c r="V67" i="5"/>
  <c r="V68" i="5"/>
  <c r="V100" i="5"/>
  <c r="V42" i="5"/>
  <c r="V101" i="5"/>
  <c r="V54" i="5"/>
  <c r="V102" i="5"/>
  <c r="V50" i="5"/>
  <c r="V69" i="5"/>
  <c r="V91" i="5"/>
  <c r="V51" i="5"/>
  <c r="V52" i="5"/>
  <c r="V70" i="5"/>
  <c r="V8" i="5"/>
  <c r="V88" i="5"/>
  <c r="V55" i="5"/>
  <c r="V71" i="5"/>
  <c r="V103" i="5"/>
  <c r="V104" i="5"/>
  <c r="V105" i="5"/>
  <c r="V106" i="5"/>
  <c r="V107" i="5"/>
  <c r="V29" i="5"/>
  <c r="V72" i="5"/>
  <c r="V73" i="5"/>
  <c r="V92" i="5"/>
  <c r="V74" i="5"/>
  <c r="V108" i="5"/>
  <c r="V109" i="5"/>
  <c r="V110" i="5"/>
  <c r="V19" i="5"/>
  <c r="V43" i="5"/>
  <c r="V75" i="5"/>
  <c r="V93" i="5"/>
  <c r="V111" i="5"/>
  <c r="V44" i="5"/>
  <c r="V56" i="5"/>
  <c r="V94" i="5"/>
  <c r="V112" i="5"/>
  <c r="V113" i="5"/>
  <c r="V76" i="5"/>
  <c r="V114" i="5"/>
  <c r="V77" i="5"/>
  <c r="V95" i="5"/>
  <c r="V57" i="5"/>
  <c r="V115" i="5"/>
  <c r="V116" i="5"/>
  <c r="V117" i="5"/>
  <c r="V45" i="5"/>
  <c r="V58" i="5"/>
  <c r="V46" i="5"/>
  <c r="V78" i="5"/>
  <c r="V79" i="5"/>
  <c r="V47" i="5"/>
  <c r="V80" i="5"/>
  <c r="V18" i="5"/>
  <c r="V81" i="5"/>
  <c r="V41" i="5"/>
  <c r="V59" i="5"/>
  <c r="V118" i="5"/>
  <c r="V119" i="5"/>
  <c r="V60" i="5"/>
  <c r="V61" i="5"/>
  <c r="V82" i="5"/>
  <c r="V83" i="5"/>
  <c r="V84" i="5"/>
  <c r="V40" i="5"/>
  <c r="V120" i="5"/>
  <c r="V96" i="5"/>
  <c r="V48" i="5"/>
  <c r="V85" i="5"/>
  <c r="V121" i="5"/>
  <c r="V86" i="5"/>
  <c r="V122" i="5"/>
  <c r="V62" i="5"/>
  <c r="V87" i="5"/>
  <c r="V123" i="5"/>
  <c r="V53" i="5"/>
  <c r="V124" i="5"/>
  <c r="V63" i="5"/>
  <c r="V64" i="5"/>
  <c r="D177" i="8" l="1"/>
  <c r="E177" i="8"/>
  <c r="F177" i="8"/>
  <c r="G177" i="8"/>
  <c r="H177" i="8"/>
  <c r="I177" i="8"/>
  <c r="J177" i="8"/>
  <c r="M804" i="7"/>
  <c r="O804" i="7"/>
  <c r="M811" i="7"/>
  <c r="O811" i="7"/>
  <c r="S811" i="7"/>
  <c r="U811" i="7"/>
  <c r="S804" i="7"/>
  <c r="U804" i="7"/>
  <c r="G811" i="7"/>
  <c r="G804" i="7"/>
  <c r="I811" i="7"/>
  <c r="I804" i="7"/>
  <c r="G880" i="7"/>
  <c r="G875" i="7"/>
  <c r="C662" i="7"/>
  <c r="D178" i="8"/>
  <c r="E178" i="8"/>
  <c r="F178" i="8"/>
  <c r="G178" i="8"/>
  <c r="H178" i="8"/>
  <c r="I178" i="8"/>
  <c r="J178" i="8"/>
  <c r="D179" i="8"/>
  <c r="E179" i="8"/>
  <c r="F179" i="8"/>
  <c r="G179" i="8"/>
  <c r="H179" i="8"/>
  <c r="I179" i="8"/>
  <c r="J179" i="8"/>
  <c r="D180" i="8"/>
  <c r="E180" i="8"/>
  <c r="F180" i="8"/>
  <c r="G180" i="8"/>
  <c r="H180" i="8"/>
  <c r="I180" i="8"/>
  <c r="J180" i="8"/>
  <c r="D951" i="7"/>
  <c r="C951" i="7"/>
  <c r="L950" i="7"/>
  <c r="J950" i="7"/>
  <c r="F950" i="7"/>
  <c r="L949" i="7"/>
  <c r="J949" i="7"/>
  <c r="F949" i="7"/>
  <c r="L948" i="7"/>
  <c r="J948" i="7"/>
  <c r="F948" i="7"/>
  <c r="L947" i="7"/>
  <c r="J947" i="7"/>
  <c r="F947" i="7"/>
  <c r="L946" i="7"/>
  <c r="J946" i="7"/>
  <c r="F946" i="7"/>
  <c r="L945" i="7"/>
  <c r="J945" i="7"/>
  <c r="F945" i="7"/>
  <c r="L944" i="7"/>
  <c r="J944" i="7"/>
  <c r="F944" i="7"/>
  <c r="L943" i="7"/>
  <c r="J943" i="7"/>
  <c r="F943" i="7"/>
  <c r="L942" i="7"/>
  <c r="J942" i="7"/>
  <c r="F942" i="7"/>
  <c r="L941" i="7"/>
  <c r="J941" i="7"/>
  <c r="F941" i="7"/>
  <c r="L940" i="7"/>
  <c r="J940" i="7"/>
  <c r="F940" i="7"/>
  <c r="L939" i="7"/>
  <c r="J939" i="7"/>
  <c r="F939" i="7"/>
  <c r="L938" i="7"/>
  <c r="J938" i="7"/>
  <c r="F938" i="7"/>
  <c r="L937" i="7"/>
  <c r="J937" i="7"/>
  <c r="F937" i="7"/>
  <c r="L936" i="7"/>
  <c r="J936" i="7"/>
  <c r="F936" i="7"/>
  <c r="L935" i="7"/>
  <c r="J935" i="7"/>
  <c r="F935" i="7"/>
  <c r="L934" i="7"/>
  <c r="J934" i="7"/>
  <c r="F934" i="7"/>
  <c r="L933" i="7"/>
  <c r="J933" i="7"/>
  <c r="F933" i="7"/>
  <c r="L932" i="7"/>
  <c r="J932" i="7"/>
  <c r="F932" i="7"/>
  <c r="L931" i="7"/>
  <c r="J931" i="7"/>
  <c r="F931" i="7"/>
  <c r="L930" i="7"/>
  <c r="J930" i="7"/>
  <c r="F930" i="7"/>
  <c r="L929" i="7"/>
  <c r="J929" i="7"/>
  <c r="F929" i="7"/>
  <c r="L928" i="7"/>
  <c r="J928" i="7"/>
  <c r="F928" i="7"/>
  <c r="L927" i="7"/>
  <c r="J927" i="7"/>
  <c r="F927" i="7"/>
  <c r="L926" i="7"/>
  <c r="J926" i="7"/>
  <c r="F926" i="7"/>
  <c r="L925" i="7"/>
  <c r="J925" i="7"/>
  <c r="F925" i="7"/>
  <c r="L924" i="7"/>
  <c r="J924" i="7"/>
  <c r="F924" i="7"/>
  <c r="L923" i="7"/>
  <c r="J923" i="7"/>
  <c r="F923" i="7"/>
  <c r="L922" i="7"/>
  <c r="J922" i="7"/>
  <c r="F922" i="7"/>
  <c r="L921" i="7"/>
  <c r="J921" i="7"/>
  <c r="F921" i="7"/>
  <c r="L920" i="7"/>
  <c r="J920" i="7"/>
  <c r="F920" i="7"/>
  <c r="L919" i="7"/>
  <c r="J919" i="7"/>
  <c r="F919" i="7"/>
  <c r="L918" i="7"/>
  <c r="J918" i="7"/>
  <c r="F918" i="7"/>
  <c r="L917" i="7"/>
  <c r="J917" i="7"/>
  <c r="F917" i="7"/>
  <c r="L916" i="7"/>
  <c r="J916" i="7"/>
  <c r="F916" i="7"/>
  <c r="L915" i="7"/>
  <c r="J915" i="7"/>
  <c r="F915" i="7"/>
  <c r="L914" i="7"/>
  <c r="J914" i="7"/>
  <c r="F914" i="7"/>
  <c r="L913" i="7"/>
  <c r="J913" i="7"/>
  <c r="F913" i="7"/>
  <c r="L912" i="7"/>
  <c r="J912" i="7"/>
  <c r="F912" i="7"/>
  <c r="L911" i="7"/>
  <c r="J911" i="7"/>
  <c r="F911" i="7"/>
  <c r="L910" i="7"/>
  <c r="J910" i="7"/>
  <c r="F910" i="7"/>
  <c r="L909" i="7"/>
  <c r="J909" i="7"/>
  <c r="F909" i="7"/>
  <c r="L908" i="7"/>
  <c r="J908" i="7"/>
  <c r="F908" i="7"/>
  <c r="L907" i="7"/>
  <c r="J907" i="7"/>
  <c r="F907" i="7"/>
  <c r="L906" i="7"/>
  <c r="J906" i="7"/>
  <c r="F906" i="7"/>
  <c r="L905" i="7"/>
  <c r="J905" i="7"/>
  <c r="F905" i="7"/>
  <c r="L904" i="7"/>
  <c r="J904" i="7"/>
  <c r="F904" i="7"/>
  <c r="L903" i="7"/>
  <c r="J903" i="7"/>
  <c r="F903" i="7"/>
  <c r="L902" i="7"/>
  <c r="J902" i="7"/>
  <c r="F902" i="7"/>
  <c r="L901" i="7"/>
  <c r="J901" i="7"/>
  <c r="F901" i="7"/>
  <c r="L900" i="7"/>
  <c r="J900" i="7"/>
  <c r="F900" i="7"/>
  <c r="L899" i="7"/>
  <c r="J899" i="7"/>
  <c r="F899" i="7"/>
  <c r="L898" i="7"/>
  <c r="J898" i="7"/>
  <c r="F898" i="7"/>
  <c r="L897" i="7"/>
  <c r="J897" i="7"/>
  <c r="F897" i="7"/>
  <c r="L896" i="7"/>
  <c r="J896" i="7"/>
  <c r="F896" i="7"/>
  <c r="L895" i="7"/>
  <c r="J895" i="7"/>
  <c r="F895" i="7"/>
  <c r="L894" i="7"/>
  <c r="J894" i="7"/>
  <c r="F894" i="7"/>
  <c r="L893" i="7"/>
  <c r="J893" i="7"/>
  <c r="F893" i="7"/>
  <c r="L892" i="7"/>
  <c r="J892" i="7"/>
  <c r="F892" i="7"/>
  <c r="L891" i="7"/>
  <c r="J891" i="7"/>
  <c r="F891" i="7"/>
  <c r="L890" i="7"/>
  <c r="J890" i="7"/>
  <c r="F890" i="7"/>
  <c r="L889" i="7"/>
  <c r="J889" i="7"/>
  <c r="F889" i="7"/>
  <c r="L888" i="7"/>
  <c r="J888" i="7"/>
  <c r="F888" i="7"/>
  <c r="L887" i="7"/>
  <c r="J887" i="7"/>
  <c r="F887" i="7"/>
  <c r="L886" i="7"/>
  <c r="J886" i="7"/>
  <c r="F886" i="7"/>
  <c r="L885" i="7"/>
  <c r="J885" i="7"/>
  <c r="F885" i="7"/>
  <c r="L884" i="7"/>
  <c r="J884" i="7"/>
  <c r="F884" i="7"/>
  <c r="L883" i="7"/>
  <c r="H811" i="7" s="1"/>
  <c r="T811" i="7" s="1"/>
  <c r="N811" i="7" s="1"/>
  <c r="J883" i="7"/>
  <c r="F883" i="7"/>
  <c r="D866" i="7"/>
  <c r="C866" i="7"/>
  <c r="L865" i="7"/>
  <c r="J865" i="7"/>
  <c r="F865" i="7"/>
  <c r="L864" i="7"/>
  <c r="J864" i="7"/>
  <c r="F864" i="7"/>
  <c r="L863" i="7"/>
  <c r="J863" i="7"/>
  <c r="F863" i="7"/>
  <c r="L862" i="7"/>
  <c r="J862" i="7"/>
  <c r="F862" i="7"/>
  <c r="L861" i="7"/>
  <c r="J861" i="7"/>
  <c r="F861" i="7"/>
  <c r="L860" i="7"/>
  <c r="J860" i="7"/>
  <c r="F860" i="7"/>
  <c r="L859" i="7"/>
  <c r="J859" i="7"/>
  <c r="F859" i="7"/>
  <c r="L858" i="7"/>
  <c r="J858" i="7"/>
  <c r="F858" i="7"/>
  <c r="L857" i="7"/>
  <c r="J857" i="7"/>
  <c r="F857" i="7"/>
  <c r="L856" i="7"/>
  <c r="J856" i="7"/>
  <c r="F856" i="7"/>
  <c r="L855" i="7"/>
  <c r="J855" i="7"/>
  <c r="F855" i="7"/>
  <c r="L854" i="7"/>
  <c r="J854" i="7"/>
  <c r="F854" i="7"/>
  <c r="L853" i="7"/>
  <c r="J853" i="7"/>
  <c r="F853" i="7"/>
  <c r="L852" i="7"/>
  <c r="J852" i="7"/>
  <c r="F852" i="7"/>
  <c r="L851" i="7"/>
  <c r="J851" i="7"/>
  <c r="F851" i="7"/>
  <c r="L850" i="7"/>
  <c r="J850" i="7"/>
  <c r="F850" i="7"/>
  <c r="L849" i="7"/>
  <c r="J849" i="7"/>
  <c r="F849" i="7"/>
  <c r="L848" i="7"/>
  <c r="J848" i="7"/>
  <c r="F848" i="7"/>
  <c r="L847" i="7"/>
  <c r="J847" i="7"/>
  <c r="F847" i="7"/>
  <c r="L846" i="7"/>
  <c r="J846" i="7"/>
  <c r="F846" i="7"/>
  <c r="L845" i="7"/>
  <c r="J845" i="7"/>
  <c r="F845" i="7"/>
  <c r="L844" i="7"/>
  <c r="J844" i="7"/>
  <c r="F844" i="7"/>
  <c r="L843" i="7"/>
  <c r="J843" i="7"/>
  <c r="F843" i="7"/>
  <c r="L842" i="7"/>
  <c r="J842" i="7"/>
  <c r="F842" i="7"/>
  <c r="L841" i="7"/>
  <c r="J841" i="7"/>
  <c r="F841" i="7"/>
  <c r="L840" i="7"/>
  <c r="J840" i="7"/>
  <c r="F840" i="7"/>
  <c r="L839" i="7"/>
  <c r="J839" i="7"/>
  <c r="F839" i="7"/>
  <c r="L838" i="7"/>
  <c r="J838" i="7"/>
  <c r="F838" i="7"/>
  <c r="L837" i="7"/>
  <c r="J837" i="7"/>
  <c r="F837" i="7"/>
  <c r="L836" i="7"/>
  <c r="J836" i="7"/>
  <c r="F836" i="7"/>
  <c r="L835" i="7"/>
  <c r="J835" i="7"/>
  <c r="F835" i="7"/>
  <c r="L834" i="7"/>
  <c r="J834" i="7"/>
  <c r="F834" i="7"/>
  <c r="L833" i="7"/>
  <c r="J833" i="7"/>
  <c r="F833" i="7"/>
  <c r="L832" i="7"/>
  <c r="J832" i="7"/>
  <c r="F832" i="7"/>
  <c r="L831" i="7"/>
  <c r="J831" i="7"/>
  <c r="F831" i="7"/>
  <c r="L830" i="7"/>
  <c r="J830" i="7"/>
  <c r="F830" i="7"/>
  <c r="L829" i="7"/>
  <c r="J829" i="7"/>
  <c r="F829" i="7"/>
  <c r="L828" i="7"/>
  <c r="J828" i="7"/>
  <c r="F828" i="7"/>
  <c r="L827" i="7"/>
  <c r="J827" i="7"/>
  <c r="F827" i="7"/>
  <c r="L826" i="7"/>
  <c r="J826" i="7"/>
  <c r="F826" i="7"/>
  <c r="L825" i="7"/>
  <c r="J825" i="7"/>
  <c r="F825" i="7"/>
  <c r="L824" i="7"/>
  <c r="J824" i="7"/>
  <c r="F824" i="7"/>
  <c r="L823" i="7"/>
  <c r="J823" i="7"/>
  <c r="F823" i="7"/>
  <c r="L822" i="7"/>
  <c r="J822" i="7"/>
  <c r="F822" i="7"/>
  <c r="L821" i="7"/>
  <c r="J821" i="7"/>
  <c r="F821" i="7"/>
  <c r="L820" i="7"/>
  <c r="J820" i="7"/>
  <c r="F820" i="7"/>
  <c r="L819" i="7"/>
  <c r="J819" i="7"/>
  <c r="F819" i="7"/>
  <c r="L818" i="7"/>
  <c r="J818" i="7"/>
  <c r="F818" i="7"/>
  <c r="L817" i="7"/>
  <c r="J817" i="7"/>
  <c r="F817" i="7"/>
  <c r="L816" i="7"/>
  <c r="J816" i="7"/>
  <c r="F816" i="7"/>
  <c r="L815" i="7"/>
  <c r="J815" i="7"/>
  <c r="F815" i="7"/>
  <c r="L814" i="7"/>
  <c r="J814" i="7"/>
  <c r="F814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H788" i="7"/>
  <c r="H787" i="7"/>
  <c r="G788" i="7"/>
  <c r="G787" i="7"/>
  <c r="D788" i="7"/>
  <c r="D787" i="7"/>
  <c r="C788" i="7"/>
  <c r="C787" i="7"/>
  <c r="B788" i="7"/>
  <c r="B787" i="7"/>
  <c r="D784" i="7"/>
  <c r="D785" i="7" s="1"/>
  <c r="C784" i="7"/>
  <c r="C785" i="7" s="1"/>
  <c r="F713" i="7"/>
  <c r="F689" i="7"/>
  <c r="F725" i="7"/>
  <c r="F733" i="7"/>
  <c r="F732" i="7"/>
  <c r="F724" i="7"/>
  <c r="F695" i="7"/>
  <c r="F664" i="7"/>
  <c r="F673" i="7"/>
  <c r="F681" i="7"/>
  <c r="F702" i="7"/>
  <c r="F774" i="7"/>
  <c r="F776" i="7"/>
  <c r="F696" i="7"/>
  <c r="F728" i="7"/>
  <c r="F712" i="7"/>
  <c r="F682" i="7"/>
  <c r="F737" i="7"/>
  <c r="F683" i="7"/>
  <c r="F665" i="7"/>
  <c r="F727" i="7"/>
  <c r="F738" i="7"/>
  <c r="F771" i="7"/>
  <c r="F729" i="7"/>
  <c r="F697" i="7"/>
  <c r="F778" i="7"/>
  <c r="F763" i="7"/>
  <c r="F782" i="7"/>
  <c r="F739" i="7"/>
  <c r="F740" i="7"/>
  <c r="F666" i="7"/>
  <c r="F690" i="7"/>
  <c r="F691" i="7"/>
  <c r="F708" i="7"/>
  <c r="F709" i="7"/>
  <c r="F684" i="7"/>
  <c r="F769" i="7"/>
  <c r="F685" i="7"/>
  <c r="F764" i="7"/>
  <c r="F765" i="7"/>
  <c r="F710" i="7"/>
  <c r="F781" i="7"/>
  <c r="F715" i="7"/>
  <c r="F741" i="7"/>
  <c r="F667" i="7"/>
  <c r="F775" i="7"/>
  <c r="F766" i="7"/>
  <c r="F767" i="7"/>
  <c r="F674" i="7"/>
  <c r="F770" i="7"/>
  <c r="F700" i="7"/>
  <c r="F779" i="7"/>
  <c r="F777" i="7"/>
  <c r="F742" i="7"/>
  <c r="F743" i="7"/>
  <c r="F675" i="7"/>
  <c r="F676" i="7"/>
  <c r="F692" i="7"/>
  <c r="F744" i="7"/>
  <c r="F726" i="7"/>
  <c r="F768" i="7"/>
  <c r="F668" i="7"/>
  <c r="F731" i="7"/>
  <c r="F669" i="7"/>
  <c r="F677" i="7"/>
  <c r="F693" i="7"/>
  <c r="F670" i="7"/>
  <c r="F745" i="7"/>
  <c r="F746" i="7"/>
  <c r="F678" i="7"/>
  <c r="F706" i="7"/>
  <c r="F761" i="7"/>
  <c r="F701" i="7"/>
  <c r="F707" i="7"/>
  <c r="F694" i="7"/>
  <c r="F719" i="7"/>
  <c r="F747" i="7"/>
  <c r="F723" i="7"/>
  <c r="F748" i="7"/>
  <c r="F686" i="7"/>
  <c r="F780" i="7"/>
  <c r="F714" i="7"/>
  <c r="F749" i="7"/>
  <c r="F698" i="7"/>
  <c r="F716" i="7"/>
  <c r="F679" i="7"/>
  <c r="F750" i="7"/>
  <c r="F735" i="7"/>
  <c r="F751" i="7"/>
  <c r="F705" i="7"/>
  <c r="F734" i="7"/>
  <c r="F717" i="7"/>
  <c r="F730" i="7"/>
  <c r="F752" i="7"/>
  <c r="F783" i="7"/>
  <c r="F753" i="7"/>
  <c r="F718" i="7"/>
  <c r="F736" i="7"/>
  <c r="F754" i="7"/>
  <c r="F711" i="7"/>
  <c r="F680" i="7"/>
  <c r="F687" i="7"/>
  <c r="F704" i="7"/>
  <c r="F755" i="7"/>
  <c r="F756" i="7"/>
  <c r="F721" i="7"/>
  <c r="F773" i="7"/>
  <c r="F720" i="7"/>
  <c r="F757" i="7"/>
  <c r="F703" i="7"/>
  <c r="F762" i="7"/>
  <c r="F772" i="7"/>
  <c r="F758" i="7"/>
  <c r="F759" i="7"/>
  <c r="F671" i="7"/>
  <c r="F699" i="7"/>
  <c r="F722" i="7"/>
  <c r="F760" i="7"/>
  <c r="F672" i="7"/>
  <c r="F688" i="7"/>
  <c r="AZ55" i="5"/>
  <c r="AZ7" i="5"/>
  <c r="AZ103" i="5"/>
  <c r="AZ39" i="5"/>
  <c r="AZ13" i="5"/>
  <c r="AZ71" i="5"/>
  <c r="AZ91" i="5"/>
  <c r="AZ14" i="5"/>
  <c r="AZ101" i="5"/>
  <c r="AZ17" i="5"/>
  <c r="AZ51" i="5"/>
  <c r="AZ93" i="5"/>
  <c r="AZ111" i="5"/>
  <c r="AZ46" i="5"/>
  <c r="AZ34" i="5"/>
  <c r="AZ48" i="5"/>
  <c r="AZ68" i="5"/>
  <c r="AZ40" i="5"/>
  <c r="AZ127" i="5"/>
  <c r="AZ129" i="5"/>
  <c r="AZ83" i="5"/>
  <c r="AZ82" i="5"/>
  <c r="AZ37" i="5"/>
  <c r="AZ128" i="5"/>
  <c r="AZ77" i="5"/>
  <c r="AZ135" i="5"/>
  <c r="AZ133" i="5"/>
  <c r="AZ120" i="5"/>
  <c r="AZ126" i="5"/>
  <c r="AZ132" i="5"/>
  <c r="AZ134" i="5"/>
  <c r="AZ36" i="5"/>
  <c r="AZ84" i="5"/>
  <c r="AZ96" i="5"/>
  <c r="AZ87" i="5"/>
  <c r="AZ25" i="5"/>
  <c r="AZ41" i="5"/>
  <c r="AZ49" i="5"/>
  <c r="AZ31" i="5"/>
  <c r="AZ45" i="5"/>
  <c r="AZ123" i="5"/>
  <c r="AZ85" i="5"/>
  <c r="AZ121" i="5"/>
  <c r="AZ28" i="5"/>
  <c r="AZ16" i="5"/>
  <c r="AZ97" i="5"/>
  <c r="AZ115" i="5"/>
  <c r="AZ26" i="5"/>
  <c r="AZ19" i="5"/>
  <c r="AZ8" i="5"/>
  <c r="AZ44" i="5"/>
  <c r="AZ10" i="5"/>
  <c r="AZ30" i="5"/>
  <c r="AZ130" i="5"/>
  <c r="AZ42" i="5"/>
  <c r="AZ62" i="5"/>
  <c r="AZ89" i="5"/>
  <c r="AZ90" i="5"/>
  <c r="AZ24" i="5"/>
  <c r="AZ61" i="5"/>
  <c r="AZ56" i="5"/>
  <c r="AZ114" i="5"/>
  <c r="AZ64" i="5"/>
  <c r="AZ20" i="5"/>
  <c r="AZ76" i="5"/>
  <c r="AZ113" i="5"/>
  <c r="AZ54" i="5"/>
  <c r="AZ124" i="5"/>
  <c r="AZ106" i="5"/>
  <c r="AZ5" i="5"/>
  <c r="AZ43" i="5"/>
  <c r="AZ21" i="5"/>
  <c r="AZ29" i="5"/>
  <c r="AZ100" i="5"/>
  <c r="AZ12" i="5"/>
  <c r="AZ57" i="5"/>
  <c r="AZ35" i="5"/>
  <c r="AZ11" i="5"/>
  <c r="AZ27" i="5"/>
  <c r="AZ65" i="5"/>
  <c r="AZ102" i="5"/>
  <c r="AZ23" i="5"/>
  <c r="AZ53" i="5"/>
  <c r="AZ78" i="5"/>
  <c r="AZ70" i="5"/>
  <c r="AZ58" i="5"/>
  <c r="AZ94" i="5"/>
  <c r="AZ112" i="5"/>
  <c r="AZ63" i="5"/>
  <c r="AZ59" i="5"/>
  <c r="AZ67" i="5"/>
  <c r="AZ95" i="5"/>
  <c r="AZ47" i="5"/>
  <c r="AZ118" i="5"/>
  <c r="AZ98" i="5"/>
  <c r="AZ32" i="5"/>
  <c r="AZ131" i="5"/>
  <c r="AZ50" i="5"/>
  <c r="AZ107" i="5"/>
  <c r="AZ104" i="5"/>
  <c r="AZ72" i="5"/>
  <c r="AZ6" i="5"/>
  <c r="AZ81" i="5"/>
  <c r="AZ99" i="5"/>
  <c r="AZ122" i="5"/>
  <c r="AZ73" i="5"/>
  <c r="AZ4" i="5"/>
  <c r="AZ92" i="5"/>
  <c r="AZ86" i="5"/>
  <c r="AZ105" i="5"/>
  <c r="AZ74" i="5"/>
  <c r="AZ88" i="5"/>
  <c r="AZ69" i="5"/>
  <c r="AZ116" i="5"/>
  <c r="AZ52" i="5"/>
  <c r="AZ119" i="5"/>
  <c r="AZ38" i="5"/>
  <c r="AZ80" i="5"/>
  <c r="AZ75" i="5"/>
  <c r="AZ22" i="5"/>
  <c r="AZ108" i="5"/>
  <c r="AZ79" i="5"/>
  <c r="AZ110" i="5"/>
  <c r="AZ66" i="5"/>
  <c r="AZ60" i="5"/>
  <c r="AZ109" i="5"/>
  <c r="AZ125" i="5"/>
  <c r="AZ15" i="5"/>
  <c r="AZ33" i="5"/>
  <c r="AZ18" i="5"/>
  <c r="AZ3" i="5"/>
  <c r="AZ9" i="5"/>
  <c r="AZ117" i="5"/>
  <c r="AX55" i="5"/>
  <c r="AX7" i="5"/>
  <c r="AX103" i="5"/>
  <c r="AX39" i="5"/>
  <c r="AX13" i="5"/>
  <c r="AX71" i="5"/>
  <c r="AX91" i="5"/>
  <c r="AX14" i="5"/>
  <c r="AX101" i="5"/>
  <c r="AX17" i="5"/>
  <c r="AX51" i="5"/>
  <c r="AX93" i="5"/>
  <c r="AX111" i="5"/>
  <c r="AX46" i="5"/>
  <c r="AX34" i="5"/>
  <c r="AX48" i="5"/>
  <c r="AX68" i="5"/>
  <c r="AX40" i="5"/>
  <c r="AX127" i="5"/>
  <c r="AX129" i="5"/>
  <c r="AX83" i="5"/>
  <c r="AX82" i="5"/>
  <c r="AX37" i="5"/>
  <c r="AX128" i="5"/>
  <c r="AX77" i="5"/>
  <c r="AX135" i="5"/>
  <c r="AX133" i="5"/>
  <c r="AX120" i="5"/>
  <c r="AX126" i="5"/>
  <c r="AX132" i="5"/>
  <c r="AX134" i="5"/>
  <c r="AX36" i="5"/>
  <c r="AX84" i="5"/>
  <c r="AX96" i="5"/>
  <c r="AX87" i="5"/>
  <c r="AX25" i="5"/>
  <c r="AX41" i="5"/>
  <c r="AX49" i="5"/>
  <c r="AX31" i="5"/>
  <c r="AX45" i="5"/>
  <c r="AX123" i="5"/>
  <c r="AX85" i="5"/>
  <c r="AX121" i="5"/>
  <c r="AX28" i="5"/>
  <c r="AX16" i="5"/>
  <c r="AX97" i="5"/>
  <c r="AX115" i="5"/>
  <c r="AX26" i="5"/>
  <c r="AX19" i="5"/>
  <c r="AX8" i="5"/>
  <c r="AX44" i="5"/>
  <c r="AX10" i="5"/>
  <c r="AX30" i="5"/>
  <c r="AX130" i="5"/>
  <c r="AX42" i="5"/>
  <c r="AX62" i="5"/>
  <c r="AX89" i="5"/>
  <c r="AX90" i="5"/>
  <c r="AX24" i="5"/>
  <c r="AX61" i="5"/>
  <c r="AX56" i="5"/>
  <c r="AX114" i="5"/>
  <c r="AX64" i="5"/>
  <c r="AX20" i="5"/>
  <c r="AX76" i="5"/>
  <c r="AX113" i="5"/>
  <c r="AX54" i="5"/>
  <c r="AX124" i="5"/>
  <c r="AX106" i="5"/>
  <c r="AX5" i="5"/>
  <c r="AX43" i="5"/>
  <c r="AX21" i="5"/>
  <c r="AX29" i="5"/>
  <c r="AX100" i="5"/>
  <c r="AX12" i="5"/>
  <c r="AX57" i="5"/>
  <c r="AX35" i="5"/>
  <c r="AX11" i="5"/>
  <c r="AX27" i="5"/>
  <c r="AX65" i="5"/>
  <c r="AX102" i="5"/>
  <c r="AX23" i="5"/>
  <c r="AX53" i="5"/>
  <c r="AX78" i="5"/>
  <c r="AX70" i="5"/>
  <c r="AX58" i="5"/>
  <c r="AX94" i="5"/>
  <c r="AX112" i="5"/>
  <c r="AX63" i="5"/>
  <c r="AX59" i="5"/>
  <c r="AX67" i="5"/>
  <c r="AX95" i="5"/>
  <c r="AX47" i="5"/>
  <c r="AX118" i="5"/>
  <c r="AX98" i="5"/>
  <c r="AX32" i="5"/>
  <c r="AX131" i="5"/>
  <c r="AX50" i="5"/>
  <c r="AX107" i="5"/>
  <c r="AX104" i="5"/>
  <c r="AX72" i="5"/>
  <c r="AX6" i="5"/>
  <c r="AX81" i="5"/>
  <c r="AX99" i="5"/>
  <c r="AX122" i="5"/>
  <c r="AX73" i="5"/>
  <c r="AX4" i="5"/>
  <c r="AX92" i="5"/>
  <c r="AX86" i="5"/>
  <c r="AX105" i="5"/>
  <c r="AX74" i="5"/>
  <c r="AX88" i="5"/>
  <c r="AX69" i="5"/>
  <c r="AX116" i="5"/>
  <c r="AX52" i="5"/>
  <c r="AX119" i="5"/>
  <c r="AX38" i="5"/>
  <c r="AX80" i="5"/>
  <c r="AX75" i="5"/>
  <c r="AX22" i="5"/>
  <c r="AX108" i="5"/>
  <c r="AX79" i="5"/>
  <c r="AX110" i="5"/>
  <c r="AX66" i="5"/>
  <c r="AX60" i="5"/>
  <c r="AX109" i="5"/>
  <c r="AX125" i="5"/>
  <c r="AX15" i="5"/>
  <c r="AX33" i="5"/>
  <c r="AX18" i="5"/>
  <c r="AX3" i="5"/>
  <c r="AX9" i="5"/>
  <c r="AX117" i="5"/>
  <c r="V172" i="8"/>
  <c r="U172" i="8"/>
  <c r="T168" i="8"/>
  <c r="T169" i="8"/>
  <c r="T171" i="8"/>
  <c r="T172" i="8"/>
  <c r="S168" i="8"/>
  <c r="S169" i="8"/>
  <c r="S171" i="8"/>
  <c r="S172" i="8"/>
  <c r="AL55" i="5"/>
  <c r="AL7" i="5"/>
  <c r="AL103" i="5"/>
  <c r="AL39" i="5"/>
  <c r="AL13" i="5"/>
  <c r="AL71" i="5"/>
  <c r="AL91" i="5"/>
  <c r="AL14" i="5"/>
  <c r="AL101" i="5"/>
  <c r="AL17" i="5"/>
  <c r="AL51" i="5"/>
  <c r="AL93" i="5"/>
  <c r="AL111" i="5"/>
  <c r="AL46" i="5"/>
  <c r="AL34" i="5"/>
  <c r="AL48" i="5"/>
  <c r="AL68" i="5"/>
  <c r="AL40" i="5"/>
  <c r="AL127" i="5"/>
  <c r="AL129" i="5"/>
  <c r="AL83" i="5"/>
  <c r="AL82" i="5"/>
  <c r="AL37" i="5"/>
  <c r="AL128" i="5"/>
  <c r="AL77" i="5"/>
  <c r="AL135" i="5"/>
  <c r="AL133" i="5"/>
  <c r="AL120" i="5"/>
  <c r="AL126" i="5"/>
  <c r="AL132" i="5"/>
  <c r="AL134" i="5"/>
  <c r="AL36" i="5"/>
  <c r="AL84" i="5"/>
  <c r="AL96" i="5"/>
  <c r="AL87" i="5"/>
  <c r="AL25" i="5"/>
  <c r="AL41" i="5"/>
  <c r="AL49" i="5"/>
  <c r="AL31" i="5"/>
  <c r="AL45" i="5"/>
  <c r="AL123" i="5"/>
  <c r="AL85" i="5"/>
  <c r="AL121" i="5"/>
  <c r="AL28" i="5"/>
  <c r="AL16" i="5"/>
  <c r="AL97" i="5"/>
  <c r="AL115" i="5"/>
  <c r="AL26" i="5"/>
  <c r="AL19" i="5"/>
  <c r="AL8" i="5"/>
  <c r="AL44" i="5"/>
  <c r="AL10" i="5"/>
  <c r="AL30" i="5"/>
  <c r="AL130" i="5"/>
  <c r="AL42" i="5"/>
  <c r="AL62" i="5"/>
  <c r="AL89" i="5"/>
  <c r="AL90" i="5"/>
  <c r="AL24" i="5"/>
  <c r="AL61" i="5"/>
  <c r="AL56" i="5"/>
  <c r="AL114" i="5"/>
  <c r="AL64" i="5"/>
  <c r="AL20" i="5"/>
  <c r="AL76" i="5"/>
  <c r="AL113" i="5"/>
  <c r="AL54" i="5"/>
  <c r="AL124" i="5"/>
  <c r="AL106" i="5"/>
  <c r="AL5" i="5"/>
  <c r="AL43" i="5"/>
  <c r="AL21" i="5"/>
  <c r="AL29" i="5"/>
  <c r="AL100" i="5"/>
  <c r="AL12" i="5"/>
  <c r="AL57" i="5"/>
  <c r="AL35" i="5"/>
  <c r="AL11" i="5"/>
  <c r="AL27" i="5"/>
  <c r="AL65" i="5"/>
  <c r="AL102" i="5"/>
  <c r="AL23" i="5"/>
  <c r="AL53" i="5"/>
  <c r="AL78" i="5"/>
  <c r="AL70" i="5"/>
  <c r="AL58" i="5"/>
  <c r="AL94" i="5"/>
  <c r="AL112" i="5"/>
  <c r="AL63" i="5"/>
  <c r="AL59" i="5"/>
  <c r="AL67" i="5"/>
  <c r="AL95" i="5"/>
  <c r="AL47" i="5"/>
  <c r="AL118" i="5"/>
  <c r="AL98" i="5"/>
  <c r="AL32" i="5"/>
  <c r="AL131" i="5"/>
  <c r="AL50" i="5"/>
  <c r="AL107" i="5"/>
  <c r="AL104" i="5"/>
  <c r="AL72" i="5"/>
  <c r="AL6" i="5"/>
  <c r="AL81" i="5"/>
  <c r="AL99" i="5"/>
  <c r="AL122" i="5"/>
  <c r="AL73" i="5"/>
  <c r="AL4" i="5"/>
  <c r="AL92" i="5"/>
  <c r="AL86" i="5"/>
  <c r="AL105" i="5"/>
  <c r="AL74" i="5"/>
  <c r="AL88" i="5"/>
  <c r="AL69" i="5"/>
  <c r="AL116" i="5"/>
  <c r="AL52" i="5"/>
  <c r="AL119" i="5"/>
  <c r="AL38" i="5"/>
  <c r="AL80" i="5"/>
  <c r="AL75" i="5"/>
  <c r="AL22" i="5"/>
  <c r="AL108" i="5"/>
  <c r="AL79" i="5"/>
  <c r="AL110" i="5"/>
  <c r="AL66" i="5"/>
  <c r="AL60" i="5"/>
  <c r="AL109" i="5"/>
  <c r="AL125" i="5"/>
  <c r="AL15" i="5"/>
  <c r="AL33" i="5"/>
  <c r="AL18" i="5"/>
  <c r="AL3" i="5"/>
  <c r="AL9" i="5"/>
  <c r="AL117" i="5"/>
  <c r="AK55" i="5"/>
  <c r="AK7" i="5"/>
  <c r="AK103" i="5"/>
  <c r="AK39" i="5"/>
  <c r="AK13" i="5"/>
  <c r="AK71" i="5"/>
  <c r="AK91" i="5"/>
  <c r="AK14" i="5"/>
  <c r="AK101" i="5"/>
  <c r="AK17" i="5"/>
  <c r="AK51" i="5"/>
  <c r="AK93" i="5"/>
  <c r="AK111" i="5"/>
  <c r="AK46" i="5"/>
  <c r="AK34" i="5"/>
  <c r="AK48" i="5"/>
  <c r="AK68" i="5"/>
  <c r="AK40" i="5"/>
  <c r="AK127" i="5"/>
  <c r="AK129" i="5"/>
  <c r="AK83" i="5"/>
  <c r="AK82" i="5"/>
  <c r="AK37" i="5"/>
  <c r="AK128" i="5"/>
  <c r="AK77" i="5"/>
  <c r="AK135" i="5"/>
  <c r="AK133" i="5"/>
  <c r="AK120" i="5"/>
  <c r="AK126" i="5"/>
  <c r="AK132" i="5"/>
  <c r="AK134" i="5"/>
  <c r="AK36" i="5"/>
  <c r="AK84" i="5"/>
  <c r="AK96" i="5"/>
  <c r="AK87" i="5"/>
  <c r="AK25" i="5"/>
  <c r="AK41" i="5"/>
  <c r="AK49" i="5"/>
  <c r="AK31" i="5"/>
  <c r="AK45" i="5"/>
  <c r="AK123" i="5"/>
  <c r="AK85" i="5"/>
  <c r="AK121" i="5"/>
  <c r="AK28" i="5"/>
  <c r="AK16" i="5"/>
  <c r="AK97" i="5"/>
  <c r="AK115" i="5"/>
  <c r="AK26" i="5"/>
  <c r="AK19" i="5"/>
  <c r="AK8" i="5"/>
  <c r="AK44" i="5"/>
  <c r="AK10" i="5"/>
  <c r="AK30" i="5"/>
  <c r="AK130" i="5"/>
  <c r="AK42" i="5"/>
  <c r="AK62" i="5"/>
  <c r="AK89" i="5"/>
  <c r="AK90" i="5"/>
  <c r="AK24" i="5"/>
  <c r="AK61" i="5"/>
  <c r="AK56" i="5"/>
  <c r="AK114" i="5"/>
  <c r="AK64" i="5"/>
  <c r="AK20" i="5"/>
  <c r="AK76" i="5"/>
  <c r="AK113" i="5"/>
  <c r="AK54" i="5"/>
  <c r="AK124" i="5"/>
  <c r="AK106" i="5"/>
  <c r="AK5" i="5"/>
  <c r="AK43" i="5"/>
  <c r="AK21" i="5"/>
  <c r="AK29" i="5"/>
  <c r="AK100" i="5"/>
  <c r="AK12" i="5"/>
  <c r="AK57" i="5"/>
  <c r="AK35" i="5"/>
  <c r="AK11" i="5"/>
  <c r="AK27" i="5"/>
  <c r="AK65" i="5"/>
  <c r="AK102" i="5"/>
  <c r="AK23" i="5"/>
  <c r="AK53" i="5"/>
  <c r="AK78" i="5"/>
  <c r="AK70" i="5"/>
  <c r="AK58" i="5"/>
  <c r="AK94" i="5"/>
  <c r="AK112" i="5"/>
  <c r="AK63" i="5"/>
  <c r="AK59" i="5"/>
  <c r="AK67" i="5"/>
  <c r="AK95" i="5"/>
  <c r="AK47" i="5"/>
  <c r="AK118" i="5"/>
  <c r="AK98" i="5"/>
  <c r="AK32" i="5"/>
  <c r="AK131" i="5"/>
  <c r="AK50" i="5"/>
  <c r="AK107" i="5"/>
  <c r="AK104" i="5"/>
  <c r="AK72" i="5"/>
  <c r="AK6" i="5"/>
  <c r="AK81" i="5"/>
  <c r="AK99" i="5"/>
  <c r="AK122" i="5"/>
  <c r="AK73" i="5"/>
  <c r="AK4" i="5"/>
  <c r="AK92" i="5"/>
  <c r="AK86" i="5"/>
  <c r="AK105" i="5"/>
  <c r="AK74" i="5"/>
  <c r="AK88" i="5"/>
  <c r="AK69" i="5"/>
  <c r="AK116" i="5"/>
  <c r="AK52" i="5"/>
  <c r="AK119" i="5"/>
  <c r="AK38" i="5"/>
  <c r="AK80" i="5"/>
  <c r="AK75" i="5"/>
  <c r="AK22" i="5"/>
  <c r="AK108" i="5"/>
  <c r="AK79" i="5"/>
  <c r="AK110" i="5"/>
  <c r="AK66" i="5"/>
  <c r="AK60" i="5"/>
  <c r="AK109" i="5"/>
  <c r="AK125" i="5"/>
  <c r="AK15" i="5"/>
  <c r="AK33" i="5"/>
  <c r="AK18" i="5"/>
  <c r="AK3" i="5"/>
  <c r="AK9" i="5"/>
  <c r="AK117" i="5"/>
  <c r="P162" i="8"/>
  <c r="P163" i="8"/>
  <c r="R163" i="8" s="1"/>
  <c r="P164" i="8"/>
  <c r="R164" i="8" s="1"/>
  <c r="P165" i="8"/>
  <c r="R165" i="8" s="1"/>
  <c r="P166" i="8"/>
  <c r="R166" i="8" s="1"/>
  <c r="P167" i="8"/>
  <c r="R167" i="8" s="1"/>
  <c r="P168" i="8"/>
  <c r="R168" i="8" s="1"/>
  <c r="P169" i="8"/>
  <c r="R169" i="8" s="1"/>
  <c r="P170" i="8"/>
  <c r="R170" i="8" s="1"/>
  <c r="P171" i="8"/>
  <c r="R171" i="8" s="1"/>
  <c r="P172" i="8"/>
  <c r="R172" i="8" s="1"/>
  <c r="P173" i="8"/>
  <c r="R173" i="8" s="1"/>
  <c r="O162" i="8"/>
  <c r="O163" i="8"/>
  <c r="O164" i="8"/>
  <c r="Q164" i="8" s="1"/>
  <c r="O165" i="8"/>
  <c r="Q165" i="8" s="1"/>
  <c r="O166" i="8"/>
  <c r="Q166" i="8" s="1"/>
  <c r="O167" i="8"/>
  <c r="Q167" i="8" s="1"/>
  <c r="O168" i="8"/>
  <c r="Q168" i="8" s="1"/>
  <c r="O169" i="8"/>
  <c r="Q169" i="8" s="1"/>
  <c r="O170" i="8"/>
  <c r="Q170" i="8" s="1"/>
  <c r="O171" i="8"/>
  <c r="Q171" i="8" s="1"/>
  <c r="O172" i="8"/>
  <c r="Q172" i="8" s="1"/>
  <c r="O173" i="8"/>
  <c r="Q173" i="8" s="1"/>
  <c r="B18" i="5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Y141" i="5"/>
  <c r="EX141" i="5"/>
  <c r="EW141" i="5"/>
  <c r="EV141" i="5"/>
  <c r="EU141" i="5"/>
  <c r="ET141" i="5"/>
  <c r="ES141" i="5"/>
  <c r="EQ141" i="5"/>
  <c r="EP141" i="5"/>
  <c r="EO141" i="5"/>
  <c r="EN141" i="5"/>
  <c r="EM141" i="5"/>
  <c r="EL141" i="5"/>
  <c r="EK141" i="5"/>
  <c r="C628" i="7"/>
  <c r="U500" i="7"/>
  <c r="O330" i="7"/>
  <c r="M216" i="7"/>
  <c r="U217" i="7"/>
  <c r="O180" i="7"/>
  <c r="F45" i="8"/>
  <c r="D51" i="8"/>
  <c r="F46" i="8" s="1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U791" i="7" s="1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T791" i="7" s="1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S791" i="7" s="1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H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J89" i="5"/>
  <c r="AJ99" i="5"/>
  <c r="AJ98" i="5"/>
  <c r="AJ7" i="5"/>
  <c r="AJ33" i="5"/>
  <c r="AJ39" i="5"/>
  <c r="AJ66" i="5"/>
  <c r="AJ12" i="5"/>
  <c r="AJ34" i="5"/>
  <c r="AJ90" i="5"/>
  <c r="AJ67" i="5"/>
  <c r="AJ31" i="5"/>
  <c r="AJ100" i="5"/>
  <c r="AJ68" i="5"/>
  <c r="AJ8" i="5"/>
  <c r="AJ19" i="5"/>
  <c r="AJ16" i="5"/>
  <c r="AJ11" i="5"/>
  <c r="AJ6" i="5"/>
  <c r="AJ3" i="5"/>
  <c r="AJ17" i="5"/>
  <c r="AJ15" i="5"/>
  <c r="AJ4" i="5"/>
  <c r="AJ42" i="5"/>
  <c r="AJ104" i="5"/>
  <c r="AJ88" i="5"/>
  <c r="AJ109" i="5"/>
  <c r="AJ26" i="5"/>
  <c r="AJ23" i="5"/>
  <c r="AJ25" i="5"/>
  <c r="AJ44" i="5"/>
  <c r="AJ92" i="5"/>
  <c r="AJ29" i="5"/>
  <c r="AJ74" i="5"/>
  <c r="AJ51" i="5"/>
  <c r="AJ72" i="5"/>
  <c r="AJ70" i="5"/>
  <c r="AJ111" i="5"/>
  <c r="AJ93" i="5"/>
  <c r="AJ110" i="5"/>
  <c r="AJ91" i="5"/>
  <c r="AJ101" i="5"/>
  <c r="AJ71" i="5"/>
  <c r="AJ50" i="5"/>
  <c r="AJ69" i="5"/>
  <c r="AJ106" i="5"/>
  <c r="AJ102" i="5"/>
  <c r="AJ103" i="5"/>
  <c r="AJ127" i="5"/>
  <c r="AJ54" i="5"/>
  <c r="AJ43" i="5"/>
  <c r="AJ75" i="5"/>
  <c r="AJ108" i="5"/>
  <c r="AJ65" i="5"/>
  <c r="AJ73" i="5"/>
  <c r="AJ107" i="5"/>
  <c r="AJ52" i="5"/>
  <c r="AJ5" i="5"/>
  <c r="AJ105" i="5"/>
  <c r="AJ22" i="5"/>
  <c r="AJ55" i="5"/>
  <c r="AJ56" i="5"/>
  <c r="AJ112" i="5"/>
  <c r="AJ94" i="5"/>
  <c r="AJ76" i="5"/>
  <c r="AJ113" i="5"/>
  <c r="AJ97" i="5"/>
  <c r="AJ114" i="5"/>
  <c r="AJ27" i="5"/>
  <c r="AJ32" i="5"/>
  <c r="AJ24" i="5"/>
  <c r="AJ77" i="5"/>
  <c r="AJ95" i="5"/>
  <c r="AJ10" i="5"/>
  <c r="AJ13" i="5"/>
  <c r="AJ18" i="5"/>
  <c r="AJ9" i="5"/>
  <c r="AJ21" i="5"/>
  <c r="AJ57" i="5"/>
  <c r="AJ61" i="5"/>
  <c r="AJ38" i="5"/>
  <c r="AJ118" i="5"/>
  <c r="AJ131" i="5"/>
  <c r="AJ20" i="5"/>
  <c r="AJ35" i="5"/>
  <c r="AJ78" i="5"/>
  <c r="AJ41" i="5"/>
  <c r="AJ81" i="5"/>
  <c r="AJ30" i="5"/>
  <c r="AJ59" i="5"/>
  <c r="AJ58" i="5"/>
  <c r="AJ79" i="5"/>
  <c r="AJ119" i="5"/>
  <c r="AJ135" i="5"/>
  <c r="AJ130" i="5"/>
  <c r="AJ60" i="5"/>
  <c r="AJ116" i="5"/>
  <c r="AJ46" i="5"/>
  <c r="AJ45" i="5"/>
  <c r="AJ115" i="5"/>
  <c r="AJ49" i="5"/>
  <c r="AJ47" i="5"/>
  <c r="AJ80" i="5"/>
  <c r="AJ117" i="5"/>
  <c r="AJ36" i="5"/>
  <c r="AJ40" i="5"/>
  <c r="AJ37" i="5"/>
  <c r="AJ82" i="5"/>
  <c r="AJ83" i="5"/>
  <c r="AJ120" i="5"/>
  <c r="AJ128" i="5"/>
  <c r="AJ126" i="5"/>
  <c r="AJ132" i="5"/>
  <c r="AJ84" i="5"/>
  <c r="AJ96" i="5"/>
  <c r="AJ48" i="5"/>
  <c r="AJ85" i="5"/>
  <c r="AJ121" i="5"/>
  <c r="AJ86" i="5"/>
  <c r="AJ122" i="5"/>
  <c r="AJ62" i="5"/>
  <c r="AJ87" i="5"/>
  <c r="AJ123" i="5"/>
  <c r="AJ133" i="5"/>
  <c r="AJ14" i="5"/>
  <c r="AJ53" i="5"/>
  <c r="AJ124" i="5"/>
  <c r="AJ63" i="5"/>
  <c r="AJ125" i="5"/>
  <c r="AJ64" i="5"/>
  <c r="AJ129" i="5"/>
  <c r="AJ134" i="5"/>
  <c r="AJ28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P85" i="5"/>
  <c r="HP121" i="5"/>
  <c r="HP99" i="5"/>
  <c r="HP14" i="5"/>
  <c r="HP8" i="5"/>
  <c r="HP19" i="5"/>
  <c r="HP16" i="5"/>
  <c r="HP11" i="5"/>
  <c r="HP10" i="5"/>
  <c r="HP12" i="5"/>
  <c r="HP6" i="5"/>
  <c r="HP3" i="5"/>
  <c r="HP34" i="5"/>
  <c r="HP7" i="5"/>
  <c r="HP13" i="5"/>
  <c r="HP33" i="5"/>
  <c r="HP39" i="5"/>
  <c r="HP18" i="5"/>
  <c r="HP62" i="5"/>
  <c r="HP17" i="5"/>
  <c r="HP15" i="5"/>
  <c r="HP4" i="5"/>
  <c r="HP24" i="5"/>
  <c r="HP9" i="5"/>
  <c r="HP42" i="5"/>
  <c r="HP104" i="5"/>
  <c r="HP100" i="5"/>
  <c r="HP21" i="5"/>
  <c r="HP32" i="5"/>
  <c r="HP57" i="5"/>
  <c r="HP105" i="5"/>
  <c r="HP76" i="5"/>
  <c r="HP29" i="5"/>
  <c r="HP122" i="5"/>
  <c r="HP88" i="5"/>
  <c r="HP114" i="5"/>
  <c r="HP123" i="5"/>
  <c r="HP109" i="5"/>
  <c r="HP61" i="5"/>
  <c r="HP26" i="5"/>
  <c r="HP38" i="5"/>
  <c r="HP118" i="5"/>
  <c r="HP117" i="5"/>
  <c r="HP23" i="5"/>
  <c r="HP20" i="5"/>
  <c r="HP35" i="5"/>
  <c r="HP56" i="5"/>
  <c r="HP78" i="5"/>
  <c r="HP127" i="5"/>
  <c r="HP67" i="5"/>
  <c r="HP112" i="5"/>
  <c r="HP25" i="5"/>
  <c r="HP41" i="5"/>
  <c r="HP44" i="5"/>
  <c r="HP81" i="5"/>
  <c r="HP94" i="5"/>
  <c r="HP30" i="5"/>
  <c r="HP59" i="5"/>
  <c r="HP58" i="5"/>
  <c r="HP92" i="5"/>
  <c r="HP74" i="5"/>
  <c r="HP48" i="5"/>
  <c r="HP51" i="5"/>
  <c r="HP72" i="5"/>
  <c r="HP86" i="5"/>
  <c r="HP79" i="5"/>
  <c r="HP70" i="5"/>
  <c r="HP90" i="5"/>
  <c r="HP111" i="5"/>
  <c r="HP119" i="5"/>
  <c r="HP60" i="5"/>
  <c r="HP124" i="5"/>
  <c r="HP53" i="5"/>
  <c r="HP116" i="5"/>
  <c r="HP22" i="5"/>
  <c r="HP27" i="5"/>
  <c r="HP93" i="5"/>
  <c r="HP68" i="5"/>
  <c r="HP55" i="5"/>
  <c r="HP110" i="5"/>
  <c r="HP46" i="5"/>
  <c r="HP45" i="5"/>
  <c r="HP131" i="5"/>
  <c r="HP31" i="5"/>
  <c r="HP91" i="5"/>
  <c r="HP115" i="5"/>
  <c r="HP101" i="5"/>
  <c r="HP71" i="5"/>
  <c r="HP36" i="5"/>
  <c r="HP50" i="5"/>
  <c r="HP49" i="5"/>
  <c r="HP63" i="5"/>
  <c r="HP69" i="5"/>
  <c r="HP135" i="5"/>
  <c r="HP130" i="5"/>
  <c r="HP97" i="5"/>
  <c r="HP106" i="5"/>
  <c r="HP102" i="5"/>
  <c r="HP103" i="5"/>
  <c r="HP64" i="5"/>
  <c r="HP54" i="5"/>
  <c r="HP89" i="5"/>
  <c r="HP43" i="5"/>
  <c r="HP98" i="5"/>
  <c r="HP75" i="5"/>
  <c r="HP113" i="5"/>
  <c r="HP47" i="5"/>
  <c r="HP108" i="5"/>
  <c r="HP65" i="5"/>
  <c r="HP73" i="5"/>
  <c r="HP128" i="5"/>
  <c r="HP126" i="5"/>
  <c r="HP132" i="5"/>
  <c r="HP40" i="5"/>
  <c r="HP37" i="5"/>
  <c r="HP82" i="5"/>
  <c r="HP96" i="5"/>
  <c r="HP83" i="5"/>
  <c r="HP120" i="5"/>
  <c r="HP84" i="5"/>
  <c r="HP87" i="5"/>
  <c r="HP77" i="5"/>
  <c r="HP80" i="5"/>
  <c r="HP133" i="5"/>
  <c r="HP107" i="5"/>
  <c r="HP52" i="5"/>
  <c r="HP66" i="5"/>
  <c r="HP5" i="5"/>
  <c r="HP125" i="5"/>
  <c r="HP95" i="5"/>
  <c r="HP129" i="5"/>
  <c r="HP134" i="5"/>
  <c r="HP28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GA140" i="5"/>
  <c r="FZ140" i="5"/>
  <c r="FY140" i="5"/>
  <c r="FX140" i="5"/>
  <c r="FW140" i="5"/>
  <c r="FV140" i="5"/>
  <c r="FU140" i="5"/>
  <c r="FT140" i="5"/>
  <c r="FS140" i="5"/>
  <c r="FR140" i="5"/>
  <c r="FQ140" i="5"/>
  <c r="FP140" i="5"/>
  <c r="FO140" i="5"/>
  <c r="FN140" i="5"/>
  <c r="FM140" i="5"/>
  <c r="FL140" i="5"/>
  <c r="FK140" i="5"/>
  <c r="FJ140" i="5"/>
  <c r="FI140" i="5"/>
  <c r="FH140" i="5"/>
  <c r="FG140" i="5"/>
  <c r="FE140" i="5"/>
  <c r="FD140" i="5"/>
  <c r="FC140" i="5"/>
  <c r="FB140" i="5"/>
  <c r="EZ140" i="5"/>
  <c r="EY140" i="5"/>
  <c r="EX140" i="5"/>
  <c r="EW140" i="5"/>
  <c r="EV140" i="5"/>
  <c r="EU140" i="5"/>
  <c r="ET140" i="5"/>
  <c r="ES140" i="5"/>
  <c r="ER140" i="5"/>
  <c r="EQ140" i="5"/>
  <c r="EP140" i="5"/>
  <c r="EO140" i="5"/>
  <c r="EN140" i="5"/>
  <c r="EM140" i="5"/>
  <c r="EL140" i="5"/>
  <c r="EK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V140" i="5"/>
  <c r="DU140" i="5"/>
  <c r="DT140" i="5"/>
  <c r="DS140" i="5"/>
  <c r="DR140" i="5"/>
  <c r="DQ140" i="5"/>
  <c r="DO140" i="5"/>
  <c r="DN140" i="5"/>
  <c r="DM140" i="5"/>
  <c r="DK140" i="5"/>
  <c r="DJ140" i="5"/>
  <c r="DI140" i="5"/>
  <c r="DH140" i="5"/>
  <c r="DG140" i="5"/>
  <c r="DF140" i="5"/>
  <c r="DD140" i="5"/>
  <c r="DC140" i="5"/>
  <c r="DB140" i="5"/>
  <c r="CZ140" i="5"/>
  <c r="CY140" i="5"/>
  <c r="CX140" i="5"/>
  <c r="CW140" i="5"/>
  <c r="CV140" i="5"/>
  <c r="CU140" i="5"/>
  <c r="CT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L140" i="5"/>
  <c r="BK140" i="5"/>
  <c r="BJ140" i="5"/>
  <c r="BI140" i="5"/>
  <c r="BG140" i="5"/>
  <c r="BE140" i="5"/>
  <c r="BD140" i="5"/>
  <c r="BC140" i="5"/>
  <c r="BB140" i="5"/>
  <c r="BA140" i="5"/>
  <c r="AY140" i="5"/>
  <c r="AW140" i="5"/>
  <c r="AV140" i="5"/>
  <c r="AU140" i="5"/>
  <c r="AT140" i="5"/>
  <c r="AS140" i="5"/>
  <c r="AR140" i="5"/>
  <c r="AP140" i="5"/>
  <c r="AO140" i="5"/>
  <c r="AN140" i="5"/>
  <c r="AM140" i="5"/>
  <c r="AI140" i="5"/>
  <c r="AG140" i="5"/>
  <c r="AF140" i="5"/>
  <c r="AE140" i="5"/>
  <c r="AD140" i="5"/>
  <c r="AC140" i="5"/>
  <c r="AB140" i="5"/>
  <c r="AA140" i="5"/>
  <c r="Z140" i="5"/>
  <c r="Y140" i="5"/>
  <c r="X140" i="5"/>
  <c r="W140" i="5"/>
  <c r="U140" i="5"/>
  <c r="T140" i="5"/>
  <c r="S140" i="5"/>
  <c r="R140" i="5"/>
  <c r="HQ139" i="5"/>
  <c r="HO139" i="5"/>
  <c r="HN139" i="5"/>
  <c r="HM139" i="5"/>
  <c r="HL139" i="5"/>
  <c r="HK139" i="5"/>
  <c r="HJ139" i="5"/>
  <c r="HI139" i="5"/>
  <c r="HH139" i="5"/>
  <c r="HG139" i="5"/>
  <c r="HF139" i="5"/>
  <c r="HE139" i="5"/>
  <c r="HD139" i="5"/>
  <c r="HC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FA139" i="5"/>
  <c r="DW139" i="5"/>
  <c r="DL139" i="5"/>
  <c r="DA139" i="5"/>
  <c r="BF139" i="5"/>
  <c r="AH139" i="5"/>
  <c r="Q139" i="5"/>
  <c r="P139" i="5"/>
  <c r="HQ138" i="5"/>
  <c r="HO138" i="5"/>
  <c r="HN138" i="5"/>
  <c r="HM138" i="5"/>
  <c r="HL138" i="5"/>
  <c r="HK138" i="5"/>
  <c r="HJ138" i="5"/>
  <c r="HI138" i="5"/>
  <c r="HH138" i="5"/>
  <c r="HG138" i="5"/>
  <c r="HF138" i="5"/>
  <c r="HE138" i="5"/>
  <c r="HD138" i="5"/>
  <c r="HC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FA138" i="5"/>
  <c r="DW138" i="5"/>
  <c r="DL138" i="5"/>
  <c r="DA138" i="5"/>
  <c r="BF138" i="5"/>
  <c r="AH138" i="5"/>
  <c r="Q138" i="5"/>
  <c r="P138" i="5"/>
  <c r="HQ137" i="5"/>
  <c r="HO137" i="5"/>
  <c r="HN137" i="5"/>
  <c r="HM137" i="5"/>
  <c r="HL137" i="5"/>
  <c r="HK137" i="5"/>
  <c r="HJ137" i="5"/>
  <c r="HI137" i="5"/>
  <c r="HI140" i="5" s="1"/>
  <c r="HH137" i="5"/>
  <c r="HH140" i="5" s="1"/>
  <c r="HG137" i="5"/>
  <c r="HG140" i="5" s="1"/>
  <c r="HF137" i="5"/>
  <c r="HF140" i="5" s="1"/>
  <c r="HE137" i="5"/>
  <c r="HE140" i="5" s="1"/>
  <c r="HD137" i="5"/>
  <c r="HD140" i="5" s="1"/>
  <c r="HC137" i="5"/>
  <c r="HB137" i="5"/>
  <c r="HB140" i="5" s="1"/>
  <c r="HA137" i="5"/>
  <c r="HA140" i="5" s="1"/>
  <c r="GZ137" i="5"/>
  <c r="GZ140" i="5" s="1"/>
  <c r="GY137" i="5"/>
  <c r="GY140" i="5" s="1"/>
  <c r="GX137" i="5"/>
  <c r="GW137" i="5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P140" i="5" s="1"/>
  <c r="GO137" i="5"/>
  <c r="GO140" i="5" s="1"/>
  <c r="GM137" i="5"/>
  <c r="GL137" i="5"/>
  <c r="GL140" i="5" s="1"/>
  <c r="GK137" i="5"/>
  <c r="GK140" i="5" s="1"/>
  <c r="GJ137" i="5"/>
  <c r="GJ140" i="5" s="1"/>
  <c r="GI137" i="5"/>
  <c r="GI140" i="5" s="1"/>
  <c r="GH137" i="5"/>
  <c r="GG137" i="5"/>
  <c r="GG140" i="5" s="1"/>
  <c r="GF137" i="5"/>
  <c r="GF140" i="5" s="1"/>
  <c r="GE137" i="5"/>
  <c r="GE140" i="5" s="1"/>
  <c r="GD137" i="5"/>
  <c r="GD140" i="5" s="1"/>
  <c r="GC137" i="5"/>
  <c r="GB137" i="5"/>
  <c r="GB140" i="5" s="1"/>
  <c r="FA137" i="5"/>
  <c r="FA140" i="5" s="1"/>
  <c r="DW137" i="5"/>
  <c r="DL137" i="5"/>
  <c r="DL140" i="5" s="1"/>
  <c r="DA137" i="5"/>
  <c r="BF137" i="5"/>
  <c r="AH137" i="5"/>
  <c r="Q137" i="5"/>
  <c r="P137" i="5"/>
  <c r="HU136" i="5"/>
  <c r="HT136" i="5"/>
  <c r="HS136" i="5"/>
  <c r="HR136" i="5"/>
  <c r="HQ136" i="5"/>
  <c r="HO136" i="5"/>
  <c r="HN136" i="5"/>
  <c r="GB136" i="5"/>
  <c r="FA136" i="5"/>
  <c r="DW136" i="5"/>
  <c r="DL136" i="5"/>
  <c r="DA136" i="5"/>
  <c r="CZ136" i="5"/>
  <c r="CY136" i="5"/>
  <c r="CX136" i="5"/>
  <c r="CW136" i="5"/>
  <c r="CV136" i="5"/>
  <c r="CU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Y136" i="5"/>
  <c r="AW136" i="5"/>
  <c r="AV136" i="5"/>
  <c r="AU136" i="5"/>
  <c r="AT136" i="5"/>
  <c r="AS136" i="5"/>
  <c r="AR136" i="5"/>
  <c r="AP136" i="5"/>
  <c r="AO136" i="5"/>
  <c r="AN136" i="5"/>
  <c r="AM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U136" i="5"/>
  <c r="T136" i="5"/>
  <c r="S136" i="5"/>
  <c r="R136" i="5"/>
  <c r="Q136" i="5"/>
  <c r="P136" i="5"/>
  <c r="B64" i="5"/>
  <c r="B124" i="5"/>
  <c r="B63" i="5"/>
  <c r="B53" i="5"/>
  <c r="B123" i="5"/>
  <c r="B87" i="5"/>
  <c r="B62" i="5"/>
  <c r="B122" i="5"/>
  <c r="B86" i="5"/>
  <c r="B121" i="5"/>
  <c r="B85" i="5"/>
  <c r="B48" i="5"/>
  <c r="B96" i="5"/>
  <c r="B120" i="5"/>
  <c r="B84" i="5"/>
  <c r="B36" i="5"/>
  <c r="B37" i="5"/>
  <c r="B82" i="5"/>
  <c r="B83" i="5"/>
  <c r="B60" i="5"/>
  <c r="B117" i="5"/>
  <c r="B80" i="5"/>
  <c r="B38" i="5"/>
  <c r="B119" i="5"/>
  <c r="B116" i="5"/>
  <c r="B81" i="5"/>
  <c r="B118" i="5"/>
  <c r="B47" i="5"/>
  <c r="B59" i="5"/>
  <c r="B78" i="5"/>
  <c r="B35" i="5"/>
  <c r="B57" i="5"/>
  <c r="B21" i="5"/>
  <c r="B29" i="5"/>
  <c r="B20" i="5"/>
  <c r="B115" i="5"/>
  <c r="B49" i="5"/>
  <c r="B46" i="5"/>
  <c r="B19" i="5"/>
  <c r="B30" i="5"/>
  <c r="B79" i="5"/>
  <c r="B58" i="5"/>
  <c r="B61" i="5"/>
  <c r="B45" i="5"/>
  <c r="B40" i="5"/>
  <c r="B95" i="5"/>
  <c r="B77" i="5"/>
  <c r="B24" i="5"/>
  <c r="B32" i="5"/>
  <c r="B114" i="5"/>
  <c r="B27" i="5"/>
  <c r="B97" i="5"/>
  <c r="B14" i="5"/>
  <c r="B7" i="5"/>
  <c r="B113" i="5"/>
  <c r="B76" i="5"/>
  <c r="B112" i="5"/>
  <c r="B94" i="5"/>
  <c r="B56" i="5"/>
  <c r="B10" i="5"/>
  <c r="B93" i="5"/>
  <c r="B22" i="5"/>
  <c r="B105" i="5"/>
  <c r="B55" i="5"/>
  <c r="B9" i="5"/>
  <c r="B41" i="5"/>
  <c r="B109" i="5"/>
  <c r="B17" i="5"/>
  <c r="B110" i="5"/>
  <c r="B28" i="5"/>
  <c r="B108" i="5"/>
  <c r="B75" i="5"/>
  <c r="B5" i="5"/>
  <c r="B52" i="5"/>
  <c r="B69" i="5"/>
  <c r="B74" i="5"/>
  <c r="B92" i="5"/>
  <c r="B11" i="5"/>
  <c r="B73" i="5"/>
  <c r="B107" i="5"/>
  <c r="B104" i="5"/>
  <c r="B72" i="5"/>
  <c r="B70" i="5"/>
  <c r="B23" i="5"/>
  <c r="B102" i="5"/>
  <c r="B43" i="5"/>
  <c r="B131" i="5"/>
  <c r="B134" i="5"/>
  <c r="B106" i="5"/>
  <c r="B125" i="5"/>
  <c r="B132" i="5"/>
  <c r="B126" i="5"/>
  <c r="B133" i="5"/>
  <c r="B135" i="5"/>
  <c r="B54" i="5"/>
  <c r="B129" i="5"/>
  <c r="B128" i="5"/>
  <c r="B42" i="5"/>
  <c r="B44" i="5"/>
  <c r="B13" i="5"/>
  <c r="B127" i="5"/>
  <c r="B3" i="5"/>
  <c r="B26" i="5"/>
  <c r="B25" i="5"/>
  <c r="B111" i="5"/>
  <c r="B51" i="5"/>
  <c r="B130" i="5"/>
  <c r="B15" i="5"/>
  <c r="B101" i="5"/>
  <c r="B4" i="5"/>
  <c r="B91" i="5"/>
  <c r="B71" i="5"/>
  <c r="B103" i="5"/>
  <c r="B65" i="5"/>
  <c r="B8" i="5"/>
  <c r="B50" i="5"/>
  <c r="B88" i="5"/>
  <c r="B16" i="5"/>
  <c r="B6" i="5"/>
  <c r="B68" i="5"/>
  <c r="B100" i="5"/>
  <c r="B67" i="5"/>
  <c r="B31" i="5"/>
  <c r="B90" i="5"/>
  <c r="B34" i="5"/>
  <c r="B66" i="5"/>
  <c r="B33" i="5"/>
  <c r="B12" i="5"/>
  <c r="B39" i="5"/>
  <c r="B98" i="5"/>
  <c r="B99" i="5"/>
  <c r="B89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G796" i="7" l="1"/>
  <c r="S796" i="7" s="1"/>
  <c r="M796" i="7" s="1"/>
  <c r="G797" i="7"/>
  <c r="S797" i="7" s="1"/>
  <c r="M797" i="7" s="1"/>
  <c r="H810" i="7"/>
  <c r="T810" i="7" s="1"/>
  <c r="N810" i="7" s="1"/>
  <c r="I810" i="7"/>
  <c r="U810" i="7" s="1"/>
  <c r="O810" i="7" s="1"/>
  <c r="G810" i="7"/>
  <c r="S810" i="7" s="1"/>
  <c r="M810" i="7" s="1"/>
  <c r="U171" i="8"/>
  <c r="V169" i="8"/>
  <c r="I803" i="7"/>
  <c r="U803" i="7" s="1"/>
  <c r="O803" i="7" s="1"/>
  <c r="H803" i="7"/>
  <c r="T803" i="7" s="1"/>
  <c r="N803" i="7" s="1"/>
  <c r="H804" i="7"/>
  <c r="T804" i="7" s="1"/>
  <c r="N804" i="7" s="1"/>
  <c r="G803" i="7"/>
  <c r="S803" i="7" s="1"/>
  <c r="M803" i="7" s="1"/>
  <c r="G965" i="7"/>
  <c r="G959" i="7"/>
  <c r="G960" i="7"/>
  <c r="G961" i="7"/>
  <c r="G966" i="7"/>
  <c r="G879" i="7"/>
  <c r="G874" i="7"/>
  <c r="G806" i="7"/>
  <c r="S806" i="7" s="1"/>
  <c r="M806" i="7" s="1"/>
  <c r="G798" i="7"/>
  <c r="S798" i="7" s="1"/>
  <c r="M798" i="7" s="1"/>
  <c r="G807" i="7"/>
  <c r="S807" i="7" s="1"/>
  <c r="M807" i="7" s="1"/>
  <c r="G799" i="7"/>
  <c r="S799" i="7" s="1"/>
  <c r="M799" i="7" s="1"/>
  <c r="T809" i="7"/>
  <c r="N809" i="7" s="1"/>
  <c r="I802" i="7"/>
  <c r="U802" i="7" s="1"/>
  <c r="O802" i="7" s="1"/>
  <c r="H808" i="7"/>
  <c r="T808" i="7" s="1"/>
  <c r="N808" i="7" s="1"/>
  <c r="G958" i="7"/>
  <c r="I800" i="7"/>
  <c r="U800" i="7" s="1"/>
  <c r="O800" i="7" s="1"/>
  <c r="H801" i="7"/>
  <c r="T801" i="7" s="1"/>
  <c r="N801" i="7" s="1"/>
  <c r="G964" i="7"/>
  <c r="I801" i="7"/>
  <c r="U801" i="7" s="1"/>
  <c r="O801" i="7" s="1"/>
  <c r="H802" i="7"/>
  <c r="T802" i="7" s="1"/>
  <c r="N802" i="7" s="1"/>
  <c r="G957" i="7"/>
  <c r="G963" i="7"/>
  <c r="G872" i="7"/>
  <c r="H800" i="7"/>
  <c r="T800" i="7" s="1"/>
  <c r="N800" i="7" s="1"/>
  <c r="I808" i="7"/>
  <c r="U808" i="7" s="1"/>
  <c r="O808" i="7" s="1"/>
  <c r="G873" i="7"/>
  <c r="I809" i="7"/>
  <c r="U809" i="7" s="1"/>
  <c r="O809" i="7" s="1"/>
  <c r="G809" i="7"/>
  <c r="S809" i="7" s="1"/>
  <c r="M809" i="7" s="1"/>
  <c r="G878" i="7"/>
  <c r="G808" i="7"/>
  <c r="S808" i="7" s="1"/>
  <c r="M808" i="7" s="1"/>
  <c r="G877" i="7"/>
  <c r="G871" i="7"/>
  <c r="G801" i="7"/>
  <c r="S801" i="7" s="1"/>
  <c r="M801" i="7" s="1"/>
  <c r="G802" i="7"/>
  <c r="S802" i="7" s="1"/>
  <c r="M802" i="7" s="1"/>
  <c r="G800" i="7"/>
  <c r="S800" i="7" s="1"/>
  <c r="M800" i="7" s="1"/>
  <c r="L661" i="7"/>
  <c r="J662" i="7"/>
  <c r="L662" i="7"/>
  <c r="J661" i="7"/>
  <c r="C789" i="7"/>
  <c r="D789" i="7"/>
  <c r="G789" i="7"/>
  <c r="D790" i="7"/>
  <c r="G790" i="7"/>
  <c r="H789" i="7"/>
  <c r="H790" i="7"/>
  <c r="C790" i="7"/>
  <c r="D661" i="7"/>
  <c r="C661" i="7"/>
  <c r="V167" i="8"/>
  <c r="U162" i="8"/>
  <c r="G661" i="7"/>
  <c r="H661" i="7"/>
  <c r="G653" i="7"/>
  <c r="G654" i="7"/>
  <c r="G655" i="7"/>
  <c r="F646" i="7"/>
  <c r="G649" i="7"/>
  <c r="G650" i="7"/>
  <c r="F656" i="7"/>
  <c r="G648" i="7"/>
  <c r="G651" i="7"/>
  <c r="G652" i="7"/>
  <c r="GC140" i="5"/>
  <c r="T167" i="8"/>
  <c r="T165" i="8"/>
  <c r="V166" i="8"/>
  <c r="V168" i="8"/>
  <c r="T166" i="8"/>
  <c r="U164" i="8"/>
  <c r="S162" i="8"/>
  <c r="U163" i="8"/>
  <c r="C101" i="5"/>
  <c r="V171" i="8"/>
  <c r="U167" i="8"/>
  <c r="S163" i="8"/>
  <c r="U170" i="8"/>
  <c r="AL136" i="5"/>
  <c r="U165" i="8"/>
  <c r="T173" i="8"/>
  <c r="S167" i="8"/>
  <c r="T164" i="8"/>
  <c r="U169" i="8"/>
  <c r="V173" i="8"/>
  <c r="V165" i="8"/>
  <c r="S166" i="8"/>
  <c r="T163" i="8"/>
  <c r="U168" i="8"/>
  <c r="V164" i="8"/>
  <c r="S173" i="8"/>
  <c r="S165" i="8"/>
  <c r="T170" i="8"/>
  <c r="T162" i="8"/>
  <c r="V163" i="8"/>
  <c r="S164" i="8"/>
  <c r="U166" i="8"/>
  <c r="V170" i="8"/>
  <c r="V162" i="8"/>
  <c r="U173" i="8"/>
  <c r="S170" i="8"/>
  <c r="C75" i="5"/>
  <c r="R174" i="8"/>
  <c r="Q163" i="8"/>
  <c r="Q174" i="8" s="1"/>
  <c r="C71" i="5"/>
  <c r="O175" i="8"/>
  <c r="Q176" i="8" s="1"/>
  <c r="P175" i="8"/>
  <c r="R176" i="8" s="1"/>
  <c r="P174" i="8"/>
  <c r="O174" i="8"/>
  <c r="G329" i="7"/>
  <c r="M499" i="7"/>
  <c r="G179" i="7"/>
  <c r="D50" i="8"/>
  <c r="D49" i="8" s="1"/>
  <c r="G140" i="7"/>
  <c r="A81" i="7"/>
  <c r="BF140" i="5"/>
  <c r="HJ140" i="5"/>
  <c r="GW140" i="5"/>
  <c r="DA140" i="5"/>
  <c r="GX140" i="5"/>
  <c r="DW140" i="5"/>
  <c r="ER141" i="5"/>
  <c r="EK142" i="5" s="1"/>
  <c r="EZ141" i="5"/>
  <c r="C47" i="5"/>
  <c r="C85" i="5"/>
  <c r="C39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20" i="5"/>
  <c r="C134" i="5"/>
  <c r="C133" i="5"/>
  <c r="C82" i="5"/>
  <c r="C31" i="5"/>
  <c r="C3" i="5"/>
  <c r="HN140" i="5"/>
  <c r="C22" i="5"/>
  <c r="C50" i="5"/>
  <c r="C120" i="5"/>
  <c r="C56" i="5"/>
  <c r="C68" i="5"/>
  <c r="C65" i="5"/>
  <c r="C111" i="5"/>
  <c r="C32" i="5"/>
  <c r="C15" i="5"/>
  <c r="C25" i="5"/>
  <c r="C21" i="5"/>
  <c r="J215" i="7"/>
  <c r="G226" i="7"/>
  <c r="J226" i="7" s="1"/>
  <c r="C6" i="5"/>
  <c r="C67" i="5"/>
  <c r="C135" i="5"/>
  <c r="J217" i="7"/>
  <c r="C92" i="5"/>
  <c r="C103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95" i="5"/>
  <c r="C99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40" i="5"/>
  <c r="C9" i="5"/>
  <c r="C100" i="5"/>
  <c r="C106" i="5"/>
  <c r="C5" i="5"/>
  <c r="C66" i="5"/>
  <c r="C109" i="5"/>
  <c r="C33" i="5"/>
  <c r="C45" i="5"/>
  <c r="C55" i="5"/>
  <c r="C59" i="5"/>
  <c r="C10" i="5"/>
  <c r="C83" i="5"/>
  <c r="C119" i="5"/>
  <c r="C35" i="5"/>
  <c r="C28" i="5"/>
  <c r="C69" i="5"/>
  <c r="C108" i="5"/>
  <c r="C27" i="5"/>
  <c r="C23" i="5"/>
  <c r="C17" i="5"/>
  <c r="C37" i="5"/>
  <c r="C49" i="5"/>
  <c r="C131" i="5"/>
  <c r="C70" i="5"/>
  <c r="C121" i="5"/>
  <c r="GN164" i="3"/>
  <c r="GF164" i="3"/>
  <c r="FX164" i="3"/>
  <c r="FP164" i="3"/>
  <c r="HB164" i="3"/>
  <c r="A52" i="7"/>
  <c r="C46" i="7" s="1"/>
  <c r="C63" i="5"/>
  <c r="C14" i="5"/>
  <c r="C88" i="5"/>
  <c r="C46" i="5"/>
  <c r="C84" i="5"/>
  <c r="C11" i="5"/>
  <c r="HC140" i="5"/>
  <c r="C54" i="5"/>
  <c r="C74" i="5"/>
  <c r="C90" i="5"/>
  <c r="C113" i="5"/>
  <c r="C118" i="5"/>
  <c r="A35" i="7"/>
  <c r="A120" i="7"/>
  <c r="C114" i="5"/>
  <c r="A40" i="7"/>
  <c r="GH140" i="5"/>
  <c r="A39" i="7"/>
  <c r="C79" i="5"/>
  <c r="C18" i="5"/>
  <c r="A38" i="7"/>
  <c r="A37" i="7"/>
  <c r="C72" i="5"/>
  <c r="C78" i="5"/>
  <c r="C26" i="5"/>
  <c r="A31" i="7"/>
  <c r="C29" i="7" s="1"/>
  <c r="A36" i="7"/>
  <c r="A41" i="7"/>
  <c r="C7" i="5"/>
  <c r="C122" i="5"/>
  <c r="C117" i="5"/>
  <c r="C77" i="5"/>
  <c r="C110" i="5"/>
  <c r="C42" i="5"/>
  <c r="C12" i="5"/>
  <c r="GG164" i="3"/>
  <c r="DK268" i="1"/>
  <c r="C62" i="5"/>
  <c r="C116" i="5"/>
  <c r="C30" i="5"/>
  <c r="C127" i="5"/>
  <c r="C29" i="5"/>
  <c r="C104" i="5"/>
  <c r="C125" i="5"/>
  <c r="C132" i="5"/>
  <c r="C36" i="5"/>
  <c r="C38" i="5"/>
  <c r="C126" i="5"/>
  <c r="C94" i="5"/>
  <c r="C76" i="5"/>
  <c r="C128" i="5"/>
  <c r="C130" i="5"/>
  <c r="C60" i="5"/>
  <c r="C81" i="5"/>
  <c r="C61" i="5"/>
  <c r="C24" i="5"/>
  <c r="C16" i="5"/>
  <c r="C52" i="5"/>
  <c r="C89" i="5"/>
  <c r="C19" i="5"/>
  <c r="C107" i="5"/>
  <c r="C91" i="5"/>
  <c r="C34" i="5"/>
  <c r="C86" i="5"/>
  <c r="C80" i="5"/>
  <c r="C112" i="5"/>
  <c r="C102" i="5"/>
  <c r="A121" i="7"/>
  <c r="C124" i="5"/>
  <c r="A122" i="7"/>
  <c r="C73" i="5"/>
  <c r="C115" i="5"/>
  <c r="C48" i="5"/>
  <c r="C44" i="5"/>
  <c r="C57" i="5"/>
  <c r="C4" i="5"/>
  <c r="A117" i="7"/>
  <c r="C93" i="5"/>
  <c r="C41" i="5"/>
  <c r="C8" i="5"/>
  <c r="C87" i="5"/>
  <c r="C64" i="5"/>
  <c r="C53" i="5"/>
  <c r="C129" i="5"/>
  <c r="C58" i="5"/>
  <c r="C98" i="5"/>
  <c r="C97" i="5"/>
  <c r="C43" i="5"/>
  <c r="C51" i="5"/>
  <c r="C105" i="5"/>
  <c r="C13" i="5"/>
  <c r="C96" i="5"/>
  <c r="C123" i="5"/>
  <c r="A77" i="7"/>
  <c r="A82" i="7"/>
  <c r="A80" i="7"/>
  <c r="A79" i="7"/>
  <c r="A78" i="7"/>
  <c r="HL140" i="5"/>
  <c r="HO140" i="5"/>
  <c r="HQ140" i="5"/>
  <c r="GM140" i="5"/>
  <c r="C18" i="7"/>
  <c r="Q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HM140" i="5"/>
  <c r="P140" i="5"/>
  <c r="AH140" i="5"/>
  <c r="HK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H791" i="7" l="1"/>
  <c r="G792" i="7"/>
  <c r="H792" i="7"/>
  <c r="G791" i="7"/>
  <c r="S174" i="8"/>
  <c r="V174" i="8"/>
  <c r="S175" i="8"/>
  <c r="S176" i="8" s="1"/>
  <c r="T175" i="8"/>
  <c r="T176" i="8" s="1"/>
  <c r="V175" i="8"/>
  <c r="V176" i="8" s="1"/>
  <c r="U174" i="8"/>
  <c r="T174" i="8"/>
  <c r="U175" i="8"/>
  <c r="U176" i="8" s="1"/>
  <c r="Q175" i="8"/>
  <c r="R175" i="8"/>
  <c r="M497" i="7"/>
  <c r="G327" i="7"/>
  <c r="M214" i="7"/>
  <c r="G177" i="7"/>
  <c r="F48" i="8"/>
  <c r="G139" i="7"/>
  <c r="M498" i="7"/>
  <c r="G328" i="7"/>
  <c r="M215" i="7"/>
  <c r="G178" i="7"/>
  <c r="F47" i="8"/>
  <c r="EY142" i="5"/>
  <c r="EP142" i="5"/>
  <c r="EQ142" i="5"/>
  <c r="EX142" i="5"/>
  <c r="EO142" i="5"/>
  <c r="EW142" i="5"/>
  <c r="EN142" i="5"/>
  <c r="EV142" i="5"/>
  <c r="EL142" i="5"/>
  <c r="ES142" i="5"/>
  <c r="EU142" i="5"/>
  <c r="EM142" i="5"/>
  <c r="ET142" i="5"/>
  <c r="K333" i="7"/>
  <c r="D181" i="7"/>
  <c r="D48" i="8"/>
  <c r="G138" i="7"/>
  <c r="K183" i="7"/>
  <c r="K144" i="7"/>
  <c r="H218" i="7"/>
  <c r="Q220" i="7"/>
  <c r="D258" i="7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380" i="7"/>
  <c r="D392" i="7"/>
  <c r="D538" i="7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ER142" i="5" l="1"/>
  <c r="M496" i="7"/>
  <c r="G326" i="7"/>
  <c r="M213" i="7"/>
  <c r="G176" i="7"/>
  <c r="F49" i="8"/>
  <c r="EZ142" i="5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M495" i="7" l="1"/>
  <c r="G325" i="7"/>
  <c r="M212" i="7"/>
  <c r="G175" i="7"/>
  <c r="F50" i="8"/>
  <c r="J502" i="7" s="1"/>
  <c r="F181" i="7"/>
  <c r="F182" i="7" s="1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M494" i="7" l="1"/>
  <c r="G324" i="7"/>
  <c r="H324" i="7" s="1"/>
  <c r="I324" i="7" s="1"/>
  <c r="M211" i="7"/>
  <c r="G174" i="7"/>
  <c r="H174" i="7" s="1"/>
  <c r="I174" i="7" s="1"/>
  <c r="F51" i="8"/>
  <c r="J219" i="7" s="1"/>
  <c r="D144" i="7"/>
  <c r="D183" i="7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I139" i="7" s="1"/>
  <c r="H136" i="7"/>
  <c r="I136" i="7" s="1"/>
  <c r="H137" i="7"/>
  <c r="I137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D45" i="8"/>
  <c r="G135" i="7"/>
  <c r="H135" i="7" s="1"/>
  <c r="I135" i="7" s="1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D406" i="7" l="1"/>
  <c r="D260" i="7"/>
  <c r="D540" i="7"/>
  <c r="D333" i="7"/>
  <c r="M493" i="7"/>
  <c r="M210" i="7"/>
  <c r="N210" i="7" s="1"/>
  <c r="O210" i="7" s="1"/>
  <c r="G173" i="7"/>
  <c r="H173" i="7" s="1"/>
  <c r="I173" i="7" s="1"/>
  <c r="J173" i="7" s="1"/>
  <c r="K173" i="7" s="1"/>
  <c r="L173" i="7" s="1"/>
  <c r="M173" i="7" s="1"/>
  <c r="N173" i="7" s="1"/>
  <c r="G323" i="7"/>
  <c r="H323" i="7" s="1"/>
  <c r="I323" i="7" s="1"/>
  <c r="J323" i="7" s="1"/>
  <c r="G134" i="7"/>
  <c r="H134" i="7" s="1"/>
  <c r="I134" i="7" s="1"/>
  <c r="J134" i="7" s="1"/>
  <c r="K134" i="7" s="1"/>
  <c r="G184" i="7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6" i="7"/>
  <c r="K176" i="7" s="1"/>
  <c r="L176" i="7" s="1"/>
  <c r="M176" i="7" s="1"/>
  <c r="N176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l="1"/>
  <c r="P497" i="7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<sst xmlns="http://schemas.openxmlformats.org/spreadsheetml/2006/main" count="28557" uniqueCount="2540">
  <si>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</si>
  <si>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</si>
  <si>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</si>
  <si>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</si>
  <si>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</si>
  <si>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</si>
  <si>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</si>
  <si>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</si>
  <si>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</si>
  <si>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</si>
  <si>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</si>
  <si>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</si>
  <si>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</si>
  <si>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</si>
  <si>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</si>
  <si>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</si>
  <si>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</si>
  <si>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</si>
  <si>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</si>
  <si>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</si>
  <si>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</si>
  <si>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</si>
  <si>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</si>
  <si>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</si>
  <si>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</si>
  <si>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</si>
  <si>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</si>
  <si>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</si>
  <si>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</si>
  <si>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</si>
  <si>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</si>
  <si>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</si>
  <si>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</si>
  <si>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</si>
  <si>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</si>
  <si>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</si>
  <si>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</si>
  <si>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</si>
  <si>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</si>
  <si>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</si>
  <si>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</si>
  <si>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</si>
  <si>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</si>
  <si>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</si>
  <si>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</si>
  <si>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</si>
  <si>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</si>
  <si>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</si>
  <si>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</si>
  <si>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</si>
  <si>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</si>
  <si>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</si>
  <si>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</si>
  <si>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</si>
  <si>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</si>
  <si>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</si>
  <si>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</si>
  <si>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</si>
  <si>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</si>
  <si>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</si>
  <si>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</si>
  <si>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</si>
  <si>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</si>
  <si>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</si>
  <si>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</si>
  <si>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</si>
  <si>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</si>
  <si>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</si>
  <si>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</si>
  <si>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</si>
  <si>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</si>
  <si>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</si>
  <si>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</si>
  <si>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</si>
  <si>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</si>
  <si>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</si>
  <si>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</si>
  <si>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</si>
  <si>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</si>
  <si>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</si>
  <si>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</si>
  <si>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</si>
  <si>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</si>
  <si>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</si>
  <si>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</si>
  <si>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</si>
  <si>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</si>
  <si>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</si>
  <si>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</si>
  <si>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</si>
  <si>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</si>
  <si>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</si>
  <si>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</si>
  <si>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</si>
  <si>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</si>
  <si>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</si>
  <si>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</si>
  <si>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</si>
  <si>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</si>
  <si>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</si>
  <si>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</si>
  <si>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</si>
  <si>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</si>
  <si>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</si>
  <si>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</si>
  <si>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</si>
  <si>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</si>
  <si>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</si>
  <si>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</si>
  <si>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</si>
  <si>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</si>
  <si>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</si>
  <si>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</si>
  <si>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</si>
  <si>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</si>
  <si>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</si>
  <si>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</si>
  <si>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</si>
  <si>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</si>
  <si>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</si>
  <si>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</si>
  <si>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</si>
  <si>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</si>
  <si>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</si>
  <si>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</si>
  <si>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</si>
  <si>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</si>
  <si>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</si>
  <si>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</si>
  <si>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</si>
  <si>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</si>
  <si>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</si>
  <si>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</si>
  <si>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</si>
  <si>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</si>
  <si>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</si>
  <si>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</si>
  <si>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</si>
  <si>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</si>
  <si>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</si>
  <si>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</si>
  <si>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</si>
  <si>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</si>
  <si>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</si>
  <si>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</si>
  <si>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</si>
  <si>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</si>
  <si>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</si>
  <si>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</si>
  <si>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</si>
  <si>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</si>
  <si>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</si>
  <si>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</si>
  <si>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</si>
  <si>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</si>
  <si>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</si>
  <si>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</si>
  <si>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</si>
  <si>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</si>
  <si>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</si>
  <si>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</si>
  <si>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</si>
  <si>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</si>
  <si>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</si>
  <si>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</si>
  <si>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</si>
  <si>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</si>
  <si>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</si>
  <si>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</si>
  <si>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</si>
  <si>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</si>
  <si>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</si>
  <si>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</si>
  <si>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</si>
  <si>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</si>
  <si>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</si>
  <si>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</si>
  <si>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</si>
  <si>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</si>
  <si>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</si>
  <si>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</si>
  <si>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</si>
  <si>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</si>
  <si>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</si>
  <si>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</si>
  <si>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</si>
  <si>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</si>
  <si>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</si>
  <si>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</si>
  <si>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</si>
  <si>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</si>
  <si>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</si>
  <si>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</si>
  <si>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</si>
  <si>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</si>
  <si>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</si>
  <si>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</si>
  <si>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</si>
  <si>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</si>
  <si>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</si>
  <si>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</si>
  <si>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</si>
  <si>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</si>
  <si>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</si>
  <si>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</si>
  <si>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</si>
  <si>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</si>
  <si>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</si>
  <si>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</si>
  <si>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</si>
  <si>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</si>
  <si>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</si>
  <si>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</si>
  <si>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</si>
  <si>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</si>
  <si>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</si>
  <si>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</si>
  <si>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</si>
  <si>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</si>
  <si>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</si>
  <si>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</si>
  <si>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</si>
  <si>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</si>
  <si>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</si>
  <si>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</si>
  <si>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</si>
  <si>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</si>
  <si>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</si>
  <si>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</si>
  <si>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</si>
  <si>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</si>
  <si>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</si>
  <si>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</si>
  <si>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</si>
  <si>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</si>
  <si>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</si>
  <si>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</si>
  <si>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</si>
  <si>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</si>
  <si>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</si>
  <si>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</si>
  <si>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</si>
  <si>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</si>
  <si>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</si>
  <si>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</si>
  <si>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</si>
  <si>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</si>
  <si>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</si>
  <si>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</si>
  <si>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</si>
  <si>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</si>
  <si>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</si>
  <si>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</si>
  <si>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</si>
  <si>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</si>
  <si>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</si>
  <si>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</si>
  <si>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</si>
  <si>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</si>
  <si>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</si>
  <si>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</si>
  <si>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</si>
  <si>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</si>
  <si>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</si>
  <si>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</si>
  <si>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</si>
  <si>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</si>
  <si>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</si>
  <si>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</si>
  <si>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</si>
  <si>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</si>
  <si>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</si>
  <si>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</si>
  <si>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</si>
  <si>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</si>
  <si>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</si>
  <si>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</si>
  <si>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</si>
  <si>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</si>
  <si>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</si>
  <si>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</si>
  <si>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</si>
  <si>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</si>
  <si>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</si>
  <si>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</si>
  <si>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</si>
  <si>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</si>
  <si>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</si>
  <si>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</si>
  <si>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</si>
  <si>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</si>
  <si>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</si>
  <si>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</si>
  <si>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</si>
  <si>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</si>
  <si>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</si>
  <si>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</si>
  <si>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</si>
  <si>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</si>
  <si>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</si>
  <si>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</si>
  <si>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</si>
  <si>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</si>
  <si>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</si>
  <si>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</si>
  <si>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</si>
  <si>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</si>
  <si>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</si>
  <si>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</si>
  <si>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</si>
  <si>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</si>
  <si>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</si>
  <si>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</si>
  <si>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</si>
  <si>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</si>
  <si>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</si>
  <si>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</si>
  <si>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</si>
  <si>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</si>
  <si>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</si>
  <si>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</si>
  <si>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</si>
  <si>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</si>
  <si>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</si>
  <si>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</si>
  <si>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</si>
  <si>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</si>
  <si>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</si>
  <si>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</si>
  <si>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</si>
  <si>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</si>
  <si>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</si>
  <si>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</si>
  <si>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</si>
  <si>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</si>
  <si>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</si>
  <si>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</si>
  <si>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</si>
  <si>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</si>
  <si>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</si>
  <si>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</si>
  <si>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</si>
  <si>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</si>
  <si>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</si>
  <si>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</si>
  <si>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</si>
  <si>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</si>
  <si>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</si>
  <si>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</si>
  <si>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</si>
  <si>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</si>
  <si>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</si>
  <si>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</si>
  <si>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</si>
  <si>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</si>
  <si>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</si>
  <si>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</si>
  <si>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</si>
  <si>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</si>
  <si>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</si>
  <si>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</si>
  <si>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</si>
  <si>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</si>
  <si>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</si>
  <si>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</si>
  <si>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</si>
  <si>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</si>
  <si>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</si>
  <si>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</si>
  <si>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</si>
  <si>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</si>
  <si>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</si>
  <si>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</si>
  <si>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</si>
  <si>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</si>
  <si>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</si>
  <si>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</si>
  <si>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</si>
  <si>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</si>
  <si>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</si>
  <si>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</si>
  <si>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</si>
  <si>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</si>
  <si>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</si>
  <si>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</si>
  <si>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</si>
  <si>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</si>
  <si>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</si>
  <si>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</si>
  <si>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</si>
  <si>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</si>
  <si>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</si>
  <si>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</si>
  <si>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</si>
  <si>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</si>
  <si>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</si>
  <si>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</si>
  <si>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</si>
  <si>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</si>
  <si>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</si>
  <si>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</si>
  <si>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</si>
  <si>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</si>
  <si>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</si>
  <si>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</si>
  <si>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</si>
  <si>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</si>
  <si>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</si>
  <si>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</si>
  <si>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</si>
  <si>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</si>
  <si>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</si>
  <si>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</si>
  <si>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</si>
  <si>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</si>
  <si>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</si>
  <si>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</si>
  <si>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</si>
  <si>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</si>
  <si>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</si>
  <si>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</si>
  <si>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</si>
  <si>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</si>
  <si>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</si>
  <si>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</si>
  <si>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</si>
  <si>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</si>
  <si>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</si>
  <si>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</si>
  <si>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</si>
  <si>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</si>
  <si>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</si>
  <si>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</si>
  <si>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</si>
  <si>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</si>
  <si>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</si>
  <si>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</si>
  <si>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</si>
  <si>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</si>
  <si>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</si>
  <si>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</si>
  <si>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</si>
  <si>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</si>
  <si>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</si>
  <si>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</si>
  <si>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</si>
  <si>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</si>
  <si>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</si>
  <si>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</si>
  <si>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</si>
  <si>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</si>
  <si>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</si>
  <si>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</si>
  <si>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</si>
  <si>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</si>
  <si>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</si>
  <si>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</si>
  <si>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</si>
  <si>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</si>
  <si>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</si>
  <si>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</si>
  <si>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</si>
  <si>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</si>
  <si>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</si>
  <si>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</si>
  <si>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</si>
  <si>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</si>
  <si>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</si>
  <si>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</si>
  <si>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</si>
  <si>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</si>
  <si>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</si>
  <si>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</si>
  <si>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</si>
  <si>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</si>
  <si>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</si>
  <si>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</si>
  <si>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</si>
  <si>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</si>
  <si>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</si>
  <si>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</si>
  <si>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</si>
  <si>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</si>
  <si>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</si>
  <si>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</si>
  <si>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</si>
  <si>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</si>
  <si>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</si>
  <si>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</si>
  <si>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</si>
  <si>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</si>
  <si>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</si>
  <si>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</si>
  <si>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</si>
  <si>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</si>
  <si>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</si>
  <si>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</si>
  <si>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</si>
  <si>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</si>
  <si>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</si>
  <si>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</si>
  <si>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</si>
  <si>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</si>
  <si>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</si>
  <si>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</si>
  <si>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</si>
  <si>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</si>
  <si>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</si>
  <si>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</si>
  <si>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</si>
  <si>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</si>
  <si>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</si>
  <si>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</si>
  <si>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</si>
  <si>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</si>
  <si>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</si>
  <si>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</si>
  <si>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</si>
  <si>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</si>
  <si>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</si>
  <si>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</si>
  <si>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</si>
  <si>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</si>
  <si>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</si>
  <si>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</si>
  <si>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</si>
  <si>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</si>
  <si>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</si>
  <si>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</si>
  <si>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</si>
  <si>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</si>
  <si>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</si>
  <si>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</si>
  <si>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</si>
  <si>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</si>
  <si>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</si>
  <si>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</si>
  <si>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</si>
  <si>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</si>
  <si>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</si>
  <si>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</si>
  <si>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</si>
  <si>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</si>
  <si>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</si>
  <si>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</si>
  <si>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</si>
  <si>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</si>
  <si>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</si>
  <si>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</si>
  <si>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</si>
  <si>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</si>
  <si>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</si>
  <si>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</si>
  <si>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</si>
  <si>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</si>
  <si>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</si>
  <si>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</si>
  <si>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</si>
  <si>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</si>
  <si>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</si>
  <si>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</si>
  <si>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</si>
  <si>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</si>
  <si>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</si>
  <si>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</si>
  <si>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</si>
  <si>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</si>
  <si>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</si>
  <si>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</si>
  <si>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</si>
  <si>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</si>
  <si>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</si>
  <si>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</si>
  <si>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</si>
  <si>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</si>
  <si>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</si>
  <si>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</si>
  <si>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</si>
  <si>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</si>
  <si>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</si>
  <si>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</si>
  <si>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</si>
  <si>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</si>
  <si>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</si>
  <si>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</si>
  <si>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</si>
  <si>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</si>
  <si>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</si>
  <si>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</si>
  <si>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</si>
  <si>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</si>
  <si>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</si>
  <si>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</si>
  <si>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</si>
  <si>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</si>
  <si>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</si>
  <si>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</si>
  <si>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</si>
  <si>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</si>
  <si>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</si>
  <si>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</si>
  <si>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</si>
  <si>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</si>
  <si>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</si>
  <si>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</si>
  <si>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</si>
  <si>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</si>
  <si>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</si>
  <si>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</si>
  <si>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</si>
  <si>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</si>
  <si>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</si>
  <si>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</si>
  <si>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</si>
  <si>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</si>
  <si>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</si>
  <si>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</si>
  <si>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</si>
  <si>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</si>
  <si>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</si>
  <si>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</si>
  <si>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</si>
  <si>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</si>
  <si>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</si>
  <si>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</si>
  <si>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</si>
  <si>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</si>
  <si>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</si>
  <si>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</si>
  <si>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</si>
  <si>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</si>
  <si>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</si>
  <si>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</si>
  <si>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</si>
  <si>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</si>
  <si>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</si>
  <si>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</si>
  <si>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</si>
  <si>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</si>
  <si>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</si>
  <si>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</si>
  <si>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</si>
  <si>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</si>
  <si>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</si>
  <si>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</si>
  <si>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</si>
  <si>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</si>
  <si>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</si>
  <si>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</si>
  <si>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</si>
  <si>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</si>
  <si>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</si>
  <si>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</si>
  <si>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</si>
  <si>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</si>
  <si>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</si>
  <si>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</si>
  <si>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</si>
  <si>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</si>
  <si>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</si>
  <si>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</si>
  <si>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</si>
  <si>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</si>
  <si>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</si>
  <si>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</si>
  <si>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</si>
  <si>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</si>
  <si>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</si>
  <si>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</si>
  <si>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</si>
  <si>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</si>
  <si>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</si>
  <si>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</si>
  <si>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</si>
  <si>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</si>
  <si>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</si>
  <si>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</si>
  <si>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</si>
  <si>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</si>
  <si>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</si>
  <si>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</si>
  <si>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</si>
  <si>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</si>
  <si>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</si>
  <si>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</si>
  <si>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</si>
  <si>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</si>
  <si>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</si>
  <si>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</si>
  <si>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</si>
  <si>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</si>
  <si>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</si>
  <si>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</si>
  <si>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</si>
  <si>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</si>
  <si>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</si>
  <si>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</si>
  <si>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</si>
  <si>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</si>
  <si>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</si>
  <si>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</si>
  <si>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</si>
  <si>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</si>
  <si>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</si>
  <si>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</si>
  <si>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</si>
  <si>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</si>
  <si>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</si>
  <si>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</si>
  <si>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</si>
  <si>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</si>
  <si>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</si>
  <si>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</si>
  <si>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</si>
  <si>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</si>
  <si>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</si>
  <si>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</si>
  <si>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</si>
  <si>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</si>
  <si>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</si>
  <si>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</si>
  <si>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</si>
  <si>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</si>
  <si>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</si>
  <si>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</si>
  <si>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</si>
  <si>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</si>
  <si>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</si>
  <si>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</si>
  <si>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</si>
  <si>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</si>
  <si>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</si>
  <si>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</si>
  <si>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</si>
  <si>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</si>
  <si>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</si>
  <si>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</si>
  <si>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</si>
  <si>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</si>
  <si>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</si>
  <si>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</si>
  <si>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</si>
  <si>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</si>
  <si>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</si>
  <si>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</si>
  <si>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</si>
  <si>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</si>
  <si>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</si>
  <si>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</si>
  <si>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</si>
  <si>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</si>
  <si>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</si>
  <si>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</si>
  <si>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</si>
  <si>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</si>
  <si>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</si>
  <si>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</si>
  <si>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</si>
  <si>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</si>
  <si>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</si>
  <si>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</si>
  <si>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</si>
  <si>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</si>
  <si>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</si>
  <si>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</si>
  <si>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</si>
  <si>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</si>
  <si>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</si>
  <si>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</si>
  <si>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</si>
  <si>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</si>
  <si>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</si>
  <si>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</si>
  <si>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</si>
  <si>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</si>
  <si>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</si>
  <si>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</si>
  <si>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</si>
  <si>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</si>
  <si>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</si>
  <si>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</si>
  <si>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</si>
  <si>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</si>
  <si>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</si>
  <si>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</si>
  <si>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</si>
  <si>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</si>
  <si>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</si>
  <si>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</si>
  <si>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</si>
  <si>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</si>
  <si>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</si>
  <si>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</si>
  <si>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</si>
  <si>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</si>
  <si>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</si>
  <si>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</si>
  <si>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</si>
  <si>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</si>
  <si>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</si>
  <si>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</si>
  <si>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</si>
  <si>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</si>
  <si>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</si>
  <si>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</si>
  <si>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</si>
  <si>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</si>
  <si>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</si>
  <si>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</si>
  <si>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</si>
  <si>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</si>
  <si>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</si>
  <si>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</si>
  <si>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</si>
  <si>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</si>
  <si>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</si>
  <si>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</si>
  <si>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</si>
  <si>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</si>
  <si>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</si>
  <si>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</si>
  <si>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</si>
  <si>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</si>
  <si>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</si>
  <si>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</si>
  <si>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</si>
  <si>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</si>
  <si>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</si>
  <si>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</si>
  <si>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</si>
  <si>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</si>
  <si>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</si>
  <si>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</si>
  <si>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</si>
  <si>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</si>
  <si>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</si>
  <si>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</si>
  <si>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</si>
  <si>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</si>
  <si>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</si>
  <si>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</si>
  <si>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</si>
  <si>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</si>
  <si>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</si>
  <si>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</si>
  <si>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</si>
  <si>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</si>
  <si>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</si>
  <si>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</si>
  <si>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</si>
  <si>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</si>
  <si>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</si>
  <si>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</si>
  <si>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</si>
  <si>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</si>
  <si>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</si>
  <si>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</si>
  <si>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</si>
  <si>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</si>
  <si>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</si>
  <si>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</si>
  <si>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</si>
  <si>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</si>
  <si>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</si>
  <si>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</si>
  <si>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</si>
  <si>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</si>
  <si>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</si>
  <si>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</si>
  <si>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</si>
  <si>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</si>
  <si>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</si>
  <si>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</si>
  <si>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</si>
  <si>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</si>
  <si>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</si>
  <si>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</si>
  <si>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</si>
  <si>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</si>
  <si>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</si>
  <si>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</si>
  <si>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</si>
  <si>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</si>
  <si>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</si>
  <si>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</si>
  <si>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</si>
  <si>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</si>
  <si>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</si>
  <si>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</si>
  <si>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</si>
  <si>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</si>
  <si>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</si>
  <si>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</si>
  <si>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</si>
  <si>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</si>
  <si>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</si>
  <si>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</si>
  <si>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</si>
  <si>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</si>
  <si>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</si>
  <si>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</si>
  <si>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</si>
  <si>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</si>
  <si>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</si>
  <si>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</si>
  <si>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</si>
  <si>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</si>
  <si>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</si>
  <si>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</si>
  <si>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</si>
  <si>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</si>
  <si>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</si>
  <si>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</si>
  <si>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</si>
  <si>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</si>
  <si>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</si>
  <si>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</si>
  <si>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</si>
  <si>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</si>
  <si>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</si>
  <si>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</si>
  <si>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</si>
  <si>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</si>
  <si>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</si>
  <si>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</si>
  <si>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</si>
  <si>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</si>
  <si>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</si>
  <si>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</si>
  <si>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</si>
  <si>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</si>
  <si>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</si>
  <si>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</si>
  <si>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</si>
  <si>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</si>
  <si>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</si>
  <si>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</si>
  <si>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</si>
  <si>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</si>
  <si>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</si>
  <si>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</si>
  <si>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</si>
  <si>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</si>
  <si>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</si>
  <si>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</si>
  <si>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</si>
  <si>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</si>
  <si>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</si>
  <si>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</si>
  <si>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</si>
  <si>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</si>
  <si>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</si>
  <si>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</si>
  <si>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</si>
  <si>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</si>
  <si>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</si>
  <si>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</si>
  <si>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</si>
  <si>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</si>
  <si>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</si>
  <si>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</si>
  <si>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</si>
  <si>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</si>
  <si>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</si>
  <si>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</si>
  <si>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</si>
  <si>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</si>
  <si>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</si>
  <si>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</si>
  <si>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</si>
  <si>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</si>
  <si>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</si>
  <si>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</si>
  <si>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</si>
  <si>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</si>
  <si>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</si>
  <si>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</si>
  <si>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</si>
  <si>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</si>
  <si>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</si>
  <si>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</si>
  <si>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</si>
  <si>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</si>
  <si>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</si>
  <si>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</si>
  <si>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</si>
  <si>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</si>
  <si>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</si>
  <si>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</si>
  <si>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</si>
  <si>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</si>
  <si>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</si>
  <si>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</si>
  <si>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</si>
  <si>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</si>
  <si>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</si>
  <si>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</si>
  <si>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</si>
  <si>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</si>
  <si>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</si>
  <si>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</si>
  <si>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</si>
  <si>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</si>
  <si>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</si>
  <si>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</si>
  <si>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</si>
  <si>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</si>
  <si>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</si>
  <si>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</si>
  <si>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</si>
  <si>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</si>
  <si>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</si>
  <si>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</si>
  <si>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</si>
  <si>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</si>
  <si>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</si>
  <si>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</si>
  <si>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</si>
  <si>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</si>
  <si>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</si>
  <si>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</si>
  <si>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</si>
  <si>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</si>
  <si>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</si>
  <si>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</si>
  <si>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</si>
  <si>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</si>
  <si>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</si>
  <si>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</si>
  <si>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</si>
  <si>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</si>
  <si>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</si>
  <si>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</si>
  <si>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</si>
  <si>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</si>
  <si>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</si>
  <si>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</si>
  <si>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</si>
  <si>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</si>
  <si>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</si>
  <si>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</si>
  <si>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</si>
  <si>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</si>
  <si>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</si>
  <si>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</si>
  <si>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</si>
  <si>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</si>
  <si>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</si>
  <si>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</si>
  <si>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</si>
  <si>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</si>
  <si>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</si>
  <si>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</si>
  <si>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</si>
  <si>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</si>
  <si>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</si>
  <si>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</si>
  <si>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</si>
  <si>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</si>
  <si>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</si>
  <si>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</si>
  <si>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</si>
  <si>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</si>
  <si>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</si>
  <si>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</si>
  <si>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</si>
  <si>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</si>
  <si>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</si>
  <si>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</si>
  <si>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</si>
  <si>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</si>
  <si>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</si>
  <si>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</si>
  <si>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</si>
  <si>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</si>
  <si>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</si>
  <si>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</si>
  <si>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</si>
  <si>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</si>
  <si>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</si>
  <si>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</si>
  <si>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</si>
  <si>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</si>
  <si>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</si>
  <si>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</si>
  <si>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</si>
  <si>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</si>
  <si>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</si>
  <si>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</si>
  <si>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</si>
  <si>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</si>
  <si>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</si>
  <si>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</si>
  <si>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</si>
  <si>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</si>
  <si>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</si>
  <si>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</si>
  <si>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</si>
  <si>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</si>
  <si>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</si>
  <si>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</si>
  <si>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</si>
  <si>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</si>
  <si>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</si>
  <si>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</si>
  <si>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</si>
  <si>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</si>
  <si>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</si>
  <si>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</si>
  <si>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</si>
  <si>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</si>
  <si>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</si>
  <si>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</si>
  <si>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</si>
  <si>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</si>
  <si>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</si>
  <si>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</si>
  <si>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</si>
  <si>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</si>
  <si>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</si>
  <si>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</si>
  <si>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</si>
  <si>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</si>
  <si>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</si>
  <si>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</si>
  <si>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</si>
  <si>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</si>
  <si>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</si>
  <si>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</si>
  <si>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</si>
  <si>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</si>
  <si>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</si>
  <si>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</si>
  <si>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</si>
  <si>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</si>
  <si>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</si>
  <si>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</si>
  <si>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</si>
  <si>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</si>
  <si>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</si>
  <si>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</si>
  <si>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</si>
  <si>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</si>
  <si>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</si>
  <si>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</si>
  <si>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</si>
  <si>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</si>
  <si>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</si>
  <si>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</si>
  <si>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</si>
  <si>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</si>
  <si>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</si>
  <si>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</si>
  <si>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</si>
  <si>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</si>
  <si>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</si>
  <si>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</si>
  <si>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</si>
  <si>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</si>
  <si>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</si>
  <si>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</si>
  <si>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</si>
  <si>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</si>
  <si>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</si>
  <si>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</si>
  <si>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</si>
  <si>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</si>
  <si>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</si>
  <si>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</si>
  <si>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</si>
  <si>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</si>
  <si>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</si>
  <si>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</si>
  <si>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</si>
  <si>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</si>
  <si>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</si>
  <si>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</si>
  <si>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</si>
  <si>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</si>
  <si>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</si>
  <si>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</si>
  <si>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</si>
  <si>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</si>
  <si>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</si>
  <si>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</si>
  <si>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</si>
  <si>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</si>
  <si>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</si>
  <si>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</si>
  <si>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</si>
  <si>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</si>
  <si>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</si>
  <si>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</si>
  <si>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</si>
  <si>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</si>
  <si>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</si>
  <si>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</si>
  <si>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</si>
  <si>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</si>
  <si>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</si>
  <si>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</si>
  <si>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</si>
  <si>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</si>
  <si>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</si>
  <si>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</si>
  <si>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</si>
  <si>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</si>
  <si>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</si>
  <si>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</si>
  <si>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</si>
  <si>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</si>
  <si>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</si>
  <si>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</si>
  <si>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</si>
  <si>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</si>
  <si>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</si>
  <si>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</si>
  <si>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</si>
  <si>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</si>
  <si>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</si>
  <si>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</si>
  <si>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</si>
  <si>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</si>
  <si>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</si>
  <si>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</si>
  <si>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</si>
  <si>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</si>
  <si>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</si>
  <si>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</si>
  <si>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</si>
  <si>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</si>
  <si>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</si>
  <si>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</si>
  <si>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</si>
  <si>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</si>
  <si>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</si>
  <si>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</si>
  <si>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</si>
  <si>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</si>
  <si>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</si>
  <si>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</si>
  <si>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</si>
  <si>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</si>
  <si>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</si>
  <si>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</si>
  <si>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</si>
  <si>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</si>
  <si>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</si>
  <si>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</si>
  <si>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</si>
  <si>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</si>
  <si>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</si>
  <si>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</si>
  <si>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</si>
  <si>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</si>
  <si>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</si>
  <si>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</si>
  <si>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</si>
  <si>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</si>
  <si>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</si>
  <si>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</si>
  <si>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</si>
  <si>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</si>
  <si>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</si>
  <si>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</si>
  <si>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</si>
  <si>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</si>
  <si>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</si>
  <si>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</si>
  <si>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</si>
  <si>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</si>
  <si>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</si>
  <si>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</si>
  <si>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</si>
  <si>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</si>
  <si>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</si>
  <si>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</si>
  <si>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</si>
  <si>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</si>
  <si>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</si>
  <si>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</si>
  <si>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</si>
  <si>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</si>
  <si>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</si>
  <si>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</si>
  <si>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</si>
  <si>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</si>
  <si>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</si>
  <si>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</si>
  <si>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</si>
  <si>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</si>
  <si>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</si>
  <si>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</si>
  <si>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</si>
  <si>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</si>
  <si>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</si>
  <si>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</si>
  <si>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</si>
  <si>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</si>
  <si>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</si>
  <si>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</si>
  <si>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</si>
  <si>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</si>
  <si>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</si>
  <si>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</si>
  <si>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</si>
  <si>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</si>
  <si>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</si>
  <si>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</si>
  <si>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</si>
  <si>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</si>
  <si>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</si>
  <si>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</si>
  <si>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</si>
  <si>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</si>
  <si>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</si>
  <si>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</si>
  <si>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</si>
  <si>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</si>
  <si>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</si>
  <si>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</si>
  <si>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</si>
  <si>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</si>
  <si>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</si>
  <si>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</si>
  <si>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</si>
  <si>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</si>
  <si>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</si>
  <si>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</si>
  <si>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</si>
  <si>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</si>
  <si>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</si>
  <si>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</si>
  <si>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</si>
  <si>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</si>
  <si>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</si>
  <si>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</si>
  <si>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</si>
  <si>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</si>
  <si>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</si>
  <si>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</si>
  <si>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</si>
  <si>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</si>
  <si>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</si>
  <si>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</si>
  <si>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</si>
  <si>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</si>
  <si>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</si>
  <si>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</si>
  <si>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</si>
  <si>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</si>
  <si>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</si>
  <si>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</si>
  <si>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</si>
  <si>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</si>
  <si>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</si>
  <si>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</si>
  <si>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</si>
  <si>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</si>
  <si>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</si>
  <si>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</si>
  <si>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</si>
  <si>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</si>
  <si>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</si>
  <si>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</si>
  <si>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</si>
  <si>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</si>
  <si>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</si>
  <si>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</si>
  <si>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</si>
  <si>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</si>
  <si>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</si>
  <si>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</si>
  <si>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</si>
  <si>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</si>
  <si>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</si>
  <si>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</si>
  <si>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</si>
  <si>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</si>
  <si>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</si>
  <si>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</si>
  <si>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</si>
  <si>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</si>
  <si>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</si>
  <si>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</si>
  <si>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</si>
  <si>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</si>
  <si>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</si>
  <si>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</si>
  <si>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</si>
  <si>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</si>
  <si>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</si>
  <si>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</si>
  <si>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</si>
  <si>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</si>
  <si>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</si>
  <si>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</si>
  <si>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</si>
  <si>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</si>
  <si>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</si>
  <si>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</si>
  <si>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</si>
  <si>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</si>
  <si>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</si>
  <si>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</si>
  <si>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</si>
  <si>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</si>
  <si>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</si>
  <si>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</si>
  <si>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</si>
  <si>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</si>
  <si>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</si>
  <si>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</si>
  <si>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</si>
  <si>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</si>
  <si>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</si>
  <si>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</si>
  <si>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</si>
  <si>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</si>
  <si>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</si>
  <si>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</si>
  <si>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</si>
  <si>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</si>
  <si>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</si>
  <si>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</si>
  <si>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</si>
  <si>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</si>
  <si>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</si>
  <si>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</si>
  <si>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</si>
  <si>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</si>
  <si>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</si>
  <si>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</si>
  <si>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</si>
  <si>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</si>
  <si>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</si>
  <si>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</si>
  <si>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</si>
  <si>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</si>
  <si>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</si>
  <si>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</si>
  <si>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</si>
  <si>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</si>
  <si>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</si>
  <si>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</si>
  <si>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</si>
  <si>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</si>
  <si>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</si>
  <si>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</si>
  <si>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</si>
  <si>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</si>
  <si>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</si>
  <si>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</si>
  <si>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</si>
  <si>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</si>
  <si>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</si>
  <si>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</si>
  <si>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</si>
  <si>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</si>
  <si>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</si>
  <si>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</si>
  <si>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</si>
  <si>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</si>
  <si>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</si>
  <si>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</si>
  <si>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</si>
  <si>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</si>
  <si>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</si>
  <si>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</si>
  <si>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</si>
  <si>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</si>
  <si>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</si>
  <si>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</si>
  <si>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</si>
  <si>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</si>
  <si>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</si>
  <si>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</si>
  <si>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</si>
  <si>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</si>
  <si>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</si>
  <si>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</si>
  <si>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</si>
  <si>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</si>
  <si>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</si>
  <si>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</si>
  <si>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</si>
  <si>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</si>
  <si>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</si>
  <si>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</si>
  <si>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</si>
  <si>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</si>
  <si>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</si>
  <si>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</si>
  <si>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</si>
  <si>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</si>
  <si>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</si>
  <si>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</si>
  <si>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</si>
  <si>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</si>
  <si>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</si>
  <si>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</si>
  <si>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</si>
  <si>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</si>
  <si>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</si>
  <si>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</si>
  <si>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</si>
  <si>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</si>
  <si>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</si>
  <si>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</si>
  <si>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</si>
  <si>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</si>
  <si>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</si>
  <si>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</si>
  <si>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</si>
  <si>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</si>
  <si>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</si>
  <si>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</si>
  <si>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</si>
  <si>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</si>
  <si>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</si>
  <si>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</si>
  <si>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</si>
  <si>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</si>
  <si>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</si>
  <si>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</si>
  <si>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</si>
  <si>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</si>
  <si>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</si>
  <si>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</si>
  <si>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</si>
  <si>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</si>
  <si>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</si>
  <si>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</si>
  <si>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</si>
  <si>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</si>
  <si>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</si>
  <si>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</si>
  <si>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</si>
  <si>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</si>
  <si>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</si>
  <si>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</si>
  <si>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</si>
  <si>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</si>
  <si>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</si>
  <si>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</si>
  <si>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</si>
  <si>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</si>
  <si>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</si>
  <si>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</si>
  <si>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</si>
  <si>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</si>
  <si>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</si>
  <si>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</si>
  <si>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</si>
  <si>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</si>
  <si>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</si>
  <si>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</si>
  <si>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</si>
  <si>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</si>
  <si>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</si>
  <si>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</si>
  <si>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</si>
  <si>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</si>
  <si>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</si>
  <si>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</si>
  <si>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</si>
  <si>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</si>
  <si>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</si>
  <si>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</si>
  <si>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</si>
  <si>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</si>
  <si>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</si>
  <si>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</si>
  <si>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</si>
  <si>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</si>
  <si>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</si>
  <si>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</si>
  <si>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</si>
  <si>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</si>
  <si>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</si>
  <si>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</si>
  <si>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</si>
  <si>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</si>
  <si>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</si>
  <si>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</si>
  <si>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</si>
  <si>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</si>
  <si>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</si>
  <si>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</si>
  <si>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</si>
  <si>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</si>
  <si>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</si>
  <si>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</si>
  <si>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</si>
  <si>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</si>
  <si>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</si>
  <si>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</si>
  <si>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</si>
  <si>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</si>
  <si>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</si>
  <si>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</si>
  <si>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</si>
  <si>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</si>
  <si>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</si>
  <si>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</si>
  <si>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</si>
  <si>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</si>
  <si>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</si>
  <si>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</si>
  <si>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</si>
  <si>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</si>
  <si>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</si>
  <si>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</si>
  <si>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</si>
  <si>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</si>
  <si>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</si>
  <si>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</si>
  <si>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</si>
  <si>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</si>
  <si>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</si>
  <si>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</si>
  <si>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</si>
  <si>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</si>
  <si>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</si>
  <si>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</si>
  <si>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</si>
  <si>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</si>
  <si>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</si>
  <si>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</si>
  <si>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</si>
  <si>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</si>
  <si>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</si>
  <si>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</si>
  <si>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</si>
  <si>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</si>
  <si>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</si>
  <si>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</si>
  <si>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</si>
  <si>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</si>
  <si>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</si>
  <si>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</si>
  <si>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</si>
  <si>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</si>
  <si>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</si>
  <si>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</si>
  <si>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</si>
  <si>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</si>
  <si>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</si>
  <si>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</si>
  <si>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</si>
  <si>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</si>
  <si>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</si>
  <si>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</si>
  <si>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</si>
  <si>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</si>
  <si>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</si>
  <si>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</si>
  <si>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</si>
  <si>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</si>
  <si>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</si>
  <si>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</si>
  <si>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</si>
  <si>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</si>
  <si>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</si>
  <si>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</si>
  <si>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</si>
  <si>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</si>
  <si>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</si>
  <si>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</si>
  <si>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</si>
  <si>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</si>
  <si>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</si>
  <si>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</si>
  <si>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</si>
  <si>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</si>
  <si>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</si>
  <si>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</si>
  <si>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</si>
  <si>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</si>
  <si>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</si>
  <si>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</si>
  <si>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</si>
  <si>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</si>
  <si>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</si>
  <si>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</si>
  <si>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</si>
  <si>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</si>
  <si>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</si>
  <si>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</si>
  <si>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</si>
  <si>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</si>
  <si>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</si>
  <si>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</si>
  <si>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</si>
  <si>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</si>
  <si>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</si>
  <si>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</si>
  <si>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</si>
  <si>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</si>
  <si>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</si>
  <si>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</si>
  <si>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</si>
  <si>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</si>
  <si>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</si>
  <si>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</si>
  <si>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</si>
  <si>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</si>
  <si>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</si>
  <si>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</si>
  <si>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</si>
  <si>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</si>
  <si>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</si>
  <si>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</si>
  <si>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</si>
  <si>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</si>
  <si>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</si>
  <si>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</si>
  <si>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</si>
  <si>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</si>
  <si>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</si>
  <si>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</si>
  <si>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</si>
  <si>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</si>
  <si>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</si>
  <si>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</si>
  <si>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</si>
  <si>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</si>
  <si>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</si>
  <si>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</si>
  <si>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</si>
  <si>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</si>
  <si>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</si>
  <si>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</si>
  <si>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</si>
  <si>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</si>
  <si>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</si>
  <si>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</si>
  <si>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</si>
  <si>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</si>
  <si>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</si>
  <si>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</si>
  <si>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</si>
  <si>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</si>
  <si>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</si>
  <si>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</si>
  <si>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</si>
  <si>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</si>
  <si>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</si>
  <si>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</si>
  <si>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</si>
  <si>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</si>
  <si>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</si>
  <si>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</si>
  <si>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</si>
  <si>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</si>
  <si>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</si>
  <si>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</si>
  <si>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</si>
  <si>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</si>
  <si>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</si>
  <si>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</si>
  <si>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</si>
  <si>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</si>
  <si>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</si>
  <si>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</si>
  <si>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</si>
  <si>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</si>
  <si>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</si>
  <si>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</si>
  <si>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</si>
  <si>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</si>
  <si>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</si>
  <si>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</si>
  <si>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</si>
  <si>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</si>
  <si>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</si>
  <si>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</si>
  <si>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</si>
  <si>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</si>
  <si>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</si>
  <si>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</si>
  <si>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</si>
  <si>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</si>
  <si>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</si>
  <si>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</si>
  <si>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</si>
  <si>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</si>
  <si>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</si>
  <si>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</si>
  <si>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</si>
  <si>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</si>
  <si>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</si>
  <si>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</si>
  <si>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</si>
  <si>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</si>
  <si>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</si>
  <si>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</si>
  <si>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</si>
  <si>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</si>
  <si>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</si>
  <si>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</si>
  <si>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</si>
  <si>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</si>
  <si>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</si>
  <si>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</si>
  <si>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</si>
  <si>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</si>
  <si>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</si>
  <si>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</si>
  <si>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</si>
  <si>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</si>
  <si>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</si>
  <si>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</si>
  <si>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</si>
  <si>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</si>
  <si>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</si>
  <si>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</si>
  <si>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</si>
  <si>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</si>
  <si>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</si>
  <si>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</si>
  <si>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</si>
  <si>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</si>
  <si>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</si>
  <si>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</si>
  <si>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</si>
  <si>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</si>
  <si>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</si>
  <si>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</si>
  <si>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</si>
  <si>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</si>
  <si>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</si>
  <si>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</si>
  <si>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</si>
  <si>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</si>
  <si>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</si>
  <si>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</si>
  <si>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</si>
  <si>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</si>
  <si>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</si>
  <si>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</si>
  <si>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</si>
  <si>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</si>
  <si>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</si>
  <si>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</si>
  <si>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</si>
  <si>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</si>
  <si>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</si>
  <si>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</si>
  <si>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</si>
  <si>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</si>
  <si>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</si>
  <si>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</si>
  <si>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</si>
  <si>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</si>
  <si>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</si>
  <si>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</si>
  <si>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</si>
  <si>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</si>
  <si>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</si>
  <si>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</si>
  <si>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</si>
  <si>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</si>
  <si>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</si>
  <si>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</si>
  <si>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</si>
  <si>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</si>
  <si>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</si>
  <si>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</si>
  <si>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</si>
  <si>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</si>
  <si>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</si>
  <si>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</si>
  <si>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</si>
  <si>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</si>
  <si>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</si>
  <si>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</si>
  <si>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</si>
  <si>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</si>
  <si>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</si>
  <si>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</si>
  <si>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</si>
  <si>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</si>
  <si>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</si>
  <si>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</si>
  <si>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</si>
  <si>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</si>
  <si>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</si>
  <si>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</si>
  <si>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</si>
  <si>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</si>
  <si>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</si>
  <si>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</si>
  <si>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</si>
  <si>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</si>
  <si>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</si>
  <si>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</si>
  <si>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</si>
  <si>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</si>
  <si>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</si>
  <si>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</si>
  <si>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</si>
  <si>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</si>
  <si>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</si>
  <si>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</si>
  <si>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</si>
  <si>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</si>
  <si>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</si>
  <si>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</si>
  <si>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</si>
  <si>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</si>
  <si>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</si>
  <si>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</si>
  <si>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</si>
  <si>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</si>
  <si>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</si>
  <si>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</si>
  <si>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</si>
  <si>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</si>
  <si>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</si>
  <si>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</si>
  <si>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</si>
  <si>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</si>
  <si>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</si>
  <si>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</si>
  <si>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</si>
  <si>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</si>
  <si>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</si>
  <si>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</si>
  <si>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</si>
  <si>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</si>
  <si>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</si>
  <si>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</si>
  <si>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</si>
  <si>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</si>
  <si>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</si>
  <si>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</si>
  <si>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</si>
  <si>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</si>
  <si>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</si>
  <si>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</si>
  <si>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</si>
  <si>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</si>
  <si>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</si>
  <si>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</si>
  <si>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</si>
  <si>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</si>
  <si>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</si>
  <si>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</si>
  <si>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</si>
  <si>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</si>
  <si>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</si>
  <si>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</si>
  <si>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</si>
  <si>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</si>
  <si>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</si>
  <si>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</si>
  <si>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</si>
  <si>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</si>
  <si>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</si>
  <si>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</si>
  <si>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</si>
  <si>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</si>
  <si>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</si>
  <si>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</si>
  <si>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</si>
  <si>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</si>
  <si>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</si>
  <si>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</si>
  <si>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</si>
  <si>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</si>
  <si>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</si>
  <si>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</si>
  <si>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</si>
  <si>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</si>
  <si>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</si>
  <si>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</si>
  <si>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</si>
  <si>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</si>
  <si>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</si>
  <si>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</si>
  <si>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</si>
  <si>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</si>
  <si>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</si>
  <si>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</si>
  <si>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</si>
  <si>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</si>
  <si>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</si>
  <si>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</si>
  <si>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</si>
  <si>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</si>
  <si>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</si>
  <si>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</si>
  <si>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</si>
  <si>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</si>
  <si>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</si>
  <si>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</si>
  <si>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</si>
  <si>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</si>
  <si>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</si>
  <si>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</si>
  <si>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</si>
  <si>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</si>
  <si>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</si>
  <si>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</si>
  <si>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</si>
  <si>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</si>
  <si>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</si>
  <si>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</si>
  <si>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</si>
  <si>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</si>
  <si>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</si>
  <si>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</si>
  <si>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</si>
  <si>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</si>
  <si>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</si>
  <si>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</si>
  <si>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</si>
  <si>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</si>
  <si>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</si>
  <si>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</si>
  <si>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</si>
  <si>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</si>
  <si>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</si>
  <si>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</si>
  <si>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</si>
  <si>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</si>
  <si>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</si>
  <si>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</si>
  <si>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</si>
  <si>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</si>
  <si>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</si>
  <si>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</si>
  <si>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</si>
  <si>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</si>
  <si>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</si>
  <si>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</si>
  <si>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</si>
  <si>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</si>
  <si>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</si>
  <si>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</si>
  <si>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</si>
  <si>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</si>
  <si>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</si>
  <si>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</si>
  <si>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</si>
  <si>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</si>
  <si>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</si>
  <si>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</si>
  <si>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</si>
  <si>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</si>
  <si>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</si>
  <si>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</si>
  <si>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</si>
  <si>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</si>
  <si>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</si>
  <si>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</si>
  <si>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</si>
  <si>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</si>
  <si>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</si>
  <si>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</si>
  <si>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</si>
  <si>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</si>
  <si>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</si>
  <si>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</si>
  <si>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</si>
  <si>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</si>
  <si>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</si>
  <si>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</si>
  <si>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</si>
  <si>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</si>
  <si>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</si>
  <si>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</si>
  <si>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</si>
  <si>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</si>
  <si>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</si>
  <si>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</si>
  <si>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</si>
  <si>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</si>
  <si>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</si>
  <si>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</si>
  <si>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</si>
  <si>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</si>
  <si>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</si>
  <si>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</si>
  <si>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</si>
  <si>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</si>
  <si>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</si>
  <si>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</si>
  <si>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</si>
  <si>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</si>
  <si>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</si>
  <si>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</si>
  <si>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</si>
  <si>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</si>
  <si>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</si>
  <si>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</si>
  <si>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</si>
  <si>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</si>
  <si>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</si>
  <si>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</si>
  <si>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</si>
  <si>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</si>
  <si>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</si>
  <si>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</si>
  <si>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</si>
  <si>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</si>
  <si>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</si>
  <si>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</si>
  <si>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</si>
  <si>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</si>
  <si>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</si>
  <si>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</si>
  <si>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</si>
  <si>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</si>
  <si>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</si>
  <si>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</si>
  <si>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</si>
  <si>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</si>
  <si>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</si>
  <si>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</si>
  <si>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</si>
  <si>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</si>
  <si>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</si>
  <si>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</si>
  <si>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</si>
  <si>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</si>
  <si>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</si>
  <si>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</si>
  <si>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</si>
  <si>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</si>
  <si>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</si>
  <si>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</si>
  <si>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</si>
  <si>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</si>
  <si>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</si>
  <si>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</si>
  <si>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</si>
  <si>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</si>
  <si>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</si>
  <si>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</si>
  <si>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</si>
  <si>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</si>
  <si>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</si>
  <si>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</si>
  <si>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</si>
  <si>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</si>
  <si>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</si>
  <si>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</si>
  <si>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</si>
  <si>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</si>
  <si>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</si>
  <si>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</si>
  <si>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</si>
  <si>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</si>
  <si>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</si>
  <si>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</si>
  <si>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</si>
  <si>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</si>
  <si>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</si>
  <si>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</si>
  <si>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</si>
  <si>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</si>
  <si>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</si>
  <si>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</si>
  <si>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</si>
  <si>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</si>
  <si>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</si>
  <si>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</si>
  <si>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</si>
  <si>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</si>
  <si>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</si>
  <si>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</si>
  <si>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</si>
  <si>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</si>
  <si>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</si>
  <si>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</si>
  <si>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</si>
  <si>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</si>
  <si>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</si>
  <si>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</si>
  <si>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</si>
  <si>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</si>
  <si>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</si>
  <si>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</si>
  <si>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</si>
  <si>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</si>
  <si>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</si>
  <si>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</si>
  <si>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</si>
  <si>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</si>
  <si>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</si>
  <si>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</si>
  <si>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</si>
  <si>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</si>
  <si>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</si>
  <si>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</si>
  <si>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</si>
  <si>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</si>
  <si>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</si>
  <si>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</si>
  <si>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</si>
  <si>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</si>
  <si>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</si>
  <si>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</si>
  <si>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</si>
  <si>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</si>
  <si>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</si>
  <si>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</si>
  <si>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</si>
  <si>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</si>
  <si>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</si>
  <si>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</si>
  <si>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</si>
  <si>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</si>
  <si>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</si>
  <si>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</si>
  <si>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</si>
  <si>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</si>
  <si>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</si>
  <si>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</si>
  <si>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</si>
  <si>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</si>
  <si>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</si>
  <si>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</si>
  <si>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</si>
  <si>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</si>
  <si>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</si>
  <si>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</si>
  <si>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</si>
  <si>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</si>
  <si>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</si>
  <si>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</si>
  <si>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</si>
  <si>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</si>
  <si>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</si>
  <si>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</si>
  <si>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</si>
  <si>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</si>
  <si>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</si>
  <si>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</si>
  <si>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</si>
  <si>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</si>
  <si>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</si>
  <si>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</si>
  <si>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</si>
  <si>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</si>
  <si>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</si>
  <si>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</si>
  <si>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</si>
  <si>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</si>
  <si>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</si>
  <si>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</si>
  <si>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</si>
  <si>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</si>
  <si>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</si>
  <si>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</si>
  <si>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</si>
  <si>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</si>
  <si>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</si>
  <si>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</si>
  <si>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</si>
  <si>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</si>
  <si>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</si>
  <si>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</si>
  <si>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</si>
  <si>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</si>
  <si>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</si>
  <si>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</si>
  <si>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</si>
  <si>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</si>
  <si>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</si>
  <si>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</si>
  <si>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</si>
  <si>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</si>
  <si>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</si>
  <si>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</si>
  <si>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</si>
  <si>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</si>
  <si>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</si>
  <si>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</si>
  <si>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</si>
  <si>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</si>
  <si>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</si>
  <si>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</si>
  <si>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</si>
  <si>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</si>
  <si>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</si>
  <si>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</si>
  <si>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</si>
  <si>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</si>
  <si>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</si>
  <si>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</si>
  <si>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</si>
  <si>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</si>
  <si>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</si>
  <si>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</si>
  <si>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</si>
  <si>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</si>
  <si>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</si>
  <si>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</si>
  <si>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</si>
  <si>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</si>
  <si>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</si>
  <si>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</si>
  <si>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</si>
  <si>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</si>
  <si>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</si>
  <si>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</si>
  <si>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</si>
  <si>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</si>
  <si>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</si>
  <si>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</si>
  <si>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</si>
  <si>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</si>
  <si>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</si>
  <si>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</si>
  <si>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</si>
  <si>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</si>
  <si>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</si>
  <si>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</si>
  <si>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</si>
  <si>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</si>
  <si>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</si>
  <si>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</si>
  <si>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</si>
  <si>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</si>
  <si>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</si>
  <si>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</si>
  <si>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</si>
  <si>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</si>
  <si>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</si>
  <si>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</si>
  <si>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</si>
  <si>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</si>
  <si>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</si>
  <si>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</si>
  <si>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</si>
  <si>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</si>
  <si>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</si>
  <si>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</si>
  <si>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</si>
  <si>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</si>
  <si>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</si>
  <si>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</si>
  <si>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</si>
  <si>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</si>
  <si>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</si>
  <si>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</si>
  <si>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</si>
  <si>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</si>
  <si>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</si>
  <si>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</si>
  <si>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</si>
  <si>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</si>
  <si>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</si>
  <si>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</si>
  <si>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</si>
  <si>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</si>
  <si>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</si>
  <si>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</si>
  <si>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</si>
  <si>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</si>
  <si>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</si>
  <si>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</si>
  <si>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</si>
  <si>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</si>
  <si>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</si>
  <si>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</si>
  <si>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</si>
  <si>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</si>
  <si>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</si>
  <si>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</si>
  <si>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</si>
  <si>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</si>
  <si>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</si>
  <si>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</si>
  <si>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</si>
  <si>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</si>
  <si>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</si>
  <si>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</si>
  <si>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</si>
  <si>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</si>
  <si>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</si>
  <si>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</si>
  <si>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</si>
  <si>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</si>
  <si>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</si>
  <si>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</si>
  <si>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</si>
  <si>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</si>
  <si>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</si>
  <si>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</si>
  <si>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</si>
  <si>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</si>
  <si>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</si>
  <si>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</si>
  <si>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</si>
  <si>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</si>
  <si>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</si>
  <si>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</si>
  <si>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</si>
  <si>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</si>
  <si>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</si>
  <si>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</si>
  <si>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</si>
  <si>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</si>
  <si>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</si>
  <si>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</si>
  <si>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</si>
  <si>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</si>
  <si>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</si>
  <si>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</si>
  <si>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</si>
  <si>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</si>
  <si>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</si>
  <si>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</si>
  <si>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</si>
  <si>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</si>
  <si>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</si>
  <si>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</si>
  <si>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</si>
  <si>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</si>
  <si>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</si>
  <si>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</si>
  <si>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</si>
  <si>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</si>
  <si>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</si>
  <si>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</si>
  <si>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</si>
  <si>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</si>
  <si>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</si>
  <si>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</si>
  <si>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</si>
  <si>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</si>
  <si>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</si>
  <si>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</si>
  <si>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</si>
  <si>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</si>
  <si>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</si>
  <si>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</si>
  <si>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</si>
  <si>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</si>
  <si>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</si>
  <si>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</si>
  <si>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</si>
  <si>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</si>
  <si>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</si>
  <si>
    <t>b/d</t>
  </si>
  <si>
    <t>56–65 lat</t>
  </si>
  <si>
    <t>46–55 lat</t>
  </si>
  <si>
    <t>36–45 lat</t>
  </si>
  <si>
    <t>26–35 lat</t>
  </si>
  <si>
    <t>Kategoria zarobków</t>
  </si>
  <si>
    <t>Wartość środkowa przedziału</t>
  </si>
  <si>
    <t>powyżej 9000 zł, ale nie więcej niż 10000 zł</t>
  </si>
  <si>
    <t>Absolwenci 1 rok</t>
  </si>
  <si>
    <t>Absolwenci 3 lata</t>
  </si>
  <si>
    <t>suma odpowiedzi</t>
  </si>
  <si>
    <t>iloczyny 3 lata</t>
  </si>
  <si>
    <t>Iloczyny 1 rok</t>
  </si>
  <si>
    <t>średnie zarobki</t>
  </si>
  <si>
    <t>Techniczna</t>
  </si>
  <si>
    <t>Nietechniczna</t>
  </si>
  <si>
    <t>CzyUczelniaTechniczna</t>
  </si>
  <si>
    <t>Abloswenci Techniczna 1 rok</t>
  </si>
  <si>
    <t>Absolwenci Nietechniczna 1 rok</t>
  </si>
  <si>
    <t>Absolwenci Techniczna 3 lata</t>
  </si>
  <si>
    <t>Absolwenci Nietechniczna 3 lata</t>
  </si>
  <si>
    <t>LicznikAbsolwentów</t>
  </si>
  <si>
    <t>Wartości_po1roku</t>
  </si>
  <si>
    <t>Wartości_po3latach</t>
  </si>
  <si>
    <t>CzyTechnicznaWartości</t>
  </si>
  <si>
    <t>Zatrudnienie w 1 roku</t>
  </si>
  <si>
    <t>Zatrudnienie w 3 lata</t>
  </si>
  <si>
    <t>IWRA Techniczna</t>
  </si>
  <si>
    <t>IWRA Nietechniczna</t>
  </si>
  <si>
    <t>Satysfakcja_wartości</t>
  </si>
  <si>
    <t>Wartość usługi_wartość</t>
  </si>
  <si>
    <t>Korelacje vs techniczna</t>
  </si>
  <si>
    <t>Korelacje vs zatrudnienie</t>
  </si>
  <si>
    <t>Korelacja zarobki po 1 roku vs Satysfakcja</t>
  </si>
  <si>
    <t>Korelacja zarobki po 1 roku vs Postrzegana Wartość</t>
  </si>
  <si>
    <t>Korelacja Satysfakcja vs Postrzegana wartość</t>
  </si>
  <si>
    <t>Korelacja zarobki po 3 latach vs Satysfakcja</t>
  </si>
  <si>
    <t>Korelacja zarobki po 3 latach vs Postrzegana Wartość</t>
  </si>
  <si>
    <t>Dla Technicznych</t>
  </si>
  <si>
    <t>Dla Nietechnicznych</t>
  </si>
  <si>
    <t>Dla Ogółu</t>
  </si>
  <si>
    <t>Po 1 roku</t>
  </si>
  <si>
    <t>Po 3 latach</t>
  </si>
  <si>
    <t>N=</t>
  </si>
  <si>
    <t>wartości statystyki t</t>
  </si>
  <si>
    <t>t_0,05</t>
  </si>
  <si>
    <t>wartości statystyki p</t>
  </si>
  <si>
    <t>Korelacja techniczna vs zatrudnienie po 3 latach</t>
  </si>
  <si>
    <t>Korelacja techniczna vs zatrudnienie po 1 roku</t>
  </si>
  <si>
    <t>Korelacja techniczna vs zarobki po 1 roku</t>
  </si>
  <si>
    <t>Korelacja techniczna vs zarobki po 3 latach</t>
  </si>
  <si>
    <t>Korelacja techniczna vs postrzegana wartość</t>
  </si>
  <si>
    <t>Korelacja techniczna vs satysfakcja</t>
  </si>
  <si>
    <t>Korelacja zatrudnienie po 1 roku vs Postrzegana Wartość</t>
  </si>
  <si>
    <t>Korelacja zatrudnienie po 1 roku vs Satysfakcja</t>
  </si>
  <si>
    <t>Korelacja zatrudnienie po 3 latach vs Satysfakcja</t>
  </si>
  <si>
    <t>Korelacja zatrudnienie po 3 latach vs Postrzegana Wartość</t>
  </si>
  <si>
    <t>Liczba z Czy jesteś osobą pełnoletnią?</t>
  </si>
  <si>
    <t>Rodzice</t>
  </si>
  <si>
    <t>Pracownicy naukowi / wykładowcy</t>
  </si>
  <si>
    <t>ASP w Łodzi</t>
  </si>
  <si>
    <t>Uniwersytet Warmińsko-Mazurski w Olsztynie</t>
  </si>
  <si>
    <t>SatysfStudWartość</t>
  </si>
  <si>
    <t>SatysfAbsolwWart</t>
  </si>
  <si>
    <t>SatysfAdmWart</t>
  </si>
  <si>
    <t>SatysfNaukowWart</t>
  </si>
  <si>
    <t>SatysfWłUczelniWart</t>
  </si>
  <si>
    <t>SatysfPrzedśWart</t>
  </si>
  <si>
    <t>SatysfWłSamorzWart</t>
  </si>
  <si>
    <t>#N/D</t>
  </si>
  <si>
    <t>SatysfRodz1Wart</t>
  </si>
  <si>
    <t>Akademia Górniczo-Hutnicza im. Stanisława Staszica w Krakowie</t>
  </si>
  <si>
    <t>Politechnika Wrocławska</t>
  </si>
  <si>
    <t>Politechnika Śląska</t>
  </si>
  <si>
    <t>Politechnika Poznańska</t>
  </si>
  <si>
    <t>Politechnika Lubelska</t>
  </si>
  <si>
    <t>Zachodniopomorski Uniwersytet Technologiczny w Szczecinie</t>
  </si>
  <si>
    <t>Politechnika Krakowska im. Tadeusza Kościuszki</t>
  </si>
  <si>
    <t>Politechnika Częstochowska</t>
  </si>
  <si>
    <t>Wojskowa Akademia Techniczna im. Jarosława Dąbrowskiego w Warszawie</t>
  </si>
  <si>
    <t>Polsko-Japońska Akademia Technik Komputerowych w Warszawie</t>
  </si>
  <si>
    <t>Politechnika Świętokrzyska w Kielcach</t>
  </si>
  <si>
    <t>Politechnika Białostocka</t>
  </si>
  <si>
    <t>Politechnika Rzeszowska im. Ignacego Łukasiewicza</t>
  </si>
  <si>
    <t>Politechnika Opolska</t>
  </si>
  <si>
    <t>Uniwersytet Morski w Gdyni</t>
  </si>
  <si>
    <t>Politechnika Koszalińska</t>
  </si>
  <si>
    <t>Uniwersytet Technologiczno-Humanistyczny im. Kazimierza Pułaskiego w Radomiu</t>
  </si>
  <si>
    <t>Akademia Techniczno-Humanistyczna w Bielsku-Białej</t>
  </si>
  <si>
    <t>Akademia Morska w Szczecinie</t>
  </si>
  <si>
    <t>Uczelnie techniczne w Polsce wg klasyfikacji Perspektywy 2021</t>
  </si>
  <si>
    <t>Uniwersytet Technologiczno-Przyrodniczy w Bydgoszczy im. Jana i Jędrzeja Śniadeckich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</si>
</sst>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_-* #,##0.00\ [$zł-415]_-;\-* #,##0.00\ [$zł-415]_-;_-* &quot;-&quot;??\ [$zł-415]_-;_-@_-"/>
    <numFmt numFmtId="167" formatCode="_-* #,##0\ [$zł-415]_-;\-* #,##0\ [$zł-415]_-;_-* &quot;-&quot;??\ [$zł-415]_-;_-@_-"/>
  </numFmts>
  <fonts count="17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6" tint="-0.499984740745262"/>
      <name val="Calibri"/>
      <family val="2"/>
      <charset val="238"/>
    </font>
    <font>
      <b/>
      <sz val="11"/>
      <color rgb="FFC00000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165" fontId="0" fillId="0" borderId="0" xfId="0" applyNumberFormat="1"/>
    <xf numFmtId="1" fontId="7" fillId="0" borderId="0" xfId="0" applyNumberFormat="1" applyFont="1"/>
    <xf numFmtId="166" fontId="0" fillId="0" borderId="0" xfId="2" applyNumberFormat="1" applyFont="1"/>
    <xf numFmtId="167" fontId="0" fillId="0" borderId="0" xfId="0" applyNumberFormat="1"/>
    <xf numFmtId="166" fontId="7" fillId="0" borderId="0" xfId="0" applyNumberFormat="1" applyFont="1"/>
    <xf numFmtId="9" fontId="2" fillId="0" borderId="0" xfId="2" applyFont="1"/>
    <xf numFmtId="165" fontId="7" fillId="0" borderId="0" xfId="0" applyNumberFormat="1" applyFont="1"/>
    <xf numFmtId="0" fontId="15" fillId="0" borderId="0" xfId="0" applyFont="1"/>
    <xf numFmtId="165" fontId="15" fillId="0" borderId="0" xfId="0" applyNumberFormat="1" applyFont="1"/>
    <xf numFmtId="165" fontId="16" fillId="0" borderId="0" xfId="0" applyNumberFormat="1" applyFont="1"/>
    <xf numFmtId="165" fontId="5" fillId="0" borderId="0" xfId="0" applyNumberFormat="1" applyFont="1"/>
    <xf numFmtId="165" fontId="7" fillId="6" borderId="0" xfId="0" applyNumberFormat="1" applyFont="1" applyFill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5" xfId="0" applyBorder="1"/>
    <xf numFmtId="0" fontId="0" fillId="0" borderId="12" xfId="0" applyBorder="1"/>
    <xf numFmtId="0" fontId="0" fillId="0" borderId="10" xfId="0" applyBorder="1"/>
    <xf numFmtId="0" fontId="0" fillId="0" borderId="16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9" xfId="0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7" fillId="9" borderId="0" xfId="0" applyFont="1" applyFill="1"/>
    <xf numFmtId="0" fontId="0" fillId="2" borderId="11" xfId="0" applyFill="1" applyBorder="1"/>
    <xf numFmtId="0" fontId="0" fillId="7" borderId="11" xfId="0" applyFill="1" applyBorder="1"/>
    <xf numFmtId="0" fontId="0" fillId="8" borderId="11" xfId="0" applyFill="1" applyBorder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80.705790509259" createdVersion="8" refreshedVersion="8" minRefreshableVersion="3" recordCount="133" xr:uid="{5959FC96-C817-4981-8EAE-F6E083B4D0E0}">
  <cacheSource type="worksheet">
    <worksheetSource name="AnalizaCzyste"/>
  </cacheSource>
  <cacheFields count="229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42" maxValue="109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Wywiad (tak)" numFmtId="0">
      <sharedItems containsNonDate="0" containsString="0" containsBlank="1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 count="9">
        <m/>
        <s v="Akademia Muzyczna im. Stanisława Moniuszki w Gdańsku"/>
        <s v="Politechnika Gdańska"/>
        <s v="SGGW"/>
        <s v="Uniwersytet Łódzki"/>
        <s v="Uniwersytet Jagielloński"/>
        <s v="Uniwersytet Gdański"/>
        <s v="WSB"/>
        <s v="Uniwersytet Warszawski"/>
      </sharedItems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SatysfStudWartość" numFmtId="0">
      <sharedItems containsMixedTypes="1" containsNumber="1" containsInteger="1" minValue="2" maxValue="7" count="7">
        <e v="#N/A"/>
        <n v="2"/>
        <n v="5"/>
        <n v="6"/>
        <n v="7"/>
        <n v="4"/>
        <n v="3"/>
      </sharedItems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 count="35">
        <s v="Politechnika Gdańska"/>
        <s v="Akademia Muzyczna w Gdańsku"/>
        <s v="Uniwersytet Gdański"/>
        <s v="Akademia Sztuk Pięknych w Łodzi"/>
        <s v="Uniwersytet Warszawski"/>
        <s v="Uniwersytet Adama Mickiewicza w Poznaniu"/>
        <s v="SWPS"/>
        <m/>
        <s v="AWFiS Gdańsk"/>
        <s v="University of Suffolk "/>
        <s v="Akademia Sztuk Pięknych we Wrocławiu"/>
        <s v="Uniwersytet Jagielloński"/>
        <s v="Uniwersytet Kardynała Stefana Wyszyńskiego w Warszawie"/>
        <s v="Politechnika Krakowska"/>
        <s v="Uniwersytet Szczeciński"/>
        <s v="WSB"/>
        <s v="Akademia Nauk Stosowanych w Elblągu"/>
        <s v="Gdański Uniwersytet Medyczny"/>
        <s v="Politechnika Warszawska"/>
        <s v="Uniwersytet Ekonomiczny w Katowicach"/>
        <s v="Uniwersytet Łódzki"/>
        <s v="Uniwersytet Medyczny w Poznaniu"/>
        <s v="Uniwersytet Śląski"/>
        <s v="Akademia Ignatianum "/>
        <s v="AWF Kraków"/>
        <s v="Politechnika Łódzka"/>
        <s v="Uniwersytet Ekonomiczny w Poznaniu"/>
        <s v="SGH"/>
        <s v="Akademia Morska w Gdyni"/>
        <s v="Uniwersytet Mikołaja Kopernika w Toruniu"/>
        <s v="Uniwersytet Warmińsko-Mazurski"/>
        <s v="Politechnika Gdańska " u="1"/>
        <s v="Politechnika Krakowska, Politechnika Gdańska " u="1"/>
        <s v="Uniwersytet Gdański " u="1"/>
        <s v="Uniwersytet Jagielloński " u="1"/>
      </sharedItems>
    </cacheField>
    <cacheField name="KategoriaUczelni" numFmtId="0">
      <sharedItems/>
    </cacheField>
    <cacheField name="CzyUczelniaTechniczna" numFmtId="0">
      <sharedItems/>
    </cacheField>
    <cacheField name="LicznikAbsolwentów" numFmtId="0">
      <sharedItems containsSemiMixedTypes="0" containsString="0" containsNumber="1" containsInteger="1" minValue="0" maxValue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SatysfAbsolwWart" numFmtId="0">
      <sharedItems containsMixedTypes="1" containsNumber="1" containsInteger="1" minValue="1" maxValue="7" count="9">
        <n v="6"/>
        <n v="7"/>
        <n v="5"/>
        <s v="N/D"/>
        <n v="4"/>
        <e v="#N/A"/>
        <n v="3"/>
        <n v="2"/>
        <n v="1"/>
      </sharedItems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artości_po1roku" numFmtId="0">
      <sharedItems containsMixedTypes="1" containsNumber="1" containsInteger="1" minValue="500" maxValue="10500"/>
    </cacheField>
    <cacheField name="w 3 lata po ukończeniu studiów : wybierz wartość z listy rozwijanej5" numFmtId="0">
      <sharedItems containsBlank="1"/>
    </cacheField>
    <cacheField name="Wartości_po3latach" numFmtId="0">
      <sharedItems containsMixedTypes="1" containsNumber="1" containsInteger="1" minValue="500" maxValue="10500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 count="8">
        <s v="Politechnika Gdańska"/>
        <s v="SWPS"/>
        <s v="Uniwersytet Warszawski"/>
        <s v="Uniwersytet Jagielloński"/>
        <s v="Uniwersytet Gdański"/>
        <s v="ASP Łódź"/>
        <s v="Wyższa Szkoła Rolnicza w Olsztynie"/>
        <m/>
      </sharedItems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SatysfRodz1Wart" numFmtId="0">
      <sharedItems containsMixedTypes="1" containsNumber="1" containsInteger="1" minValue="2" maxValue="7" count="7">
        <n v="4"/>
        <s v="N/D"/>
        <n v="2"/>
        <n v="5"/>
        <n v="7"/>
        <n v="6"/>
        <e v="#N/A"/>
      </sharedItems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 count="5">
        <m/>
        <s v="Szkoła Główna Handlowa w Warszawie"/>
        <s v="Akademia Muzyczna w Warszawie"/>
        <s v="Akademia Muzyczna w Gdańsku"/>
        <s v="Politechnika Gdańska"/>
      </sharedItems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 count="3">
        <m/>
        <s v="Uniwersytet Gdański"/>
        <s v="Politechnika Gdańska"/>
      </sharedItems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 count="5">
        <m/>
        <s v="Uniwersytet Gdański"/>
        <s v="ASP we Wrocławiu"/>
        <s v="Uniwersytet Jagielloński"/>
        <s v="Politechnika Gdańska"/>
      </sharedItems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SatysfAdmWart" numFmtId="0">
      <sharedItems containsMixedTypes="1" containsNumber="1" containsInteger="1" minValue="6" maxValue="7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 count="10">
        <m/>
        <s v="Politechnika Gdańska"/>
        <s v="Uniwersytet Gdański"/>
        <s v="Akademia Muzyczna w Gdańsku"/>
        <s v="SGH"/>
        <s v="ASP w Gdańsku"/>
        <s v="AWFiS Gdańsk"/>
        <s v="ASP we Wrocławiu"/>
        <s v="Uniwersytet Jagielloński"/>
        <s v="Akademia Muzyczna im. Stanisława Moniuszki" u="1"/>
      </sharedItems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SatysfNaukowWart" numFmtId="0">
      <sharedItems containsMixedTypes="1" containsNumber="1" containsInteger="1" minValue="1" maxValue="7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Nie (przejście do kolejnej części)"/>
        <s v="Tak (kontynuowanie badania przedstawicieli władz uczeln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 count="9">
        <m/>
        <s v="Politechnika Gdańska"/>
        <s v="Akademia Muzyczna w Gdańsku"/>
        <s v="ASP w Łodzi"/>
        <s v="ASP we Wrocławiu"/>
        <s v="ASP" u="1"/>
        <s v="Akademia Muzyczna im. S.Moniuszki w Gdańsku" u="1"/>
        <s v="ASP Łódź" u="1"/>
        <s v="PG" u="1"/>
      </sharedItems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atysfWłUczelniWart" numFmtId="0">
      <sharedItems containsMixedTypes="1" containsNumber="1" containsInteger="1" minValue="5" maxValue="7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 count="10">
        <s v="Politechnika Gdańska"/>
        <m/>
        <s v="SGGW"/>
        <s v="Uniwersytet Gdański"/>
        <s v="Uniwersytet Adama Mickiewicza w Poznaniu"/>
        <s v="ASP w Gdańsku"/>
        <s v="GUMed"/>
        <s v="Suffolk university "/>
        <s v="Nd" u="1"/>
        <s v="nie dotyczy" u="1"/>
      </sharedItems>
    </cacheField>
    <cacheField name="Moja satysfakcja z (efektów) usług edukacyjnych na ocenianej uczelni jest wysoka." numFmtId="0">
      <sharedItems containsBlank="1"/>
    </cacheField>
    <cacheField name="SatysfPrzedśWart" numFmtId="0">
      <sharedItems containsMixedTypes="1" containsNumber="1" containsInteger="1" minValue="2" maxValue="7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 count="3">
        <s v="Uniwersytet Gdański"/>
        <m/>
        <s v="Uniwersytet Warmińsko-Mazurski w Olsztynie"/>
      </sharedItems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 count="2">
        <m/>
        <s v="Politechnika Gdańska"/>
      </sharedItems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SatysfWłSamorzWart" numFmtId="0">
      <sharedItems containsMixedTypes="1" containsNumber="1" containsInteger="1" minValue="6" maxValue="7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 count="1">
        <m/>
      </sharedItems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1933" maxValue="1998"/>
    </cacheField>
    <cacheField name="GrupaWiekowa" numFmtId="0">
      <sharedItems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80.705795138892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s v="Tak (kontynuowanie badania przedstawicieli pracodawców)"/>
        <m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60"/>
    <n v="137"/>
    <n v="80"/>
    <s v="5.173.8.81"/>
    <s v="Link"/>
    <m/>
    <m/>
    <m/>
    <m/>
    <s v="Zakończono"/>
    <s v="2022-08-15 10:35:41"/>
    <s v="2022-08-15 10:47:28"/>
    <n v="70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5"/>
    <s v="tak"/>
    <s v="architektura i budownictwo (ISCED '11 - 58)"/>
    <s v="zgadzam się"/>
    <x v="0"/>
    <s v="zgadzam się"/>
    <s v="ani się zgadzam, ani nie zgadzam"/>
    <s v="nie zgadzam się"/>
    <s v="zgadzam się"/>
    <s v="praca przed ukończeniem studiów"/>
    <s v="do 1000 zł"/>
    <n v="500"/>
    <s v="powyżej 5000 zł, ale nie więcej niż 6000 zł"/>
    <n v="5500"/>
    <s v="umiejętności uczenia się, wnioskowania logicznego, tworzenia"/>
    <s v=" "/>
    <s v=" "/>
    <s v="stacjonarne (dzienne) studia 2 stopnia (magisterskie)"/>
    <s v="jednolite magisterskie"/>
    <x v="0"/>
    <n v="1"/>
    <x v="0"/>
    <n v="2018"/>
    <s v="tak"/>
    <s v="inżynieria maszyn i urządzeń (ISCED '11 - 52)"/>
    <s v="ani się zgadzam, ani nie zgadzam"/>
    <x v="0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ani się zgadzam, ani nie zgadzam"/>
    <n v="4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x v="0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"/>
    <s v=" "/>
    <s v=" "/>
    <x v="0"/>
    <n v="1959"/>
    <s v="56–65 lat"/>
    <s v="miasto wojewódzkie"/>
    <m/>
    <s v="Podyplomowe - Zarządzanie"/>
    <m/>
    <s v="[A01]"/>
  </r>
  <r>
    <n v="196"/>
    <n v="112"/>
    <n v="68"/>
    <s v="185.244.97.163"/>
    <s v="Link"/>
    <m/>
    <m/>
    <m/>
    <m/>
    <s v="Zakończono"/>
    <s v="2020-12-18 16:04:15"/>
    <s v="2020-12-18 16:14:29"/>
    <n v="61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91"/>
    <s v="tak"/>
    <s v="Budownictwo Lądowe"/>
    <s v="zgadzam się"/>
    <x v="0"/>
    <s v="zgadzam się"/>
    <s v="zgadzam się"/>
    <s v="nie dotyczy"/>
    <s v="nie dotyczy"/>
    <s v="założenie własnej firmy"/>
    <s v="nie dotyczy"/>
    <s v="N/D"/>
    <s v="nie dotyczy"/>
    <s v="N/D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x v="0"/>
    <n v="2018"/>
    <s v="tak"/>
    <s v="Chemia"/>
    <s v="ani się zgadzam, ani nie zgadzam"/>
    <x v="0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ani się zgadzam, ani nie zgadzam"/>
    <s v="Tak"/>
    <s v="umiejętność przyswajania wiedzy"/>
    <s v="programistyczn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46–55 lat"/>
    <s v="miasto wojewódzkie"/>
    <m/>
    <m/>
    <m/>
    <m/>
  </r>
  <r>
    <n v="125"/>
    <n v="74"/>
    <n v="93"/>
    <s v="89.64.73.37"/>
    <s v="Link"/>
    <m/>
    <m/>
    <m/>
    <m/>
    <s v="Zakończono"/>
    <s v="2020-10-28 13:55:46"/>
    <s v="2020-10-28 14:12:08"/>
    <n v="98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8"/>
    <s v="nie"/>
    <s v="Fizyka techniczna (kierunek średniotechniczny, ale kończący się tytuł zawodowy magistra inzyniera"/>
    <s v="zdecydowanie się zgadzam"/>
    <x v="1"/>
    <s v="zdecydowanie się zgadzam"/>
    <s v="zdecydowanie się zgadzam"/>
    <s v="zgadzam się"/>
    <s v="zgadzam się"/>
    <s v="niezłocznie po uzyskaniu dyplomu"/>
    <s v="nie dotyczy"/>
    <s v="N/D"/>
    <s v="nie dotyczy"/>
    <s v="N/D"/>
    <s v="to były bardzo dobre studia, zgodne z moimi zainteresowaniami"/>
    <s v="świetni wykładowcy, elitarny kierunek kształcenia (30 studentów), atmosfera"/>
    <s v="nie dotyczy"/>
    <m/>
    <s v="5-letnie magisterskie"/>
    <x v="0"/>
    <n v="1"/>
    <x v="1"/>
    <n v="2020"/>
    <s v="nie"/>
    <s v="Psychologia"/>
    <s v="nie dotyczy"/>
    <x v="1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decydowanie się zgadzam"/>
    <n v="7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x v="1"/>
    <s v="zgadzam się"/>
    <s v="zgadzam się"/>
    <s v="zgadzam się"/>
    <s v="zgadzam się"/>
    <s v="raczej się zgadzam"/>
    <s v="raczej się zgadzam"/>
    <s v="raczej się zgadzam"/>
    <n v="5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NA"/>
    <e v="#N/A"/>
    <s v="miasto wojewódzkie"/>
    <m/>
    <s v="stopnie naukowe dr i dr hab."/>
    <m/>
    <m/>
  </r>
  <r>
    <n v="188"/>
    <n v="107"/>
    <n v="80"/>
    <s v="5.173.0.225"/>
    <s v="Link"/>
    <m/>
    <m/>
    <m/>
    <m/>
    <s v="Zakończono"/>
    <s v="2020-12-18 15:32:59"/>
    <s v="2020-12-18 16:02:47"/>
    <n v="178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3"/>
    <s v="tak"/>
    <s v="BM"/>
    <s v="zgadzam się"/>
    <x v="0"/>
    <s v="zgadzam się"/>
    <s v="nie zgadzam się"/>
    <s v="zdecydowanie się nie zgadzam"/>
    <s v="raczej się zgadzam"/>
    <n v="36"/>
    <s v="nie dotyczy"/>
    <s v="N/D"/>
    <s v="nie dotyczy"/>
    <s v="N/D"/>
    <s v="nieporównywalnie wyższy poziom wiedzy niż mają obecni absolwenci"/>
    <s v="ciekawe zajęcia"/>
    <s v="?"/>
    <s v="stacjonarne (dzienne) studia 1 stopnia (licencjackie / inżynierskie)"/>
    <m/>
    <x v="0"/>
    <n v="3"/>
    <x v="0"/>
    <n v="2019"/>
    <s v="tak"/>
    <s v="Mechaniczny"/>
    <s v="nie zgadzam się"/>
    <x v="2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nie zgadzam się"/>
    <n v="2"/>
    <s v="nie zgadzam się"/>
    <s v="raczej się nie zgadzam"/>
    <s v="Tak"/>
    <s v="wiedza praktyczna"/>
    <s v="w zależności od umiejętności i wiedzy"/>
    <s v="Tak (przejście do analogicznej części oceny dotyczącej drugiej uczelni)"/>
    <x v="2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56–65 lat"/>
    <s v="wieś"/>
    <m/>
    <s v="budowlane, elekrtyczne, elektroniczne - średnie"/>
    <s v="nie ma"/>
    <s v="Proszę nie wprowadzać w błąd, bo ankieta nie zajmuje min."/>
  </r>
  <r>
    <n v="2"/>
    <n v="2"/>
    <n v="109"/>
    <s v="31.179.150.134"/>
    <s v="Link"/>
    <m/>
    <m/>
    <m/>
    <m/>
    <s v="Zakończono"/>
    <s v="2020-04-30 13:28:06"/>
    <s v="2020-04-30 13:54:19"/>
    <n v="1573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6"/>
    <s v="nie"/>
    <s v="Wydział Instrumentalny - skrzypce"/>
    <s v="zgadzam się"/>
    <x v="0"/>
    <s v="zgadzam się"/>
    <s v="zgadzam się"/>
    <s v="ani się zgadzam, ani nie zgadzam"/>
    <s v="zgadzam się"/>
    <n v="3"/>
    <s v="do 1000 zł"/>
    <n v="500"/>
    <s v="powyżej 3000 zł, ale nie więcej niż 4000 zł"/>
    <n v="3500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x v="2"/>
    <n v="2013"/>
    <s v="nie"/>
    <s v="Prawo"/>
    <s v="raczej się zgadzam"/>
    <x v="3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x v="1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m/>
    <m/>
    <m/>
    <s v="Członek rady uczelni"/>
    <x v="2"/>
    <s v="raczej się zgadzam"/>
    <s v="zgadzam się"/>
    <s v="ani się zgadzam, ani nie zgadzam"/>
    <s v="ani się zgadzam, ani nie zgadzam"/>
    <s v="raczej się zgadzam"/>
    <s v="raczej się zgadzam"/>
    <s v="zgadzam się"/>
    <n v="6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x v="2"/>
    <s v="zgadzam się"/>
    <n v="6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56–65 lat"/>
    <s v="miasto wojewódzkie"/>
    <m/>
    <s v="Podyplomowe SGH"/>
    <m/>
    <m/>
  </r>
  <r>
    <n v="88"/>
    <n v="53"/>
    <n v="60"/>
    <s v="81.190.56.54"/>
    <s v="Link"/>
    <s v="https://ankietaplus.pl/ankiety/analiza/wyniki-pojedyncze/13308"/>
    <m/>
    <m/>
    <m/>
    <s v="Zakończono"/>
    <s v="2020-06-08 03:21:44"/>
    <s v="2020-06-08 03:45:22"/>
    <n v="141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5"/>
    <s v="tak"/>
    <s v="Materiałoznawstwo"/>
    <s v="zgadzam się"/>
    <x v="0"/>
    <s v="raczej się zgadzam"/>
    <s v="zgadzam się"/>
    <s v="raczej się zgadzam"/>
    <s v="raczej się zgadzam"/>
    <s v="0 (stypendium fundowane)"/>
    <s v="powyżej 3000 zł, ale nie więcej niż 4000 zł"/>
    <n v="3500"/>
    <s v="powyżej 3000 zł, ale nie więcej niż 4000 zł"/>
    <n v="3500"/>
    <m/>
    <s v="-"/>
    <s v="-"/>
    <s v="stacjonarne (dzienne) studia 2 stopnia (magisterskie)"/>
    <m/>
    <x v="0"/>
    <n v="1"/>
    <x v="0"/>
    <n v="2011"/>
    <s v="tak"/>
    <s v="Biotechnologia"/>
    <s v="raczej się zgadzam"/>
    <x v="3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1"/>
    <n v="1950"/>
    <s v="powyżej 65 lat"/>
    <s v="miasto wojewódzkie"/>
    <m/>
    <m/>
    <m/>
    <m/>
  </r>
  <r>
    <n v="261"/>
    <n v="138"/>
    <n v="75"/>
    <s v="5.173.8.81"/>
    <s v="Link"/>
    <m/>
    <m/>
    <m/>
    <m/>
    <s v="Zakończono"/>
    <s v="2022-08-15 10:49:03"/>
    <s v="2022-08-15 10:59:19"/>
    <n v="61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2"/>
    <s v="nie"/>
    <s v="Historia"/>
    <s v="zgadzam się"/>
    <x v="0"/>
    <s v="zdecydowanie się zgadzam"/>
    <s v="zgadzam się"/>
    <s v="ani się zgadzam, ani nie zgadzam"/>
    <s v="raczej się zgadzam"/>
    <n v="0"/>
    <s v="powyżej 1000 zł, ale nie więcej niż 2000 zł"/>
    <n v="1500"/>
    <s v="powyżej 2000 zł, ale nie więcej niż 3000 zł"/>
    <n v="2500"/>
    <s v="poszerzenie horyzontów, kontakt ze środowiskiem zawodowym"/>
    <s v=" "/>
    <s v=" "/>
    <s v="stacjonarne (dzienne) studia 2 stopnia (magisterskie)"/>
    <s v="jednolite magisterskie"/>
    <x v="0"/>
    <n v="1"/>
    <x v="3"/>
    <n v="2019"/>
    <s v="nie"/>
    <s v="Filologia polska"/>
    <s v="zdecydowanie się zgadzam"/>
    <x v="4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1"/>
    <s v="przedstawiciel władz gminy"/>
    <s v="Rada gminy Czersk"/>
    <n v="1"/>
    <x v="1"/>
    <s v="zgadzam się"/>
    <s v="zgadzam się"/>
    <s v="zdecydowanie się zgadzam"/>
    <s v="zdecydowanie się zgadzam"/>
    <s v="nie dotyczy"/>
    <s v="nie dotyczy"/>
    <s v="zdecydowanie się zgadzam"/>
    <n v="7"/>
    <m/>
    <m/>
    <s v="Nie (przejście do kolejnej części badania)"/>
    <x v="0"/>
    <m/>
    <m/>
    <m/>
    <m/>
    <m/>
    <m/>
    <m/>
    <m/>
    <m/>
    <m/>
    <m/>
    <m/>
    <m/>
    <m/>
    <m/>
    <m/>
    <m/>
    <m/>
    <s v=" "/>
    <s v=" "/>
    <s v=" "/>
    <x v="0"/>
    <n v="1968"/>
    <s v="46–55 lat"/>
    <s v="miasto gminne"/>
    <m/>
    <s v="Podyplomowe - Zarządzanie"/>
    <m/>
    <s v="[A02]"/>
  </r>
  <r>
    <n v="91"/>
    <n v="55"/>
    <n v="91"/>
    <s v="83.23.232.192"/>
    <s v="Link"/>
    <m/>
    <m/>
    <m/>
    <m/>
    <s v="Zakończono"/>
    <s v="2020-06-28 09:50:26"/>
    <s v="2020-06-29 07:07:15"/>
    <n v="7660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80"/>
    <s v="nie"/>
    <s v="filologia angielska"/>
    <s v="zdecydowanie się zgadzam"/>
    <x v="1"/>
    <s v="zdecydowanie się zgadzam"/>
    <s v="zgadzam się"/>
    <s v="raczej się nie zgadzam"/>
    <s v="raczej się nie zgadzam"/>
    <s v="12 miesięcy"/>
    <s v="powyżej 2000 zł, ale nie więcej niż 3000 zł"/>
    <n v="2500"/>
    <s v="powyżej 2000 zł, ale nie więcej niż 3000 zł"/>
    <n v="2500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x v="4"/>
    <n v="2009"/>
    <s v="nie"/>
    <s v="Politologia"/>
    <s v="zdecydowanie się zgadzam"/>
    <x v="4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1"/>
    <s v="Wydział Filologiczny"/>
    <s v="zdecydowanie się zgadzam"/>
    <n v="7"/>
    <s v="raczej się zgadzam"/>
    <s v="raczej się nie zgadzam"/>
    <s v="zdecydowanie się zgadzam"/>
    <s v="zdecydowanie się zgadzam"/>
    <s v="zdecydowanie się zgadzam"/>
    <s v="rozwój umiejętności społecznych"/>
    <x v="1"/>
    <x v="2"/>
    <s v="Wydział Filologiczny"/>
    <s v="zdecydowanie się zgadzam"/>
    <n v="7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3"/>
    <s v="zdecydowanie się zgadzam"/>
    <n v="7"/>
    <s v="zdecydowanie się zgadzam"/>
    <s v="nie zgadzam się"/>
    <s v="Nie"/>
    <s v="umiejętność pracy naukowej"/>
    <s v="dydaktyka, publikacje naukowe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56–65 lat"/>
    <s v="miasto wojewódzkie"/>
    <m/>
    <s v="dr hab."/>
    <m/>
    <m/>
  </r>
  <r>
    <n v="135"/>
    <n v="82"/>
    <n v="81"/>
    <s v="37.47.228.248"/>
    <s v="Link"/>
    <s v="https://ankietaplus.pl/ankiety/analiza/wyniki-zbiorcze/13308"/>
    <m/>
    <m/>
    <m/>
    <s v="Zakończono"/>
    <s v="2020-12-04 09:38:48"/>
    <s v="2020-12-04 10:14:15"/>
    <n v="212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2"/>
    <s v="tak"/>
    <s v="budowa maszyn"/>
    <s v="zdecydowanie się zgadzam"/>
    <x v="1"/>
    <s v="zdecydowanie się zgadzam"/>
    <s v="zdecydowanie się zgadzam"/>
    <s v="zdecydowanie się zgadzam"/>
    <s v="zdecydowanie się zgadzam"/>
    <n v="0"/>
    <s v="powyżej 3000 zł, ale nie więcej niż 4000 zł"/>
    <n v="3500"/>
    <s v="powyżej 5000 zł, ale nie więcej niż 6000 zł"/>
    <n v="5500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x v="1"/>
    <n v="2011"/>
    <s v="nie"/>
    <s v="Psychologia"/>
    <s v="zdecydowanie się zgadzam"/>
    <x v="4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Budowa Maszyn"/>
    <s v="zdecydowanie się zgadzam"/>
    <n v="7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n v="1956"/>
    <s v="56–65 lat"/>
    <s v="duże miasto powiatowe"/>
    <m/>
    <s v="doktorat, studium podyplomowe - podwyższanie trwałości maszyn"/>
    <s v="studia rolnicze"/>
    <m/>
  </r>
  <r>
    <n v="130"/>
    <n v="79"/>
    <n v="95"/>
    <s v="81.190.71.209"/>
    <s v="Link"/>
    <s v="https://ankietaplus.pl/ankiety/analiza/wyniki-pojedyncze/13308"/>
    <m/>
    <m/>
    <m/>
    <s v="Zakończono"/>
    <s v="2020-11-20 00:05:15"/>
    <s v="2020-11-20 01:15:24"/>
    <n v="4209"/>
    <m/>
    <n v="0"/>
    <s v="Tak (kontynuacja ankiety)"/>
    <x v="0"/>
    <x v="0"/>
    <m/>
    <m/>
    <m/>
    <x v="0"/>
    <m/>
    <m/>
    <m/>
    <m/>
    <m/>
    <m/>
    <m/>
    <m/>
    <m/>
    <m/>
    <m/>
    <x v="0"/>
    <x v="3"/>
    <s v="Publiczna"/>
    <s v="Nietechniczna"/>
    <n v="1"/>
    <n v="1985"/>
    <s v="nie"/>
    <s v="ASP"/>
    <s v="zgadzam się"/>
    <x v="0"/>
    <s v="zgadzam się"/>
    <s v="zdecydowanie się zgadzam"/>
    <s v="nie zgadzam się"/>
    <s v="nie zgadzam się"/>
    <n v="0"/>
    <s v="do 1000 zł"/>
    <n v="500"/>
    <s v="do 1000 zł"/>
    <n v="500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x v="5"/>
    <n v="2005"/>
    <s v="nie"/>
    <s v="Grafika artystyczna"/>
    <s v="zdecydowanie się zgadzam"/>
    <x v="4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x v="2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s v="Rektor / prorektor"/>
    <m/>
    <m/>
    <m/>
    <x v="3"/>
    <s v="zgadzam się"/>
    <s v="zgadzam się"/>
    <s v="zgadzam się"/>
    <s v="zgadzam się"/>
    <s v="zgadzam się"/>
    <s v="zdecydowanie się zgadzam"/>
    <s v="zgadzam się"/>
    <n v="6"/>
    <n v="20"/>
    <n v="5"/>
    <n v="0"/>
    <n v="30"/>
    <n v="25"/>
    <n v="10"/>
    <n v="10"/>
    <m/>
    <n v="10"/>
    <n v="5"/>
    <n v="0"/>
    <n v="25"/>
    <n v="25"/>
    <n v="5"/>
    <n v="3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56–65 lat"/>
    <s v="miasto wojewódzkie"/>
    <m/>
    <m/>
    <m/>
    <m/>
  </r>
  <r>
    <n v="5"/>
    <n v="5"/>
    <n v="97"/>
    <s v="37.47.200.135"/>
    <s v="Link"/>
    <m/>
    <m/>
    <m/>
    <m/>
    <s v="Zakończono"/>
    <s v="2020-05-04 11:21:12"/>
    <s v="2020-05-04 11:48:51"/>
    <n v="165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9"/>
    <s v="nie"/>
    <s v="germanistyka"/>
    <s v="raczej się zgadzam"/>
    <x v="2"/>
    <s v="raczej się zgadzam"/>
    <s v="zgadzam się"/>
    <s v="zgadzam się"/>
    <s v="zdecydowanie się zgadzam"/>
    <s v="praca już przed ukończeniem studiów"/>
    <s v="powyżej 3000 zł, ale nie więcej niż 4000 zł"/>
    <n v="3500"/>
    <s v="powyżej 4000 zł, ale nie więcej niż 5000 zł"/>
    <n v="4500"/>
    <s v="dostęp do biblioteki fachowej"/>
    <s v="studia zaoczne"/>
    <s v="połowa zajęć - pedagodzy nieprzygotowani, zajęcia bezwartościowe"/>
    <s v="niestacjonarne (zaoczne) studia 2 stopnia (magisterskie)"/>
    <m/>
    <x v="0"/>
    <n v="3"/>
    <x v="0"/>
    <n v="2011"/>
    <s v="tak"/>
    <s v="Zarządzanie i Marketing"/>
    <s v="zdecydowanie się zgadzam"/>
    <x v="4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x v="3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x v="1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x v="0"/>
    <m/>
    <m/>
    <e v="#N/A"/>
    <m/>
    <m/>
    <m/>
    <m/>
    <m/>
    <m/>
    <x v="1"/>
    <x v="3"/>
    <s v="Studium Języków Obcych"/>
    <s v="raczej się zgadzam"/>
    <n v="5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56–65 lat"/>
    <s v="nieduże miasto powiatowe"/>
    <m/>
    <s v="Akademia Muzyczna - instrumentalistyka"/>
    <m/>
    <m/>
  </r>
  <r>
    <n v="8"/>
    <n v="8"/>
    <n v="72"/>
    <s v="94.172.217.53"/>
    <s v="Link"/>
    <m/>
    <m/>
    <m/>
    <m/>
    <s v="Zakończono"/>
    <s v="2020-05-04 18:33:10"/>
    <s v="2020-05-04 18:45:58"/>
    <n v="768"/>
    <m/>
    <n v="0"/>
    <s v="Tak (kontynuacja ankiety)"/>
    <x v="0"/>
    <x v="0"/>
    <m/>
    <m/>
    <m/>
    <x v="0"/>
    <m/>
    <m/>
    <m/>
    <m/>
    <m/>
    <m/>
    <m/>
    <m/>
    <m/>
    <m/>
    <m/>
    <x v="0"/>
    <x v="4"/>
    <s v="Publiczna"/>
    <s v="Nietechniczna"/>
    <n v="1"/>
    <n v="1973"/>
    <s v="nie"/>
    <s v="Fuzyka"/>
    <s v="zdecydowanie się zgadzam"/>
    <x v="1"/>
    <s v="zdecydowanie się zgadzam"/>
    <s v="zgadzam się"/>
    <s v="zdecydowanie się nie zgadzam"/>
    <s v="zdecydowanie się nie zgadzam"/>
    <n v="0"/>
    <s v="do 1000 zł"/>
    <n v="500"/>
    <s v="do 1000 zł"/>
    <n v="500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x v="2"/>
    <s v="Nie wiem"/>
    <s v="nie"/>
    <s v="Politologia "/>
    <s v="zdecydowanie się zgadzam"/>
    <x v="4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4"/>
    <s v="Kolegium Analiz Ekonomicznych"/>
    <s v="zgadzam się"/>
    <n v="6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powyżej 65 lat"/>
    <s v="miasto wojewódzkie"/>
    <m/>
    <m/>
    <m/>
    <m/>
  </r>
  <r>
    <n v="257"/>
    <n v="134"/>
    <n v="75"/>
    <s v="5.173.8.81"/>
    <s v="Link"/>
    <m/>
    <m/>
    <m/>
    <m/>
    <s v="Zakończono"/>
    <s v="2022-08-15 09:35:07"/>
    <s v="2022-08-15 09:58:57"/>
    <n v="143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9"/>
    <s v="tak"/>
    <s v="architektura i budownictwo (ISCED '11 - 58)"/>
    <s v="zgadzam się"/>
    <x v="0"/>
    <s v="zgadzam się"/>
    <s v="raczej się zgadzam"/>
    <s v="raczej się zgadzam"/>
    <s v="raczej się zgadzam"/>
    <n v="0"/>
    <s v="powyżej 4000 zł, ale nie więcej niż 5000 zł"/>
    <n v="4500"/>
    <s v="powyżej 4000 zł, ale nie więcej niż 5000 zł"/>
    <n v="4500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x v="0"/>
    <n v="2016"/>
    <s v="tak"/>
    <s v="inż. energetyka ; mgr. wentylacje"/>
    <s v="zgadzam się"/>
    <x v="5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1"/>
    <s v="przedstawiciel władz gminy"/>
    <s v="Gmina Czersk"/>
    <n v="1"/>
    <x v="1"/>
    <s v="zgadzam się"/>
    <s v="zgadzam się"/>
    <s v="zgadzam się"/>
    <s v="zgadzam się"/>
    <s v="zgadzam się"/>
    <s v="zgadzam się"/>
    <s v="zgadzam się"/>
    <n v="6"/>
    <m/>
    <s v="pozytywny wpływ na przedsięwzięcia w regionie, komunikacja, zagospodarowanie przestrzeni"/>
    <s v="Nie (przejście do kolejnej części badania)"/>
    <x v="0"/>
    <m/>
    <m/>
    <m/>
    <m/>
    <m/>
    <m/>
    <m/>
    <m/>
    <m/>
    <m/>
    <m/>
    <m/>
    <m/>
    <m/>
    <m/>
    <m/>
    <m/>
    <m/>
    <s v=" "/>
    <s v=" "/>
    <s v=" "/>
    <x v="0"/>
    <n v="1965"/>
    <s v="46–55 lat"/>
    <s v="miasto gminne"/>
    <m/>
    <s v="Studia podyplomowe"/>
    <m/>
    <s v="B01"/>
  </r>
  <r>
    <n v="83"/>
    <n v="48"/>
    <n v="89"/>
    <s v="83.23.239.59"/>
    <s v="Link"/>
    <m/>
    <m/>
    <m/>
    <m/>
    <s v="Zakończono"/>
    <s v="2020-06-04 20:57:39"/>
    <s v="2020-06-04 21:52:51"/>
    <n v="331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8"/>
    <s v="tak"/>
    <s v="Instytut Okrętowy"/>
    <s v="zdecydowanie się zgadzam"/>
    <x v="1"/>
    <s v="zdecydowanie się zgadzam"/>
    <s v="ani się zgadzam, ani nie zgadzam"/>
    <s v="zgadzam się"/>
    <s v="zgadzam się"/>
    <n v="2"/>
    <s v="powyżej 2000 zł, ale nie więcej niż 3000 zł"/>
    <n v="2500"/>
    <s v="powyżej 4000 zł, ale nie więcej niż 5000 zł"/>
    <n v="4500"/>
    <s v="wiedza techniczna"/>
    <s v="zainteresowanie kierunkiem ,towarzystwo"/>
    <s v="brak"/>
    <s v="stacjonarne (dzienne) studia 2 stopnia (magisterskie)"/>
    <m/>
    <x v="0"/>
    <n v="2"/>
    <x v="0"/>
    <n v="2005"/>
    <s v="tak"/>
    <s v="Architektura"/>
    <s v="zgadzam się"/>
    <x v="5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x v="4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5"/>
    <s v="Architektura i Wzornictwo"/>
    <s v="zgadzam się"/>
    <n v="6"/>
    <s v="zgadzam się"/>
    <s v="zgadzam się"/>
    <s v="zgadzam się"/>
    <s v="zgadzam się"/>
    <s v="raczej się zgadzam"/>
    <s v="trening mózgu, kontakt z ludźmi o podobnych zainteresowania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powyżej 65 lat"/>
    <s v="miasto wojewódzkie"/>
    <m/>
    <s v="nie posiadam"/>
    <s v="nie studiuję"/>
    <m/>
  </r>
  <r>
    <n v="11"/>
    <n v="10"/>
    <n v="76"/>
    <s v="83.23.251.56"/>
    <s v="Link"/>
    <m/>
    <m/>
    <m/>
    <m/>
    <s v="Zakończono"/>
    <s v="2020-05-06 08:27:07"/>
    <s v="2020-05-06 08:50:31"/>
    <n v="140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6"/>
    <s v="tak"/>
    <s v="Technologia Maszyn"/>
    <s v="zgadzam się"/>
    <x v="0"/>
    <s v="zgadzam się"/>
    <s v="raczej się zgadzam"/>
    <s v="ani się zgadzam, ani nie zgadzam"/>
    <s v="ani się zgadzam, ani nie zgadzam"/>
    <n v="2"/>
    <s v="powyżej 2000 zł, ale nie więcej niż 3000 zł"/>
    <n v="2500"/>
    <s v="powyżej 3000 zł, ale nie więcej niż 4000 zł"/>
    <n v="3500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x v="4"/>
    <n v="2011"/>
    <s v="nie"/>
    <s v="Biotechnologia"/>
    <s v="zgadzam się"/>
    <x v="5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gadzam się"/>
    <n v="6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56–65 lat"/>
    <s v="miasto wojewódzkie"/>
    <s v="Gdańsk"/>
    <s v="dr hab n. ekonomicznych dr nauk technicznych, magister inżynier mechanik"/>
    <s v="jw"/>
    <m/>
  </r>
  <r>
    <n v="259"/>
    <n v="136"/>
    <n v="86"/>
    <s v="5.173.8.81"/>
    <s v="Link"/>
    <m/>
    <m/>
    <m/>
    <m/>
    <s v="Zakończono"/>
    <s v="2022-08-15 10:14:24"/>
    <s v="2022-08-15 10:33:35"/>
    <n v="115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87"/>
    <s v="nie"/>
    <s v="Ekonomia"/>
    <s v="nie dotyczy"/>
    <x v="3"/>
    <s v="nie dotyczy"/>
    <s v="nie dotyczy"/>
    <s v="nie dotyczy"/>
    <s v="nie dotyczy"/>
    <s v="brak odp."/>
    <s v="nie dotyczy"/>
    <s v="N/D"/>
    <s v="nie dotyczy"/>
    <s v="N/D"/>
    <m/>
    <s v=" "/>
    <s v=" "/>
    <s v="stacjonarne (dzienne) studia 2 stopnia (magisterskie)"/>
    <s v="jednolite magisterkie"/>
    <x v="0"/>
    <n v="3"/>
    <x v="0"/>
    <n v="2020"/>
    <s v="tak"/>
    <s v="Robotyka"/>
    <s v="zgadzam się"/>
    <x v="5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x v="4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x v="2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"/>
    <s v=" "/>
    <s v=" "/>
    <x v="0"/>
    <n v="1962"/>
    <s v="56–65 lat"/>
    <s v="miasto wojewódzkie"/>
    <m/>
    <m/>
    <s v="studia doktoranckie"/>
    <s v="[03]"/>
  </r>
  <r>
    <n v="87"/>
    <n v="52"/>
    <n v="59"/>
    <s v="81.190.56.54"/>
    <s v="Link"/>
    <s v="https://ankietaplus.pl/ankiety/analiza/wyniki-pojedyncze/13308"/>
    <m/>
    <m/>
    <m/>
    <s v="Zakończono"/>
    <s v="2020-06-08 02:53:31"/>
    <s v="2020-06-08 03:20:06"/>
    <n v="159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5"/>
    <s v="tak"/>
    <s v="budownictwo"/>
    <s v="zgadzam się"/>
    <x v="0"/>
    <s v="raczej się zgadzam"/>
    <s v="raczej się nie zgadzam"/>
    <s v="zdecydowanie się zgadzam"/>
    <s v="zdecydowanie się zgadzam"/>
    <s v="praca przed zakończeniem studiów"/>
    <s v="powyżej 10.000 zł"/>
    <n v="10500"/>
    <s v="powyżej 10.000 zł"/>
    <n v="10500"/>
    <s v="swoboda pracy ze względu na lepsze (szersze) wykształcenie"/>
    <s v="-"/>
    <s v="-"/>
    <s v="niestacjonarne (zaoczne) studia 1 stopnia (licencjackie / inżynierskie)"/>
    <m/>
    <x v="0"/>
    <n v="1"/>
    <x v="6"/>
    <n v="2002"/>
    <s v="tak"/>
    <s v="Geodezja"/>
    <s v="zgadzam się"/>
    <x v="5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0"/>
    <n v="1950"/>
    <s v="powyżej 65 lat"/>
    <s v="miasto wojewódzkie"/>
    <m/>
    <m/>
    <m/>
    <m/>
  </r>
  <r>
    <n v="114"/>
    <n v="68"/>
    <n v="55"/>
    <s v="91.231.25.170"/>
    <s v="Link"/>
    <m/>
    <m/>
    <m/>
    <m/>
    <s v="Zakończono"/>
    <s v="2020-09-07 11:17:46"/>
    <s v="2020-09-07 11:32:08"/>
    <n v="86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7"/>
    <s v="nie"/>
    <s v="Zarządzanie"/>
    <s v="ani się zgadzam, ani nie zgadzam"/>
    <x v="4"/>
    <s v="ani się zgadzam, ani nie zgadzam"/>
    <s v="zgadzam się"/>
    <s v="raczej się zgadzam"/>
    <s v="zgadzam się"/>
    <s v="praca przed ukończeniem studiów"/>
    <s v="powyżej 1000 zł, ale nie więcej niż 2000 zł"/>
    <n v="1500"/>
    <s v="powyżej 2000 zł, ale nie więcej niż 3000 zł"/>
    <n v="2500"/>
    <m/>
    <s v="studia zaoczne umożliwiające pracę zawodową"/>
    <s v="w tamtym okresie zbyt mały nacisk na pracę z komuperem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3"/>
    <s v="ani się zgadzam, ani nie zgadzam"/>
    <n v="4"/>
    <s v="ani się zgadzam, ani nie zgadzam"/>
    <s v="ani się zgadzam, ani nie zgadzam"/>
    <s v="Tak"/>
    <m/>
    <s v="jjj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36–45 lat"/>
    <s v="miasto wojewódzkie"/>
    <m/>
    <m/>
    <m/>
    <m/>
  </r>
  <r>
    <n v="127"/>
    <n v="76"/>
    <n v="55"/>
    <s v="188.147.101.204"/>
    <s v="Link"/>
    <m/>
    <m/>
    <m/>
    <m/>
    <s v="Zakończono"/>
    <s v="2020-11-02 12:33:43"/>
    <s v="2020-11-02 13:01:39"/>
    <n v="167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8"/>
    <s v="nie"/>
    <s v="Zarządzanie, Finanse i Bankowość"/>
    <s v="raczej się zgadzam"/>
    <x v="2"/>
    <s v="ani się zgadzam, ani nie zgadzam"/>
    <s v="ani się zgadzam, ani nie zgadzam"/>
    <s v="nie zgadzam się"/>
    <s v="ani się zgadzam, ani nie zgadzam"/>
    <n v="0"/>
    <s v="powyżej 1000 zł, ale nie więcej niż 2000 zł"/>
    <n v="1500"/>
    <s v="powyżej 2000 zł, ale nie więcej niż 3000 zł"/>
    <n v="2500"/>
    <s v="nic"/>
    <s v="nic"/>
    <s v="mała kompetencja nauczyciel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s v="nie dotyczy"/>
    <x v="1"/>
    <s v="ani się zgadzam, ani nie zgadzam"/>
    <n v="4"/>
    <s v="ani się zgadzam, ani nie zgadzam"/>
    <s v="ani się zgadzam, ani nie zgadzam"/>
    <s v="Tak"/>
    <s v="nie dotyczy"/>
    <s v="nie dotyczy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46–55 lat"/>
    <s v="miasto wojewódzkie"/>
    <s v="Gdańsk"/>
    <m/>
    <m/>
    <m/>
  </r>
  <r>
    <n v="233"/>
    <n v="125"/>
    <n v="57"/>
    <s v="46.151.137.185"/>
    <s v="Link"/>
    <s v="http://m.facebook.com/"/>
    <m/>
    <m/>
    <m/>
    <s v="Zakończono"/>
    <s v="2020-12-23 20:20:18"/>
    <s v="2020-12-23 20:30:45"/>
    <n v="62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 i marketing "/>
    <s v="zdecydowanie się zgadzam"/>
    <x v="1"/>
    <s v="zdecydowanie się zgadzam"/>
    <s v="zdecydowanie się zgadzam"/>
    <s v="ani się zgadzam, ani nie zgadzam"/>
    <s v="zgadzam się"/>
    <s v="6 mcy"/>
    <s v="powyżej 1000 zł, ale nie więcej niż 2000 zł"/>
    <n v="1500"/>
    <s v="powyżej 3000 zł, ale nie więcej niż 4000 zł"/>
    <n v="3500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s v="nie dotyczy"/>
    <x v="1"/>
    <s v="nie dotyczy"/>
    <s v="N/D"/>
    <s v="nie dotyczy"/>
    <s v="nie dotyczy"/>
    <s v="Nie"/>
    <s v="Nd"/>
    <s v="Nd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d"/>
    <s v="Nd"/>
    <s v="Nd"/>
    <x v="1"/>
    <n v="1987"/>
    <s v="26–35 lat"/>
    <s v="miasto gminne"/>
    <m/>
    <s v="Nd"/>
    <s v="Nd"/>
    <m/>
  </r>
  <r>
    <n v="145"/>
    <n v="86"/>
    <n v="57"/>
    <s v="158.233.246.29"/>
    <s v="Link"/>
    <m/>
    <m/>
    <m/>
    <m/>
    <s v="Zakończono"/>
    <s v="2020-12-15 10:36:27"/>
    <s v="2020-12-15 10:45:03"/>
    <n v="51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7"/>
    <s v="tak"/>
    <s v="Telekomunikacja"/>
    <s v="raczej się zgadzam"/>
    <x v="2"/>
    <s v="raczej się zgadzam"/>
    <s v="zgadzam się"/>
    <s v="zdecydowanie się zgadzam"/>
    <s v="zdecydowanie się zgadzam"/>
    <s v=" praca przed ukończeniem studiów"/>
    <s v="powyżej 1000 zł, ale nie więcej niż 2000 zł"/>
    <n v="1500"/>
    <s v="powyżej 5000 zł, ale nie więcej niż 6000 zł"/>
    <n v="5500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0"/>
    <s v="nie zgadzam się"/>
    <n v="2"/>
    <s v="nie zgadzam się"/>
    <s v="ani się zgadzam, ani nie zgadzam"/>
    <s v="Tak"/>
    <s v="nie związane z uczelnią"/>
    <s v="inżynier infrastruktury IT, inżynier oprogramowania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36–45 lat"/>
    <s v="miasto wojewódzkie"/>
    <m/>
    <s v="certyfikaty branżowe"/>
    <m/>
    <m/>
  </r>
  <r>
    <n v="102"/>
    <n v="63"/>
    <n v="58"/>
    <s v="5.173.136.227"/>
    <s v="Link"/>
    <s v="https://poczta.wp.pl/k/"/>
    <m/>
    <m/>
    <m/>
    <s v="Zakończono"/>
    <s v="2020-08-22 17:39:42"/>
    <s v="2020-08-22 22:39:55"/>
    <n v="18013"/>
    <m/>
    <n v="0"/>
    <s v="Tak (kontynuacja ankiety)"/>
    <x v="0"/>
    <x v="0"/>
    <m/>
    <m/>
    <m/>
    <x v="0"/>
    <m/>
    <m/>
    <m/>
    <m/>
    <m/>
    <m/>
    <m/>
    <m/>
    <m/>
    <m/>
    <m/>
    <x v="0"/>
    <x v="5"/>
    <s v="Publiczna"/>
    <s v="Nietechniczna"/>
    <n v="1"/>
    <n v="1996"/>
    <s v="nie"/>
    <s v="fizyka"/>
    <s v="zgadzam się"/>
    <x v="0"/>
    <s v="zgadzam się"/>
    <s v="raczej się zgadzam"/>
    <s v="zdecydowanie się nie zgadzam"/>
    <s v="nie zgadzam się"/>
    <n v="1"/>
    <s v="powyżej 1000 zł, ale nie więcej niż 2000 zł"/>
    <n v="1500"/>
    <s v="powyżej 3000 zł, ale nie więcej niż 4000 zł"/>
    <n v="3500"/>
    <s v="bezsensowna produkcja absolwentów"/>
    <s v="wykładowcy"/>
    <s v="-"/>
    <s v="stacjonarne (dzienne) studia 2 stopnia (magisterskie)"/>
    <s v="5 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4"/>
    <s v="nie zgadzam się"/>
    <n v="2"/>
    <s v="nie zgadzam się"/>
    <s v="ani się zgadzam, ani nie zgadzam"/>
    <s v="Tak"/>
    <s v="osobowosc"/>
    <s v="wykonują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46–55 lat"/>
    <s v="miasto wojewódzkie"/>
    <m/>
    <m/>
    <m/>
    <m/>
  </r>
  <r>
    <n v="70"/>
    <n v="39"/>
    <n v="68"/>
    <s v="188.147.109.77"/>
    <s v="Link"/>
    <m/>
    <m/>
    <m/>
    <m/>
    <s v="Zakończono"/>
    <s v="2020-05-18 00:00:06"/>
    <s v="2020-05-18 00:31:14"/>
    <n v="186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8"/>
    <s v="tak"/>
    <s v="Architektura i Urbanistyka"/>
    <s v="raczej się zgadzam"/>
    <x v="2"/>
    <s v="ani się zgadzam, ani nie zgadzam"/>
    <s v="raczej się zgadzam"/>
    <s v="nie zgadzam się"/>
    <s v="nie zgadzam się"/>
    <s v="założenie własnej firmy"/>
    <s v="powyżej 1000 zł, ale nie więcej niż 2000 zł"/>
    <n v="1500"/>
    <s v="powyżej 2000 zł, ale nie więcej niż 3000 zł"/>
    <n v="2500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5"/>
    <s v="Architektura i Wzornictwo"/>
    <s v="zgadzam się"/>
    <n v="6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5"/>
    <s v="raczej się zgadzam"/>
    <n v="5"/>
    <s v="zgadzam się"/>
    <s v="nie zgadzam się"/>
    <s v="Tak"/>
    <s v="Znajomość sztuk projektowych, kontakt z klientem, sprzedaż."/>
    <s v="Projektowanie, sprzedaż.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36–45 lat"/>
    <s v="miasto wojewódzkie"/>
    <m/>
    <s v="stopień doktora"/>
    <m/>
    <s v="Powodzenia;)"/>
  </r>
  <r>
    <n v="86"/>
    <n v="51"/>
    <n v="57"/>
    <s v="81.190.56.54"/>
    <s v="Link"/>
    <s v="https://ankietaplus.pl/ankiety/analiza/wyniki-pojedyncze/13308"/>
    <m/>
    <m/>
    <m/>
    <s v="Zakończono"/>
    <s v="2020-06-08 02:14:57"/>
    <s v="2020-06-08 02:50:35"/>
    <n v="213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5"/>
    <s v="tak"/>
    <s v="architektura"/>
    <s v="raczej się zgadzam"/>
    <x v="2"/>
    <s v="raczej się zgadzam"/>
    <s v="raczej się zgadzam"/>
    <s v="nie zgadzam się"/>
    <s v="raczej się nie zgadzam"/>
    <s v="praca przed zakończeniem studiów"/>
    <s v="powyżej 1000 zł, ale nie więcej niż 2000 zł"/>
    <n v="1500"/>
    <s v="powyżej 2000 zł, ale nie więcej niż 3000 zł"/>
    <n v="2500"/>
    <s v="kontakty zawodowe; możliwość wyjazdu za granicę"/>
    <s v="-"/>
    <s v="-"/>
    <s v="stacjonarne (dzienne) studia 2 stopnia (magisterskie)"/>
    <s v="jednolit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raczej się zgadzam"/>
    <n v="5"/>
    <s v="raczej się zgadzam"/>
    <s v="ani się zgadzam, ani nie zgadzam"/>
    <s v="Tak"/>
    <s v="systematyczność, pracowitość, doświadczenie, kreatywność"/>
    <s v="architekci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36–45 lat"/>
    <s v="miasto wojewódzkie"/>
    <m/>
    <m/>
    <m/>
    <m/>
  </r>
  <r>
    <n v="137"/>
    <n v="83"/>
    <n v="57"/>
    <s v="158.233.246.27"/>
    <s v="Link"/>
    <m/>
    <m/>
    <m/>
    <m/>
    <s v="Zakończono"/>
    <s v="2020-12-09 16:26:10"/>
    <s v="2020-12-23 16:11:37"/>
    <n v="1208727"/>
    <m/>
    <n v="0"/>
    <s v="Tak (kontynuacja ankiety)"/>
    <x v="0"/>
    <x v="0"/>
    <m/>
    <m/>
    <m/>
    <x v="0"/>
    <m/>
    <m/>
    <m/>
    <m/>
    <m/>
    <m/>
    <m/>
    <m/>
    <m/>
    <m/>
    <m/>
    <x v="0"/>
    <x v="6"/>
    <s v="Niepubliczna"/>
    <s v="Nietechniczna"/>
    <n v="1"/>
    <n v="2012"/>
    <s v="nie"/>
    <s v="Psychologia"/>
    <s v="raczej się zgadzam"/>
    <x v="2"/>
    <s v="ani się zgadzam, ani nie zgadzam"/>
    <s v="raczej się zgadzam"/>
    <s v="ani się zgadzam, ani nie zgadzam"/>
    <s v="raczej się nie zgadzam"/>
    <s v="praca przed ukończeniem studiów"/>
    <s v="nie dotyczy"/>
    <s v="N/D"/>
    <s v="nie dotyczy"/>
    <s v="N/D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0"/>
    <s v="raczej się zgadzam"/>
    <n v="5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26–35 lat"/>
    <s v="nieduże miasto powiatowe"/>
    <m/>
    <s v="ukończone szkolenia/kursy ,  studia podyplomowe"/>
    <s v="szkolenia, certyfikaty, kursy, samodzielna nauka"/>
    <m/>
  </r>
  <r>
    <n v="82"/>
    <n v="47"/>
    <n v="42"/>
    <s v="31.2.121.252"/>
    <s v="Link"/>
    <m/>
    <m/>
    <m/>
    <m/>
    <s v="Zakończono"/>
    <s v="2020-06-03 21:29:49"/>
    <s v="2020-06-03 22:25:38"/>
    <n v="3349"/>
    <m/>
    <n v="0"/>
    <s v="Tak (kontynuacja ankiety)"/>
    <x v="0"/>
    <x v="0"/>
    <m/>
    <m/>
    <m/>
    <x v="0"/>
    <m/>
    <m/>
    <m/>
    <m/>
    <m/>
    <m/>
    <m/>
    <m/>
    <m/>
    <m/>
    <m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raczej się zgadzam"/>
    <n v="5"/>
    <s v="raczej się zgadzam"/>
    <s v="raczej się nie zgadzam"/>
    <s v="Tak"/>
    <s v="techniczne"/>
    <s v="konstruktorzy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36–45 lat"/>
    <s v="duże miasto powiatowe"/>
    <m/>
    <s v="Studia podyplomowe"/>
    <m/>
    <m/>
  </r>
  <r>
    <n v="128"/>
    <n v="77"/>
    <n v="57"/>
    <s v="31.0.81.71"/>
    <s v="Link"/>
    <m/>
    <m/>
    <m/>
    <m/>
    <s v="Zakończono"/>
    <s v="2020-11-03 12:54:11"/>
    <s v="2020-11-03 13:05:09"/>
    <n v="658"/>
    <m/>
    <n v="0"/>
    <s v="Tak (kontynuacja ankiety)"/>
    <x v="0"/>
    <x v="0"/>
    <m/>
    <m/>
    <m/>
    <x v="0"/>
    <m/>
    <m/>
    <m/>
    <m/>
    <m/>
    <m/>
    <m/>
    <m/>
    <m/>
    <m/>
    <m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raczej się zgadzam"/>
    <n v="5"/>
    <s v="raczej się zgadzam"/>
    <s v="zgadzam się"/>
    <s v="zgadzam się"/>
    <s v="zgadzam się"/>
    <s v="zdecydowanie się zgadzam"/>
    <s v="Kontakty, rozwój umiejętności interpersonaln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zdecydowanie się zgadzam"/>
    <n v="7"/>
    <s v="zdecydowanie się zgadzam"/>
    <s v="zdecydowanie się zgadzam"/>
    <s v="Tak"/>
    <s v="Analityczne myślenie, zmysł inżynierski"/>
    <s v="biurowa"/>
    <s v="Tak (przejście do analogicznej części oceny dotyczącej drugiej uczelni)"/>
    <x v="0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26–35 lat"/>
    <s v="miasto wojewódzkie"/>
    <m/>
    <s v="Politechnika Gdańska"/>
    <m/>
    <m/>
  </r>
  <r>
    <n v="93"/>
    <n v="56"/>
    <n v="60"/>
    <s v="176.221.122.237"/>
    <s v="Link"/>
    <m/>
    <m/>
    <m/>
    <m/>
    <s v="Zakończono"/>
    <s v="2020-07-23 09:43:23"/>
    <s v="2020-07-23 09:50:54"/>
    <n v="45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4"/>
    <s v="nie"/>
    <s v="Informatyka z Ekonometrią"/>
    <s v="zgadzam się"/>
    <x v="0"/>
    <s v="zgadzam się"/>
    <s v="zgadzam się"/>
    <s v="zgadzam się"/>
    <s v="zdecydowanie się zgadzam"/>
    <s v="praca przed ukończeniem studiów"/>
    <s v="powyżej 2000 zł, ale nie więcej niż 3000 zł"/>
    <n v="2500"/>
    <s v="powyżej 8000 zł, ale nie więcej niż 9000 zł"/>
    <n v="8500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zdecydowanie się zgadzam"/>
    <s v="Tak"/>
    <s v="programowanie, sieci, administrowanie systemami"/>
    <s v="testerzy, programisci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36–45 lat"/>
    <s v="miasto wojewódzkie"/>
    <s v="Gdynia"/>
    <s v="wyższe IT"/>
    <s v="wyższe Ekonimia"/>
    <m/>
  </r>
  <r>
    <n v="76"/>
    <n v="42"/>
    <n v="67"/>
    <s v="37.47.198.130"/>
    <s v="Link"/>
    <s v="https://ankietaplus.pl/ankiety/analiza/statystyki/13308"/>
    <m/>
    <m/>
    <m/>
    <s v="Zakończono"/>
    <s v="2020-05-24 12:31:37"/>
    <s v="2020-05-24 12:58:53"/>
    <n v="1636"/>
    <m/>
    <n v="0"/>
    <s v="Tak (kontynuacja ankiety)"/>
    <x v="0"/>
    <x v="0"/>
    <m/>
    <m/>
    <m/>
    <x v="0"/>
    <m/>
    <m/>
    <m/>
    <m/>
    <m/>
    <m/>
    <m/>
    <m/>
    <m/>
    <m/>
    <m/>
    <x v="0"/>
    <x v="8"/>
    <s v="Publiczna"/>
    <s v="Nietechniczna"/>
    <n v="1"/>
    <n v="2013"/>
    <s v="nie"/>
    <s v="Fizjoterapia"/>
    <s v="raczej się nie zgadzam"/>
    <x v="6"/>
    <s v="ani się zgadzam, ani nie zgadzam"/>
    <s v="raczej się zgadzam"/>
    <s v="zdecydowanie się nie zgadzam"/>
    <s v="nie zgadzam się"/>
    <n v="0"/>
    <s v="powyżej 1000 zł, ale nie więcej niż 2000 zł"/>
    <n v="1500"/>
    <s v="powyżej 1000 zł, ale nie więcej niż 2000 zł"/>
    <n v="1500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6"/>
    <s v="Wychowania Fizycznego"/>
    <s v="zdecydowanie się nie zgadzam"/>
    <n v="1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6"/>
    <s v="zgadzam się"/>
    <n v="6"/>
    <s v="zgadzam się"/>
    <s v="nie zgadzam się"/>
    <s v="Tak"/>
    <s v="Praktyczne umiejętności, komunikacja z pacjentem, doświadczenie"/>
    <s v="fizjoterapeuci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26–35 lat"/>
    <s v="nieduże miasto powiatowe"/>
    <m/>
    <s v="psychologia - magisterka; oligofrenopedagogika - kurs kwalifikacyjny (jak studia podyplomowe)"/>
    <m/>
    <s v="&lt;&lt;Burza&gt;&gt;"/>
  </r>
  <r>
    <n v="179"/>
    <n v="101"/>
    <n v="56"/>
    <s v="212.237.134.195"/>
    <s v="Link"/>
    <m/>
    <m/>
    <m/>
    <m/>
    <s v="Zakończono"/>
    <s v="2020-12-18 13:27:06"/>
    <s v="2020-12-18 14:11:51"/>
    <n v="2685"/>
    <m/>
    <n v="0"/>
    <s v="Tak (kontynuacja ankiety)"/>
    <x v="0"/>
    <x v="0"/>
    <m/>
    <m/>
    <m/>
    <x v="0"/>
    <m/>
    <m/>
    <m/>
    <m/>
    <m/>
    <m/>
    <m/>
    <m/>
    <m/>
    <m/>
    <m/>
    <x v="0"/>
    <x v="9"/>
    <s v="Zagraniczna"/>
    <s v="Nietechniczna"/>
    <n v="1"/>
    <n v="1996"/>
    <s v="nie"/>
    <s v="BA Business Admin"/>
    <s v="raczej się zgadzam"/>
    <x v="2"/>
    <s v="ani się zgadzam, ani nie zgadzam"/>
    <s v="raczej się zgadzam"/>
    <s v="raczej się zgadzam"/>
    <s v="ani się zgadzam, ani nie zgadzam"/>
    <s v="2 months "/>
    <s v="powyżej 10.000 zł"/>
    <n v="10500"/>
    <s v="powyżej 10.000 zł"/>
    <n v="10500"/>
    <s v="Good base knowledge. "/>
    <s v="Good social atmosphere "/>
    <s v="Too much socialising 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7"/>
    <s v="zgadzam się"/>
    <n v="6"/>
    <s v="raczej się zgadzam"/>
    <s v="raczej się zgadzam"/>
    <s v="Tak"/>
    <s v="Finance "/>
    <s v="Technology in financ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46–55 lat"/>
    <s v="duże miasto powiatowe"/>
    <m/>
    <s v="ITIL masters"/>
    <m/>
    <m/>
  </r>
  <r>
    <n v="258"/>
    <n v="135"/>
    <n v="69"/>
    <s v="5.173.8.81"/>
    <s v="Link"/>
    <m/>
    <m/>
    <m/>
    <m/>
    <s v="Zakończono"/>
    <s v="2022-08-15 10:01:31"/>
    <s v="2022-08-15 10:13:32"/>
    <n v="721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5"/>
    <s v="nie"/>
    <s v="Studia muzyczne, wydział instrumentalny"/>
    <s v="zdecydowanie się zgadzam"/>
    <x v="1"/>
    <s v="zdecydowanie się zgadzam"/>
    <s v="zgadzam się"/>
    <s v="raczej się nie zgadzam"/>
    <s v="raczej się nie zgadzam"/>
    <n v="4"/>
    <s v="powyżej 1000 zł, ale nie więcej niż 2000 zł"/>
    <n v="1500"/>
    <s v="powyżej 1000 zł, ale nie więcej niż 2000 zł"/>
    <n v="1500"/>
    <s v="praktyczne uprawianie zawodu muzyka; otoczenie, spotkane osobowości z różnych dziedzin"/>
    <s v=" "/>
    <s v=" "/>
    <s v="stacjonarne (dzienne) studia 2 stopnia (magisterskie)"/>
    <s v="jednolite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s v="Rektor / prorektor"/>
    <m/>
    <m/>
    <m/>
    <x v="2"/>
    <s v="raczej się zgadzam"/>
    <s v="raczej się zgadzam"/>
    <s v="raczej się zgadzam"/>
    <s v="nie dotyczy"/>
    <s v="nie dotyczy"/>
    <s v="nie dotyczy"/>
    <s v="raczej się zgadzam"/>
    <n v="5"/>
    <n v="20"/>
    <n v="60"/>
    <n v="0"/>
    <n v="0"/>
    <n v="0"/>
    <n v="20"/>
    <n v="0"/>
    <m/>
    <n v="20"/>
    <n v="60"/>
    <n v="0"/>
    <n v="0"/>
    <n v="0"/>
    <n v="20"/>
    <n v="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 "/>
    <s v=" "/>
    <s v=" "/>
    <x v="0"/>
    <n v="1961"/>
    <s v="56–65 lat"/>
    <s v="miasto wojewódzkie"/>
    <m/>
    <m/>
    <m/>
    <m/>
  </r>
  <r>
    <n v="21"/>
    <n v="18"/>
    <n v="90"/>
    <s v="156.17.106.1"/>
    <s v="Link"/>
    <m/>
    <m/>
    <m/>
    <m/>
    <s v="Zakończono"/>
    <s v="2020-05-14 12:15:18"/>
    <s v="2020-05-14 13:45:56"/>
    <n v="5438"/>
    <m/>
    <n v="0"/>
    <s v="Tak (kontynuacja ankiety)"/>
    <x v="0"/>
    <x v="0"/>
    <m/>
    <m/>
    <m/>
    <x v="0"/>
    <m/>
    <m/>
    <m/>
    <m/>
    <m/>
    <m/>
    <m/>
    <m/>
    <m/>
    <m/>
    <m/>
    <x v="0"/>
    <x v="10"/>
    <s v="Publiczna"/>
    <s v="Nietechniczna"/>
    <n v="1"/>
    <n v="1985"/>
    <s v="nie"/>
    <s v="malarstwo"/>
    <s v="zdecydowanie się zgadzam"/>
    <x v="1"/>
    <s v="zdecydowanie się zgadzam"/>
    <s v="raczej się nie zgadzam"/>
    <s v="nie zgadzam się"/>
    <s v="nie zgadzam się"/>
    <s v="po 3 miesiącach"/>
    <s v="do 1000 zł"/>
    <n v="500"/>
    <s v="do 1000 zł"/>
    <n v="500"/>
    <s v="jestem wszechstronnie wykwalifikowanym artystą plastykiem"/>
    <s v="miasto, uczelnia, środowisko, dydaktycy"/>
    <s v="brak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2"/>
    <s v="Wydział Malarstwa i Rzeźby"/>
    <s v="zdecydowanie się zgadzam"/>
    <n v="7"/>
    <s v="zdecydowanie się zgadzam"/>
    <s v="zdecydowanie się zgadzam"/>
    <s v="zdecydowanie się zgadzam"/>
    <s v="zdecydowanie się zgadzam"/>
    <s v="zdecydowanie się zgadzam"/>
    <s v="wszechstronne doświadczenie"/>
    <x v="1"/>
    <x v="7"/>
    <s v="Malarstwa i Rzeźby"/>
    <s v="zdecydowanie się zgadzam"/>
    <n v="7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x v="4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7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56–65 lat"/>
    <s v="duże miasto powiatowe"/>
    <m/>
    <m/>
    <m/>
    <m/>
  </r>
  <r>
    <n v="133"/>
    <n v="81"/>
    <n v="55"/>
    <s v="153.19.33.88"/>
    <s v="Link"/>
    <m/>
    <m/>
    <m/>
    <m/>
    <s v="Zakończono"/>
    <s v="2020-11-27 21:07:14"/>
    <s v="2020-11-27 21:13:21"/>
    <n v="367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6"/>
    <s v="nie"/>
    <s v="Psychologia"/>
    <s v="raczej się zgadzam"/>
    <x v="2"/>
    <s v="raczej się zgadzam"/>
    <s v="zdecydowanie się zgadzam"/>
    <s v="nie zgadzam się"/>
    <s v="ani się zgadzam, ani nie zgadzam"/>
    <n v="3"/>
    <s v="powyżej 1000 zł, ale nie więcej niż 2000 zł"/>
    <n v="1500"/>
    <s v="powyżej 2000 zł, ale nie więcej niż 3000 zł"/>
    <n v="2500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decydowanie się zgadzam"/>
    <n v="7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36–45 lat"/>
    <s v="miasto wojewódzkie"/>
    <m/>
    <m/>
    <m/>
    <m/>
  </r>
  <r>
    <n v="60"/>
    <n v="35"/>
    <n v="54"/>
    <s v="185.233.26.5"/>
    <s v="Link"/>
    <s v="http://m.facebook.com/"/>
    <m/>
    <m/>
    <m/>
    <s v="Zakończono"/>
    <s v="2020-05-16 20:50:56"/>
    <s v="2020-05-16 21:03:46"/>
    <n v="770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s v="2013 (magisterium); 2019 (doktorat)"/>
    <s v="nie"/>
    <s v="Polonistyka; doktorat w zakresie językoznawstwa"/>
    <s v="zdecydowanie się zgadzam"/>
    <x v="1"/>
    <s v="zdecydowanie się zgadzam"/>
    <s v="zdecydowanie się zgadzam"/>
    <s v="zgadzam się"/>
    <s v="nie dotyczy"/>
    <s v="Po uzyskaniu stopnia doktora od razu zostałam zatrudniona."/>
    <s v="powyżej 2000 zł, ale nie więcej niż 3000 zł"/>
    <n v="2500"/>
    <s v="nie dotyczy"/>
    <s v="N/D"/>
    <m/>
    <s v="Stypendia, kompetentna kadra naukowa."/>
    <s v="Duże wymagania na studiach I i II stopnia."/>
    <s v="stacjonarne (dzienne) studia 2 stopnia (magisterskie)"/>
    <s v="Studia III stopn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8"/>
    <s v="Wydział Polonistyki"/>
    <s v="zdecydowanie się zgadzam"/>
    <n v="7"/>
    <s v="zdecydowanie się zgadzam"/>
    <s v="zdecydowanie się zgadzam"/>
    <s v="zdecydowanie się zgadzam"/>
    <s v="zdecydowanie się zgadzam"/>
    <s v="zgadzam się"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26–35 lat"/>
    <s v="miasto wojewódzkie"/>
    <m/>
    <m/>
    <m/>
    <m/>
  </r>
  <r>
    <n v="38"/>
    <n v="26"/>
    <n v="58"/>
    <s v="31.182.177.36"/>
    <s v="Link"/>
    <s v="https://www.facebook.com/"/>
    <m/>
    <m/>
    <m/>
    <s v="Zakończono"/>
    <s v="2020-05-16 17:09:17"/>
    <s v="2020-05-16 17:16:21"/>
    <n v="424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Nauczanie języka polskiego jako obcego"/>
    <s v="zgadzam się"/>
    <x v="0"/>
    <s v="zdecydowanie się zgadzam"/>
    <s v="zdecydowanie się zgadzam"/>
    <s v="zgadzam się"/>
    <s v="nie dotyczy"/>
    <s v="Od razu po ukończeniu studiów."/>
    <s v="powyżej 2000 zł, ale nie więcej niż 3000 zł"/>
    <n v="2500"/>
    <s v="nie dotyczy"/>
    <s v="N/D"/>
    <s v="Kontynuacja na studiach doktoranckich"/>
    <s v="Zgodność z zainteresowaniami."/>
    <s v="bra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8"/>
    <s v="Wydział Polonistyki"/>
    <s v="zdecydowanie się zgadzam"/>
    <n v="7"/>
    <s v="zgadzam się"/>
    <s v="raczej się zgadzam"/>
    <s v="zgadzam się"/>
    <s v="zgadzam się"/>
    <s v="ani się zgadzam, ani nie zgadzam"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26–35 lat"/>
    <s v="miasto wojewódzkie"/>
    <m/>
    <m/>
    <s v="studia doktoranckie"/>
    <m/>
  </r>
  <r>
    <n v="223"/>
    <n v="122"/>
    <n v="55"/>
    <s v="37.47.234.245"/>
    <s v="Link"/>
    <m/>
    <m/>
    <m/>
    <m/>
    <s v="Zakończono"/>
    <s v="2020-12-21 14:03:37"/>
    <s v="2020-12-21 14:14:50"/>
    <n v="67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informatyka"/>
    <s v="raczej się zgadzam"/>
    <x v="2"/>
    <s v="zdecydowanie się zgadzam"/>
    <s v="zdecydowanie się zgadzam"/>
    <s v="raczej się nie zgadzam"/>
    <s v="raczej się zgadzam"/>
    <s v="praca przed ukończeniem studiów"/>
    <s v="powyżej 2000 zł, ale nie więcej niż 3000 zł"/>
    <n v="2500"/>
    <s v="powyżej 3000 zł, ale nie więcej niż 4000 zł"/>
    <n v="3500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Elektroniki Telekomunikacji i Informatyki"/>
    <s v="zgadzam się"/>
    <n v="6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36–45 lat"/>
    <s v="miasto wojewódzkie"/>
    <m/>
    <s v="stopień naukowy doktora"/>
    <m/>
    <m/>
  </r>
  <r>
    <n v="4"/>
    <n v="4"/>
    <n v="58"/>
    <s v="37.47.200.135"/>
    <s v="Link"/>
    <m/>
    <m/>
    <m/>
    <m/>
    <s v="Zakończono"/>
    <s v="2020-05-04 09:31:36"/>
    <s v="2020-05-04 10:24:17"/>
    <n v="3161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6"/>
    <s v="nie"/>
    <s v="wokalistyka"/>
    <s v="zgadzam się"/>
    <x v="0"/>
    <s v="zgadzam się"/>
    <s v="raczej się zgadzam"/>
    <s v="raczej się zgadzam"/>
    <s v="raczej się zgadzam"/>
    <s v="praca na zlecenie od 2. roku studiów"/>
    <s v="powyżej 7000 zł, ale nie więcej niż 8000 zł"/>
    <n v="7500"/>
    <s v="powyżej 7000 zł, ale nie więcej niż 8000 zł"/>
    <n v="7500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3"/>
    <s v="Wokalno-Aktorskim"/>
    <s v="zgadzam się"/>
    <n v="6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56–65 lat"/>
    <s v="miasto gminne"/>
    <m/>
    <m/>
    <m/>
    <m/>
  </r>
  <r>
    <n v="30"/>
    <n v="21"/>
    <n v="60"/>
    <s v="192.166.202.46"/>
    <s v="Link"/>
    <m/>
    <m/>
    <m/>
    <m/>
    <s v="Zakończono"/>
    <s v="2020-05-16 15:39:07"/>
    <s v="2020-05-16 17:32:39"/>
    <n v="6812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filologia polska"/>
    <s v="zgadzam się"/>
    <x v="0"/>
    <s v="zgadzam się"/>
    <s v="zdecydowanie się zgadzam"/>
    <s v="zdecydowanie się zgadzam"/>
    <s v="nie dotyczy"/>
    <s v="praca przed ukończeniem studiów"/>
    <s v="powyżej 4000 zł, ale nie więcej niż 5000 zł"/>
    <n v="4500"/>
    <s v="nie dotyczy"/>
    <s v="N/D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3"/>
    <s v="Biuro Prasowe"/>
    <s v="zdecydowanie się zgadzam"/>
    <n v="7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26–35 lat"/>
    <s v="miasto gminne"/>
    <m/>
    <s v="dyplom studiów podyplomowych"/>
    <s v="kolejne studia podyplomowe"/>
    <m/>
  </r>
  <r>
    <n v="74"/>
    <n v="40"/>
    <n v="60"/>
    <s v="153.19.40.3"/>
    <s v="Link"/>
    <m/>
    <m/>
    <m/>
    <m/>
    <s v="Zakończono"/>
    <s v="2020-05-20 11:42:44"/>
    <s v="2020-05-20 11:48:25"/>
    <n v="34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7"/>
    <s v="nie"/>
    <s v="Politologia"/>
    <s v="nie zgadzam się"/>
    <x v="7"/>
    <s v="zdecydowanie się nie zgadzam"/>
    <s v="raczej się nie zgadzam"/>
    <s v="raczej się zgadzam"/>
    <s v="zgadzam się"/>
    <s v="praca przed ukończeniem studiów"/>
    <s v="powyżej 2000 zł, ale nie więcej niż 3000 zł"/>
    <n v="2500"/>
    <s v="powyżej 3000 zł, ale nie więcej niż 4000 zł"/>
    <n v="3500"/>
    <s v="otwartość umysłu"/>
    <s v="inni ludzie, wykładowcy, kontakty"/>
    <s v="lokalizacja, wykładowcy, tematyka, organizacja studiów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4"/>
    <s v="Centrala"/>
    <s v="zgadzam się"/>
    <n v="6"/>
    <s v="zgadzam się"/>
    <s v="zdecydowanie się zgadzam"/>
    <s v="zdecydowanie się zgadzam"/>
    <s v="zgadzam się"/>
    <s v="zgadzam się"/>
    <s v="prestiż, tradycja akademicka"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36–45 lat"/>
    <s v="duże miasto powiatowe"/>
    <m/>
    <s v="Dr"/>
    <s v="-"/>
    <m/>
  </r>
  <r>
    <n v="96"/>
    <n v="59"/>
    <n v="50"/>
    <s v="83.23.251.31"/>
    <s v="Link"/>
    <s v="https://ankietaplus.pl/ankiety/analiza/statystyki/13308"/>
    <m/>
    <m/>
    <m/>
    <s v="Zakończono"/>
    <s v="2020-07-26 17:50:58"/>
    <s v="2020-07-26 19:16:58"/>
    <n v="516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0"/>
    <s v="nie"/>
    <s v="Zarządzanie"/>
    <s v="ani się zgadzam, ani nie zgadzam"/>
    <x v="4"/>
    <s v="ani się zgadzam, ani nie zgadzam"/>
    <s v="raczej się zgadzam"/>
    <s v="raczej się zgadzam"/>
    <s v="zgadzam się"/>
    <n v="0"/>
    <s v="powyżej 3000 zł, ale nie więcej niż 4000 zł"/>
    <n v="3500"/>
    <s v="powyżej 4000 zł, ale nie więcej niż 5000 zł"/>
    <n v="4500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46–55 lat"/>
    <s v="duże miasto powiatowe"/>
    <s v="Elbląg"/>
    <s v="historia - magisterskie"/>
    <m/>
    <m/>
  </r>
  <r>
    <n v="126"/>
    <n v="75"/>
    <n v="45"/>
    <s v="46.151.136.191"/>
    <s v="Link"/>
    <s v="http://m.facebook.com/"/>
    <m/>
    <m/>
    <m/>
    <s v="Zakończono"/>
    <s v="2020-10-28 17:15:12"/>
    <s v="2020-10-28 17:27:31"/>
    <n v="73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Zarządzanie inżynierskie"/>
    <s v="ani się zgadzam, ani nie zgadzam"/>
    <x v="4"/>
    <s v="raczej się zgadzam"/>
    <s v="zdecydowanie się zgadzam"/>
    <s v="zgadzam się"/>
    <s v="nie dotyczy"/>
    <s v="praca przed zakończeniem studiów"/>
    <s v="powyżej 2000 zł, ale nie więcej niż 3000 zł"/>
    <n v="2500"/>
    <s v="powyżej 4000 zł, ale nie więcej niż 5000 zł"/>
    <n v="4500"/>
    <s v="Zaufanie ze strony pracodawcy"/>
    <s v="Nie mam zdania. Nic mnie nie zaskoczyło. "/>
    <s v="Za mało praktyki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26–35 lat"/>
    <s v="miasto wojewódzkie"/>
    <m/>
    <m/>
    <m/>
    <m/>
  </r>
  <r>
    <n v="89"/>
    <n v="54"/>
    <n v="49"/>
    <s v="37.47.200.70"/>
    <s v="Link"/>
    <m/>
    <m/>
    <m/>
    <m/>
    <s v="Zakończono"/>
    <s v="2020-06-16 16:30:27"/>
    <s v="2020-06-16 16:34:42"/>
    <n v="25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MECHANICZNY"/>
    <s v="ani się zgadzam, ani nie zgadzam"/>
    <x v="4"/>
    <s v="ani się zgadzam, ani nie zgadzam"/>
    <s v="zgadzam się"/>
    <s v="raczej się nie zgadzam"/>
    <s v="raczej się zgadzam"/>
    <s v="W TRAKCIE STUDIÓW PRACOWAŁEM"/>
    <s v="powyżej 1000 zł, ale nie więcej niż 2000 zł"/>
    <n v="1500"/>
    <s v="powyżej 5000 zł, ale nie więcej niż 6000 zł"/>
    <n v="5500"/>
    <s v="ŻADNE"/>
    <s v="ŻADNE"/>
    <s v="ZA DUŻO ZBĘDNYCH PRZEDMIOTÓW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36–45 lat"/>
    <s v="miasto wojewódzkie"/>
    <m/>
    <m/>
    <m/>
    <m/>
  </r>
  <r>
    <n v="77"/>
    <n v="43"/>
    <n v="47"/>
    <s v="37.47.198.130"/>
    <s v="Link"/>
    <s v="https://ankietaplus.pl/ankiety/analiza/statystyki/13308"/>
    <m/>
    <m/>
    <m/>
    <s v="Zakończono"/>
    <s v="2020-05-24 13:14:21"/>
    <s v="2020-05-24 13:19:54"/>
    <n v="33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Dziennikarstwo i komunikacja społeczna"/>
    <s v="ani się zgadzam, ani nie zgadzam"/>
    <x v="4"/>
    <s v="ani się zgadzam, ani nie zgadzam"/>
    <s v="zdecydowanie się nie zgadzam"/>
    <s v="zdecydowanie się nie zgadzam"/>
    <s v="raczej się nie zgadzam"/>
    <n v="3"/>
    <s v="powyżej 1000 zł, ale nie więcej niż 2000 zł"/>
    <n v="1500"/>
    <s v="powyżej 2000 zł, ale nie więcej niż 3000 zł"/>
    <n v="2500"/>
    <s v="brak"/>
    <s v="dobra atmosfera"/>
    <s v="brak organizacji (brak informacji o odwoływanych zajęciach); złe warunki lokalowe;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26–35 lat"/>
    <s v="miasto wojewódzkie"/>
    <m/>
    <s v="Administracja, Politologia, Marketing internetowy"/>
    <m/>
    <m/>
  </r>
  <r>
    <n v="17"/>
    <n v="16"/>
    <n v="47"/>
    <s v="5.173.220.204"/>
    <s v="Link"/>
    <s v="http://m.facebook.com/"/>
    <m/>
    <m/>
    <m/>
    <s v="Zakończono"/>
    <s v="2020-05-13 21:23:39"/>
    <s v="2020-05-13 21:49:13"/>
    <n v="1534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1"/>
    <s v="nie"/>
    <s v="Chemia biologiczna "/>
    <s v="ani się zgadzam, ani nie zgadzam"/>
    <x v="4"/>
    <s v="nie zgadzam się"/>
    <s v="zdecydowanie się nie zgadzam"/>
    <s v="zdecydowanie się nie zgadzam"/>
    <s v="zdecydowanie się nie zgadzam"/>
    <n v="4"/>
    <s v="powyżej 1000 zł, ale nie więcej niż 2000 zł"/>
    <n v="1500"/>
    <s v="powyżej 1000 zł, ale nie więcej niż 2000 zł"/>
    <n v="1500"/>
    <s v="Umiejętność pracy w zespole "/>
    <s v="Duza ilość zajęć praktycznych, laboratoryjnych"/>
    <s v="Nie logiczny rozklad zajęć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26–35 lat"/>
    <s v="miasto wojewódzkie"/>
    <m/>
    <s v="Policealne, podyplomowe "/>
    <m/>
    <m/>
  </r>
  <r>
    <n v="171"/>
    <n v="98"/>
    <n v="44"/>
    <s v="158.233.246.29"/>
    <s v="Link"/>
    <m/>
    <m/>
    <m/>
    <m/>
    <s v="Zakończono"/>
    <s v="2020-12-18 11:26:18"/>
    <s v="2020-12-18 11:35:40"/>
    <n v="56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4"/>
    <s v="nie"/>
    <s v="Socjologia"/>
    <s v="ani się zgadzam, ani nie zgadzam"/>
    <x v="4"/>
    <s v="raczej się nie zgadzam"/>
    <s v="raczej się nie zgadzam"/>
    <s v="ani się zgadzam, ani nie zgadzam"/>
    <s v="raczej się zgadzam"/>
    <s v="10 miesięcy"/>
    <s v="powyżej 3000 zł, ale nie więcej niż 4000 zł"/>
    <n v="3500"/>
    <s v="powyżej 3000 zł, ale nie więcej niż 4000 zł"/>
    <n v="3500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26–35 lat"/>
    <s v="miasto wojewódzkie"/>
    <m/>
    <m/>
    <m/>
    <m/>
  </r>
  <r>
    <n v="22"/>
    <n v="19"/>
    <n v="50"/>
    <s v="94.42.33.80"/>
    <s v="Link"/>
    <s v="https://l.facebook.com/"/>
    <m/>
    <m/>
    <m/>
    <s v="Zakończono"/>
    <s v="2020-05-15 18:54:24"/>
    <s v="2020-05-15 19:12:19"/>
    <n v="1075"/>
    <m/>
    <n v="0"/>
    <s v="Tak (kontynuacja ankiety)"/>
    <x v="0"/>
    <x v="0"/>
    <m/>
    <m/>
    <m/>
    <x v="0"/>
    <m/>
    <m/>
    <m/>
    <m/>
    <m/>
    <m/>
    <m/>
    <m/>
    <m/>
    <m/>
    <m/>
    <x v="0"/>
    <x v="12"/>
    <s v="Publiczna"/>
    <s v="Nietechniczna"/>
    <n v="1"/>
    <n v="2010"/>
    <s v="nie"/>
    <s v="TEOLOGIA"/>
    <s v="ani się zgadzam, ani nie zgadzam"/>
    <x v="4"/>
    <s v="zgadzam się"/>
    <s v="raczej się zgadzam"/>
    <s v="zgadzam się"/>
    <s v="zgadzam się"/>
    <s v="1 MIESIĄC"/>
    <s v="powyżej 1000 zł, ale nie więcej niż 2000 zł"/>
    <n v="1500"/>
    <s v="powyżej 2000 zł, ale nie więcej niż 3000 zł"/>
    <n v="2500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26–35 lat"/>
    <s v="duże miasto powiatowe"/>
    <m/>
    <s v="technik masażysta, nauczyciel "/>
    <m/>
    <m/>
  </r>
  <r>
    <n v="75"/>
    <n v="41"/>
    <n v="65"/>
    <s v="155.133.45.58"/>
    <s v="Link"/>
    <s v="https://poczta.interia.pl/"/>
    <m/>
    <m/>
    <m/>
    <s v="Zakończono"/>
    <s v="2020-05-21 20:01:36"/>
    <s v="2020-05-21 20:09:43"/>
    <n v="487"/>
    <m/>
    <n v="0"/>
    <s v="Tak (kontynuacja ankiety)"/>
    <x v="1"/>
    <x v="1"/>
    <s v="nie"/>
    <s v="Kompozycja"/>
    <s v="nie zgadzam się"/>
    <x v="1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x v="2"/>
    <s v="Publiczna"/>
    <s v="Nietechniczna"/>
    <n v="1"/>
    <n v="2012"/>
    <s v="nie"/>
    <s v="Filologia Angielska"/>
    <s v="nie zgadzam się"/>
    <x v="7"/>
    <s v="nie zgadzam się"/>
    <s v="nie zgadzam się"/>
    <s v="zdecydowanie się nie zgadzam"/>
    <s v="nie zgadzam się"/>
    <s v="praca przed ukończeniem studiów"/>
    <s v="powyżej 2000 zł, ale nie więcej niż 3000 zł"/>
    <n v="2500"/>
    <s v="powyżej 3000 zł, ale nie więcej niż 4000 zł"/>
    <n v="3500"/>
    <s v="znajomość języka obcego"/>
    <s v="towarzystwo"/>
    <s v="niska jakość kształcenia, biurokracja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26–35 lat"/>
    <s v="miasto wojewódzkie"/>
    <m/>
    <s v="studia podyplomowe w zakresie biznesu"/>
    <s v="zagraniczne studium w zakresie kompozycji, studia magisterskie (zarządzanie przedsiębiorstwem)"/>
    <m/>
  </r>
  <r>
    <n v="182"/>
    <n v="103"/>
    <n v="47"/>
    <s v="146.119.114.150"/>
    <s v="Link"/>
    <m/>
    <m/>
    <m/>
    <m/>
    <s v="Zakończono"/>
    <s v="2020-12-18 15:15:52"/>
    <s v="2020-12-18 15:19:05"/>
    <n v="19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Autmatyka"/>
    <s v="nie zgadzam się"/>
    <x v="7"/>
    <s v="nie zgadzam się"/>
    <s v="raczej się zgadzam"/>
    <s v="nie zgadzam się"/>
    <s v="nie zgadzam się"/>
    <n v="1"/>
    <s v="powyżej 1000 zł, ale nie więcej niż 2000 zł"/>
    <n v="1500"/>
    <s v="powyżej 2000 zł, ale nie więcej niż 3000 zł"/>
    <n v="2500"/>
    <m/>
    <s v="."/>
    <s v="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."/>
    <s v="."/>
    <s v="."/>
    <x v="0"/>
    <n v="1989"/>
    <s v="26–35 lat"/>
    <s v="miasto wojewódzkie"/>
    <m/>
    <s v="."/>
    <s v="."/>
    <s v="."/>
  </r>
  <r>
    <n v="12"/>
    <n v="11"/>
    <n v="49"/>
    <s v="79.163.198.36"/>
    <s v="Link"/>
    <m/>
    <m/>
    <m/>
    <m/>
    <s v="Zakończono"/>
    <s v="2020-05-06 19:59:13"/>
    <s v="2020-05-06 20:05:02"/>
    <n v="34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0"/>
    <s v="tak"/>
    <s v="Matematyka stosowana"/>
    <s v="nie zgadzam się"/>
    <x v="7"/>
    <s v="raczej się nie zgadzam"/>
    <s v="raczej się zgadzam"/>
    <s v="raczej się zgadzam"/>
    <s v="raczej się zgadzam"/>
    <n v="6"/>
    <s v="powyżej 1000 zł, ale nie więcej niż 2000 zł"/>
    <n v="1500"/>
    <s v="powyżej 2000 zł, ale nie więcej niż 3000 zł"/>
    <n v="2500"/>
    <s v="Umiejętność samodokształcania się"/>
    <s v="Znajomi"/>
    <s v="Poziom nauczani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26–35 lat"/>
    <s v="miasto wojewódzkie"/>
    <m/>
    <m/>
    <m/>
    <m/>
  </r>
  <r>
    <n v="218"/>
    <n v="120"/>
    <n v="45"/>
    <s v="37.47.226.179"/>
    <s v="Link"/>
    <s v="http://m.facebook.com/"/>
    <m/>
    <m/>
    <m/>
    <s v="Zakończono"/>
    <s v="2020-12-20 17:46:57"/>
    <s v="2020-12-20 17:54:42"/>
    <n v="46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Inżynieria środowiska"/>
    <s v="nie zgadzam się"/>
    <x v="7"/>
    <s v="nie zgadzam się"/>
    <s v="zdecydowanie się nie zgadzam"/>
    <s v="zdecydowanie się nie zgadzam"/>
    <s v="zdecydowanie się nie zgadzam"/>
    <n v="34"/>
    <s v="do 1000 zł"/>
    <n v="500"/>
    <s v="do 1000 zł"/>
    <n v="500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1995"/>
    <s v="poniżej 26 lat"/>
    <s v="wieś"/>
    <m/>
    <m/>
    <m/>
    <m/>
  </r>
  <r>
    <n v="149"/>
    <n v="87"/>
    <n v="46"/>
    <s v="158.233.246.26"/>
    <s v="Link"/>
    <m/>
    <m/>
    <m/>
    <m/>
    <s v="Zakończono"/>
    <s v="2020-12-15 11:48:44"/>
    <s v="2020-12-15 14:06:30"/>
    <n v="8266"/>
    <m/>
    <n v="0"/>
    <s v="Tak (kontynuacja ankiety)"/>
    <x v="0"/>
    <x v="0"/>
    <m/>
    <m/>
    <m/>
    <x v="0"/>
    <m/>
    <m/>
    <m/>
    <m/>
    <m/>
    <m/>
    <m/>
    <m/>
    <m/>
    <m/>
    <m/>
    <x v="0"/>
    <x v="4"/>
    <s v="Publiczna"/>
    <s v="Nietechniczna"/>
    <n v="1"/>
    <n v="2010"/>
    <s v="nie"/>
    <s v="nauki polityczne "/>
    <s v="nie zgadzam się"/>
    <x v="7"/>
    <s v="zgadzam się"/>
    <s v="zdecydowanie się nie zgadzam"/>
    <s v="zdecydowanie się nie zgadzam"/>
    <s v="zdecydowanie się nie zgadzam"/>
    <s v="praca przed ukończeniem studiów "/>
    <s v="powyżej 3000 zł, ale nie więcej niż 4000 zł"/>
    <n v="3500"/>
    <s v="powyżej 3000 zł, ale nie więcej niż 4000 zł"/>
    <n v="3500"/>
    <s v="prestiż uczelni"/>
    <s v="środowisko, znajomi"/>
    <s v="wysokie koszty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26–35 lat"/>
    <s v="duże miasto powiatowe"/>
    <m/>
    <s v="Mgr nauk politycznych, studia podyplomowe w zakresie zarzadzania projektami (Uniwersytet Gdański) "/>
    <m/>
    <m/>
  </r>
  <r>
    <n v="122"/>
    <n v="71"/>
    <n v="46"/>
    <s v="158.233.246.28"/>
    <s v="Link"/>
    <m/>
    <m/>
    <m/>
    <m/>
    <s v="Zakończono"/>
    <s v="2020-09-21 09:56:42"/>
    <s v="2020-09-21 10:50:17"/>
    <n v="321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5"/>
    <s v="tak"/>
    <s v="Elektronika, Telekomunikacja i Informatyka"/>
    <s v="raczej się nie zgadzam"/>
    <x v="6"/>
    <s v="ani się zgadzam, ani nie zgadzam"/>
    <s v="zdecydowanie się zgadzam"/>
    <s v="raczej się zgadzam"/>
    <s v="zgadzam się"/>
    <n v="1"/>
    <s v="powyżej 2000 zł, ale nie więcej niż 3000 zł"/>
    <n v="2500"/>
    <s v="powyżej 4000 zł, ale nie więcej niż 5000 zł"/>
    <n v="4500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26–35 lat"/>
    <s v="miasto wojewódzkie"/>
    <m/>
    <s v="Studia II stopnia (magisterskie) na wydziale ETI, Politechnika Gdańska"/>
    <m/>
    <m/>
  </r>
  <r>
    <n v="1"/>
    <n v="1"/>
    <n v="49"/>
    <s v="37.47.232.142"/>
    <s v="Link"/>
    <m/>
    <m/>
    <m/>
    <m/>
    <s v="Zakończono"/>
    <s v="2020-04-20 14:55:16"/>
    <s v="2020-04-21 09:13:07"/>
    <n v="6587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Biotechnologia"/>
    <s v="raczej się nie zgadzam"/>
    <x v="6"/>
    <s v="raczej się nie zgadzam"/>
    <s v="zdecydowanie się nie zgadzam"/>
    <s v="zdecydowanie się nie zgadzam"/>
    <s v="zdecydowanie się nie zgadzam"/>
    <s v="1 miesiąc "/>
    <s v="powyżej 1000 zł, ale nie więcej niż 2000 zł"/>
    <n v="1500"/>
    <s v="nie dotyczy"/>
    <s v="N/D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26–35 lat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10"/>
    <n v="65"/>
    <n v="49"/>
    <s v="37.47.226.16"/>
    <s v="Link"/>
    <s v="https://mail.yahoo.com/"/>
    <m/>
    <m/>
    <m/>
    <s v="Zakończono"/>
    <s v="2020-08-24 14:42:23"/>
    <s v="2020-08-24 15:01:50"/>
    <n v="1167"/>
    <m/>
    <n v="0"/>
    <s v="Tak (kontynuacja ankiety)"/>
    <x v="0"/>
    <x v="0"/>
    <m/>
    <m/>
    <m/>
    <x v="0"/>
    <m/>
    <m/>
    <m/>
    <m/>
    <m/>
    <m/>
    <m/>
    <m/>
    <m/>
    <m/>
    <m/>
    <x v="0"/>
    <x v="13"/>
    <s v="Publiczna"/>
    <s v="Techniczna"/>
    <n v="1"/>
    <n v="2007"/>
    <s v="tak"/>
    <s v="Mechanika i budowa maszyn "/>
    <s v="raczej się nie zgadzam"/>
    <x v="6"/>
    <s v="ani się zgadzam, ani nie zgadzam"/>
    <s v="nie zgadzam się"/>
    <s v="zdecydowanie się nie zgadzam"/>
    <s v="zdecydowanie się nie zgadzam"/>
    <n v="5"/>
    <s v="powyżej 2000 zł, ale nie więcej niż 3000 zł"/>
    <n v="2500"/>
    <s v="powyżej 2000 zł, ale nie więcej niż 3000 zł"/>
    <n v="2500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36–45 lat"/>
    <s v="nieduże miasto powiatowe"/>
    <m/>
    <m/>
    <m/>
    <m/>
  </r>
  <r>
    <n v="131"/>
    <n v="80"/>
    <n v="49"/>
    <s v="88.156.64.30"/>
    <s v="Link"/>
    <m/>
    <m/>
    <m/>
    <m/>
    <s v="Zakończono"/>
    <s v="2020-11-20 08:49:34"/>
    <s v="2020-11-20 08:55:30"/>
    <n v="35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7"/>
    <s v="nie"/>
    <s v="Prawo"/>
    <s v="raczej się nie zgadzam"/>
    <x v="6"/>
    <s v="raczej się nie zgadzam"/>
    <s v="raczej się zgadzam"/>
    <s v="raczej się zgadzam"/>
    <s v="raczej się zgadzam"/>
    <n v="1"/>
    <s v="powyżej 1000 zł, ale nie więcej niż 2000 zł"/>
    <n v="1500"/>
    <s v="powyżej 1000 zł, ale nie więcej niż 2000 zł"/>
    <n v="1500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46–55 lat"/>
    <s v="duże miasto powiatowe"/>
    <m/>
    <s v="podyplomowe - WSAiB"/>
    <m/>
    <m/>
  </r>
  <r>
    <n v="158"/>
    <n v="91"/>
    <n v="46"/>
    <s v="158.233.246.28"/>
    <s v="Link"/>
    <m/>
    <m/>
    <m/>
    <m/>
    <s v="Zakończono"/>
    <s v="2020-12-16 08:20:22"/>
    <s v="2020-12-16 08:25:47"/>
    <n v="325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3"/>
    <s v="nie"/>
    <s v="Filologia romańska"/>
    <s v="raczej się nie zgadzam"/>
    <x v="6"/>
    <s v="raczej się nie zgadzam"/>
    <s v="raczej się zgadzam"/>
    <s v="ani się zgadzam, ani nie zgadzam"/>
    <s v="ani się zgadzam, ani nie zgadzam"/>
    <n v="3"/>
    <s v="powyżej 1000 zł, ale nie więcej niż 2000 zł"/>
    <n v="1500"/>
    <s v="powyżej 3000 zł, ale nie więcej niż 4000 zł"/>
    <n v="3500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36–45 lat"/>
    <s v="duże miasto powiatowe"/>
    <m/>
    <s v="podyplomowe"/>
    <m/>
    <m/>
  </r>
  <r>
    <n v="165"/>
    <n v="95"/>
    <n v="47"/>
    <s v="158.233.246.26"/>
    <s v="Link"/>
    <m/>
    <m/>
    <m/>
    <m/>
    <s v="Zakończono"/>
    <s v="2020-12-18 11:23:28"/>
    <s v="2020-12-18 11:30:10"/>
    <n v="40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8"/>
    <s v="nie"/>
    <s v="Chemia, Ochrona Środowiska"/>
    <s v="raczej się nie zgadzam"/>
    <x v="6"/>
    <s v="nie zgadzam się"/>
    <s v="zdecydowanie się nie zgadzam"/>
    <s v="zdecydowanie się nie zgadzam"/>
    <s v="raczej się nie zgadzam"/>
    <s v="praca przed ukończeniem studiów"/>
    <s v="powyżej 1000 zł, ale nie więcej niż 2000 zł"/>
    <n v="1500"/>
    <s v="powyżej 1000 zł, ale nie więcej niż 2000 zł"/>
    <n v="1500"/>
    <s v="zdolność analitycznego myślenia"/>
    <s v="ludzie"/>
    <s v="wykładowc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36–45 lat"/>
    <s v="miasto gminne"/>
    <m/>
    <s v="brak"/>
    <s v="Brak"/>
    <m/>
  </r>
  <r>
    <n v="243"/>
    <n v="130"/>
    <n v="47"/>
    <s v="81.15.175.65"/>
    <s v="Link"/>
    <m/>
    <m/>
    <m/>
    <m/>
    <s v="Zakończono"/>
    <s v="2021-01-05 17:01:54"/>
    <s v="2021-01-05 17:17:36"/>
    <n v="94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Prawo"/>
    <s v="raczej się nie zgadzam"/>
    <x v="6"/>
    <s v="raczej się zgadzam"/>
    <s v="raczej się nie zgadzam"/>
    <s v="raczej się nie zgadzam"/>
    <s v="nie zgadzam się"/>
    <s v="praca przed ukończeniem studiów"/>
    <s v="powyżej 2000 zł, ale nie więcej niż 3000 zł"/>
    <n v="2500"/>
    <s v="powyżej 1000 zł, ale nie więcej niż 2000 zł"/>
    <n v="1500"/>
    <s v="Obiektywne patrzenie na niektóre aspekty życia "/>
    <s v="Poznani ludzie"/>
    <s v="Wyścig szczurów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26–35 lat"/>
    <s v="wieś gminna"/>
    <m/>
    <s v="Technikum Hotelarsko Turystyczne"/>
    <s v="Brak"/>
    <m/>
  </r>
  <r>
    <n v="105"/>
    <n v="64"/>
    <n v="49"/>
    <s v="31.60.243.153"/>
    <s v="Link"/>
    <m/>
    <m/>
    <m/>
    <m/>
    <s v="Zakończono"/>
    <s v="2020-08-23 21:05:52"/>
    <s v="2020-08-23 21:27:25"/>
    <n v="129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3"/>
    <s v="nie"/>
    <s v="Finanse i bankowosc"/>
    <s v="raczej się nie zgadzam"/>
    <x v="6"/>
    <s v="raczej się nie zgadzam"/>
    <s v="raczej się nie zgadzam"/>
    <s v="nie zgadzam się"/>
    <s v="nie dotyczy"/>
    <s v="Praca w innej branży po około roku"/>
    <s v="powyżej 1000 zł, ale nie więcej niż 2000 zł"/>
    <n v="1500"/>
    <s v="powyżej 1000 zł, ale nie więcej niż 2000 zł"/>
    <n v="1500"/>
    <m/>
    <s v="Samodzielność,  brak aspektów naukowych "/>
    <s v="Nietrafiony wybór studiów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36–45 lat"/>
    <s v="wieś"/>
    <m/>
    <s v="Kolegium kształcenia nauczycieli języków obcycb"/>
    <m/>
    <m/>
  </r>
  <r>
    <n v="97"/>
    <n v="60"/>
    <n v="51"/>
    <s v="83.23.251.31"/>
    <s v="Link"/>
    <s v="https://ankietaplus.pl/ankiety/analiza/statystyki/13308"/>
    <m/>
    <m/>
    <m/>
    <s v="Zakończono"/>
    <s v="2020-07-26 19:17:17"/>
    <s v="2020-07-26 19:50:00"/>
    <n v="1963"/>
    <m/>
    <n v="0"/>
    <s v="Tak (kontynuacja ankiety)"/>
    <x v="0"/>
    <x v="0"/>
    <m/>
    <m/>
    <m/>
    <x v="0"/>
    <m/>
    <m/>
    <m/>
    <m/>
    <m/>
    <m/>
    <m/>
    <m/>
    <m/>
    <m/>
    <m/>
    <x v="0"/>
    <x v="14"/>
    <s v="Publiczna"/>
    <s v="Nietechniczna"/>
    <n v="1"/>
    <n v="1996"/>
    <s v="nie"/>
    <s v="Polonistyka"/>
    <s v="raczej się nie zgadzam"/>
    <x v="6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n v="1500"/>
    <s v="powyżej 1000 zł, ale nie więcej niż 2000 zł"/>
    <n v="1500"/>
    <s v="możliwość dalszego rozwoju, znajomości z wartościowymi ludźmi"/>
    <s v="dobra atmosfera wśród grupy studentów"/>
    <s v="brak praktyk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56–65 lat"/>
    <s v="miasto gminne"/>
    <m/>
    <s v="historia - podyplomowe; bibliotekarstwo, ekonomia - policealne studium"/>
    <s v="Brak"/>
    <m/>
  </r>
  <r>
    <n v="164"/>
    <n v="94"/>
    <n v="48"/>
    <s v="188.124.189.51"/>
    <s v="Link"/>
    <m/>
    <m/>
    <m/>
    <m/>
    <s v="Zakończono"/>
    <s v="2020-12-18 09:42:59"/>
    <s v="2020-12-18 09:57:39"/>
    <n v="880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9"/>
    <s v="nie"/>
    <s v="IT Project Management"/>
    <s v="raczej się nie zgadzam"/>
    <x v="6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n v="2500"/>
    <s v="powyżej 4000 zł, ale nie więcej niż 5000 zł"/>
    <n v="4500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26–35 lat"/>
    <s v="duże miasto powiatowe"/>
    <m/>
    <s v="Licencjat, mgr absolutorium na UG"/>
    <s v="Studia psychologii biznesu na UG"/>
    <m/>
  </r>
  <r>
    <n v="113"/>
    <n v="67"/>
    <n v="46"/>
    <s v="156.67.104.35"/>
    <s v="Link"/>
    <m/>
    <m/>
    <m/>
    <m/>
    <s v="Zakończono"/>
    <s v="2020-09-07 11:02:32"/>
    <s v="2020-09-07 11:49:15"/>
    <n v="2803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9"/>
    <s v="nie"/>
    <s v="Zarzadzanie"/>
    <s v="raczej się nie zgadzam"/>
    <x v="6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n v="3500"/>
    <s v="nie dotyczy"/>
    <s v="N/D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26–35 lat"/>
    <s v="duże miasto powiatowe"/>
    <m/>
    <m/>
    <s v="przerwane studia na PG na wydziale mechanicznym , przerwane studia na WSKS w Gdyni z zakresu pedagogiki "/>
    <m/>
  </r>
  <r>
    <n v="139"/>
    <n v="84"/>
    <n v="61"/>
    <s v="89.64.97.160"/>
    <s v="Link"/>
    <m/>
    <m/>
    <m/>
    <m/>
    <s v="Zakończono"/>
    <s v="2020-12-15 07:05:46"/>
    <s v="2020-12-15 07:15:04"/>
    <n v="558"/>
    <m/>
    <n v="0"/>
    <s v="Tak (kontynuacja ankiety)"/>
    <x v="1"/>
    <x v="2"/>
    <s v="tak"/>
    <s v="Mechanika i budowa maszyn"/>
    <s v="raczej się zgadzam"/>
    <x v="2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x v="0"/>
    <s v="Publiczna"/>
    <s v="Techniczna"/>
    <n v="1"/>
    <n v="2015"/>
    <s v="tak"/>
    <s v="Mechatronika"/>
    <s v="raczej się zgadzam"/>
    <x v="2"/>
    <s v="raczej się nie zgadzam"/>
    <s v="raczej się zgadzam"/>
    <s v="raczej się zgadzam"/>
    <s v="raczej się zgadzam"/>
    <s v="praca przed ukończeniem studiów"/>
    <s v="powyżej 2000 zł, ale nie więcej niż 3000 zł"/>
    <n v="2500"/>
    <s v="powyżej 3000 zł, ale nie więcej niż 4000 zł"/>
    <n v="3500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26–35 lat"/>
    <s v="duże miasto powiatowe"/>
    <m/>
    <s v="Liceum"/>
    <s v="Żadne"/>
    <m/>
  </r>
  <r>
    <n v="238"/>
    <n v="129"/>
    <n v="46"/>
    <s v="158.233.246.27"/>
    <s v="Link"/>
    <s v="https://www.yammer.com/"/>
    <m/>
    <m/>
    <m/>
    <s v="Zakończono"/>
    <s v="2020-12-28 12:30:20"/>
    <s v="2020-12-28 12:54:29"/>
    <n v="1449"/>
    <m/>
    <n v="0"/>
    <s v="Tak (kontynuacja ankiety)"/>
    <x v="0"/>
    <x v="0"/>
    <m/>
    <m/>
    <m/>
    <x v="0"/>
    <m/>
    <m/>
    <m/>
    <m/>
    <m/>
    <m/>
    <m/>
    <m/>
    <m/>
    <m/>
    <m/>
    <x v="0"/>
    <x v="16"/>
    <s v="Publiczna"/>
    <s v="Nietechniczna"/>
    <n v="1"/>
    <n v="2007"/>
    <s v="tak"/>
    <s v="Informatyka - Sieci komputerowe"/>
    <s v="raczej się zgadzam"/>
    <x v="2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n v="2500"/>
    <s v="powyżej 3000 zł, ale nie więcej niż 4000 zł"/>
    <n v="3500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1995"/>
    <s v="poniżej 26 lat"/>
    <s v="duże miasto powiatowe"/>
    <m/>
    <s v="Magister na PG na wydziale ETI"/>
    <m/>
    <m/>
  </r>
  <r>
    <n v="167"/>
    <n v="96"/>
    <n v="46"/>
    <s v="158.233.246.28"/>
    <s v="Link"/>
    <m/>
    <m/>
    <m/>
    <m/>
    <s v="Zakończono"/>
    <s v="2020-12-18 11:24:10"/>
    <s v="2020-12-18 11:35:15"/>
    <n v="665"/>
    <m/>
    <n v="0"/>
    <s v="Tak (kontynuacja ankiety)"/>
    <x v="0"/>
    <x v="0"/>
    <m/>
    <m/>
    <m/>
    <x v="0"/>
    <m/>
    <m/>
    <m/>
    <m/>
    <m/>
    <m/>
    <m/>
    <m/>
    <m/>
    <m/>
    <m/>
    <x v="0"/>
    <x v="8"/>
    <s v="Publiczna"/>
    <s v="Nietechniczna"/>
    <n v="1"/>
    <n v="2007"/>
    <s v="nie"/>
    <s v="Turystyka i rekreacja"/>
    <s v="raczej się zgadzam"/>
    <x v="2"/>
    <s v="ani się zgadzam, ani nie zgadzam"/>
    <s v="ani się zgadzam, ani nie zgadzam"/>
    <s v="zgadzam się"/>
    <s v="raczej się nie zgadzam"/>
    <n v="2"/>
    <s v="powyżej 2000 zł, ale nie więcej niż 3000 zł"/>
    <n v="2500"/>
    <s v="powyżej 2000 zł, ale nie więcej niż 3000 zł"/>
    <n v="2500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36–45 lat"/>
    <s v="duże miasto powiatowe"/>
    <m/>
    <s v="Studia podyplomowe na UG."/>
    <m/>
    <m/>
  </r>
  <r>
    <n v="26"/>
    <n v="20"/>
    <n v="49"/>
    <s v="37.47.224.76"/>
    <s v="Link"/>
    <m/>
    <m/>
    <m/>
    <m/>
    <s v="Zakończono"/>
    <s v="2020-05-15 21:46:08"/>
    <s v="2020-05-15 22:03:27"/>
    <n v="1039"/>
    <m/>
    <n v="0"/>
    <s v="Tak (kontynuacja ankiety)"/>
    <x v="0"/>
    <x v="0"/>
    <m/>
    <m/>
    <m/>
    <x v="0"/>
    <m/>
    <m/>
    <m/>
    <m/>
    <m/>
    <m/>
    <m/>
    <m/>
    <m/>
    <m/>
    <m/>
    <x v="0"/>
    <x v="17"/>
    <s v="Publiczna"/>
    <s v="Nietechniczna"/>
    <n v="1"/>
    <n v="2011"/>
    <s v="nie"/>
    <s v="Fizjoterapia"/>
    <s v="raczej się zgadzam"/>
    <x v="2"/>
    <s v="raczej się zgadzam"/>
    <s v="raczej się nie zgadzam"/>
    <s v="raczej się nie zgadzam"/>
    <s v="raczej się nie zgadzam"/>
    <n v="2"/>
    <s v="powyżej 1000 zł, ale nie więcej niż 2000 zł"/>
    <n v="1500"/>
    <s v="powyżej 2000 zł, ale nie więcej niż 3000 zł"/>
    <n v="2500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26–35 lat"/>
    <s v="miasto wojewódzkie"/>
    <m/>
    <m/>
    <m/>
    <m/>
  </r>
  <r>
    <n v="215"/>
    <n v="118"/>
    <n v="46"/>
    <s v="158.233.246.28"/>
    <s v="Link"/>
    <m/>
    <m/>
    <m/>
    <m/>
    <s v="Zakończono"/>
    <s v="2020-12-19 21:01:07"/>
    <s v="2020-12-19 21:19:56"/>
    <n v="112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4"/>
    <s v="tak"/>
    <s v="Zarządzanie inżynierskie"/>
    <s v="raczej się zgadzam"/>
    <x v="2"/>
    <s v="zgadzam się"/>
    <s v="raczej się zgadzam"/>
    <s v="raczej się zgadzam"/>
    <s v="zgadzam się"/>
    <n v="1"/>
    <s v="powyżej 1000 zł, ale nie więcej niż 2000 zł"/>
    <n v="1500"/>
    <s v="powyżej 3000 zł, ale nie więcej niż 4000 zł"/>
    <n v="3500"/>
    <m/>
    <s v="towarzystwo"/>
    <s v="konieczność uczęszczania na wszystkie zajęcia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26–35 lat"/>
    <s v="miasto wojewódzkie"/>
    <m/>
    <s v="SGH/ SP"/>
    <s v="WSAiB/ studia II st. + SP"/>
    <m/>
  </r>
  <r>
    <n v="156"/>
    <n v="90"/>
    <n v="46"/>
    <s v="158.233.246.27"/>
    <s v="Link"/>
    <m/>
    <m/>
    <m/>
    <m/>
    <s v="Zakończono"/>
    <s v="2020-12-16 08:07:04"/>
    <s v="2020-12-16 08:13:59"/>
    <n v="41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2"/>
    <s v="tak"/>
    <s v="Elektronika i Telekomunikacja"/>
    <s v="raczej się zgadzam"/>
    <x v="2"/>
    <s v="zgadzam się"/>
    <s v="zgadzam się"/>
    <s v="nie zgadzam się"/>
    <s v="nie zgadzam się"/>
    <s v=" praca przed ukończeniem studiów"/>
    <s v="powyżej 2000 zł, ale nie więcej niż 3000 zł"/>
    <n v="2500"/>
    <s v="powyżej 3000 zł, ale nie więcej niż 4000 zł"/>
    <n v="3500"/>
    <s v="techniczne podejście do problemów, analiza, umiejętności negocjacji"/>
    <s v="grupa wykładowa"/>
    <s v="bardzo dużo materiału i nauki"/>
    <m/>
    <s v="stacjonarne magisterskie jednolite (5 lat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26–35 lat"/>
    <s v="miasto wojewódzkie"/>
    <m/>
    <s v="studia magisterskie uzupełniające na wydziale WZiE PG"/>
    <m/>
    <m/>
  </r>
  <r>
    <n v="6"/>
    <n v="6"/>
    <n v="46"/>
    <s v="109.241.203.5"/>
    <s v="Link"/>
    <m/>
    <m/>
    <m/>
    <m/>
    <s v="Zakończono"/>
    <s v="2020-05-04 12:41:11"/>
    <s v="2020-05-04 12:56:13"/>
    <n v="90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Bioinformatyka"/>
    <s v="raczej się zgadzam"/>
    <x v="2"/>
    <s v="raczej się zgadzam"/>
    <s v="ani się zgadzam, ani nie zgadzam"/>
    <s v="nie dotyczy"/>
    <s v="nie dotyczy"/>
    <s v="Macierzyństwo na razie, brak pracy zarobkowej"/>
    <s v="nie dotyczy"/>
    <s v="N/D"/>
    <s v="nie dotyczy"/>
    <s v="N/D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26–35 lat"/>
    <s v="miasto wojewódzkie"/>
    <m/>
    <m/>
    <m/>
    <m/>
  </r>
  <r>
    <n v="187"/>
    <n v="106"/>
    <n v="47"/>
    <s v="89.64.113.101"/>
    <s v="Link"/>
    <m/>
    <m/>
    <m/>
    <m/>
    <s v="Zakończono"/>
    <s v="2020-12-18 15:32:24"/>
    <s v="2020-12-18 15:44:05"/>
    <n v="70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Inżynieria Środowska"/>
    <s v="raczej się zgadzam"/>
    <x v="2"/>
    <s v="raczej się zgadzam"/>
    <s v="ani się zgadzam, ani nie zgadzam"/>
    <s v="raczej się zgadzam"/>
    <s v="ani się zgadzam, ani nie zgadzam"/>
    <s v="Praca przed ukończeniem studiów"/>
    <s v="powyżej 2000 zł, ale nie więcej niż 3000 zł"/>
    <n v="2500"/>
    <s v="powyżej 2000 zł, ale nie więcej niż 3000 zł"/>
    <n v="2500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26–35 lat"/>
    <s v="miasto gminne"/>
    <m/>
    <s v="Nie posiadam"/>
    <s v="Nie zdobywam"/>
    <m/>
  </r>
  <r>
    <n v="195"/>
    <n v="111"/>
    <n v="46"/>
    <s v="37.248.209.90"/>
    <s v="Link"/>
    <s v="http://m.facebook.com/"/>
    <m/>
    <m/>
    <m/>
    <s v="Zakończono"/>
    <s v="2020-12-18 16:02:52"/>
    <s v="2020-12-18 16:09:18"/>
    <n v="38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Elektrotechnika"/>
    <s v="raczej się zgadzam"/>
    <x v="2"/>
    <s v="ani się zgadzam, ani nie zgadzam"/>
    <s v="raczej się zgadzam"/>
    <s v="zgadzam się"/>
    <s v="nie zgadzam się"/>
    <s v="Praca przed ukończeniem studiów"/>
    <s v="powyżej 3000 zł, ale nie więcej niż 4000 zł"/>
    <n v="3500"/>
    <s v="powyżej 3000 zł, ale nie więcej niż 4000 zł"/>
    <n v="3500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26–35 lat"/>
    <s v="miasto gminne"/>
    <m/>
    <m/>
    <m/>
    <m/>
  </r>
  <r>
    <n v="212"/>
    <n v="116"/>
    <n v="44"/>
    <s v="5.173.0.252"/>
    <s v="Link"/>
    <m/>
    <m/>
    <m/>
    <m/>
    <s v="Zakończono"/>
    <s v="2020-12-19 11:44:43"/>
    <s v="2020-12-19 11:55:08"/>
    <n v="62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Informatyka"/>
    <s v="raczej się zgadzam"/>
    <x v="2"/>
    <s v="zgadzam się"/>
    <s v="zdecydowanie się zgadzam"/>
    <s v="zdecydowanie się zgadzam"/>
    <s v="zdecydowanie się zgadzam"/>
    <s v="Praca przed ukończeniem studiów"/>
    <s v="powyżej 4000 zł, ale nie więcej niż 5000 zł"/>
    <n v="4500"/>
    <s v="powyżej 5000 zł, ale nie więcej niż 6000 zł"/>
    <n v="5500"/>
    <m/>
    <s v="Poziom nauki, atmosfera znajomych"/>
    <s v="Niektóre zajęcia były nudne/nieadekwatne/nieżyciowe"/>
    <m/>
    <s v="Jednolite 1 i 2 stopnia na raz (mgr inż.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36–45 lat"/>
    <s v="miasto wojewódzkie"/>
    <m/>
    <m/>
    <m/>
    <m/>
  </r>
  <r>
    <n v="231"/>
    <n v="124"/>
    <n v="45"/>
    <s v="205.201.55.77"/>
    <s v="Link"/>
    <s v="http://m.facebook.com/"/>
    <m/>
    <m/>
    <m/>
    <s v="Zakończono"/>
    <s v="2020-12-23 17:52:30"/>
    <s v="2020-12-23 18:02:37"/>
    <n v="60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5"/>
    <s v="nie"/>
    <s v="Matematyka"/>
    <s v="raczej się zgadzam"/>
    <x v="2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n v="3500"/>
    <s v="powyżej 4000 zł, ale nie więcej niż 5000 zł"/>
    <n v="4500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26–35 lat"/>
    <s v="duże miasto powiatowe"/>
    <m/>
    <m/>
    <m/>
    <m/>
  </r>
  <r>
    <n v="115"/>
    <n v="69"/>
    <n v="46"/>
    <s v="5.173.43.199"/>
    <s v="Link"/>
    <m/>
    <m/>
    <m/>
    <m/>
    <s v="Zakończono"/>
    <s v="2020-09-14 10:33:36"/>
    <s v="2020-09-14 10:53:42"/>
    <n v="1206"/>
    <m/>
    <n v="0"/>
    <s v="Tak (kontynuacja ankiety)"/>
    <x v="0"/>
    <x v="0"/>
    <m/>
    <m/>
    <m/>
    <x v="0"/>
    <m/>
    <m/>
    <m/>
    <m/>
    <m/>
    <m/>
    <m/>
    <m/>
    <m/>
    <m/>
    <m/>
    <x v="0"/>
    <x v="18"/>
    <s v="Publiczna"/>
    <s v="Techniczna"/>
    <n v="1"/>
    <n v="2004"/>
    <s v="tak"/>
    <s v="Architektura"/>
    <s v="raczej się zgadzam"/>
    <x v="2"/>
    <s v="raczej się zgadzam"/>
    <s v="zgadzam się"/>
    <s v="ani się zgadzam, ani nie zgadzam"/>
    <s v="zgadzam się"/>
    <s v="praca przed ukończeniem studiów"/>
    <s v="powyżej 2000 zł, ale nie więcej niż 3000 zł"/>
    <n v="2500"/>
    <s v="powyżej 4000 zł, ale nie więcej niż 5000 zł"/>
    <n v="4500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36–45 lat"/>
    <s v="miasto wojewódzkie"/>
    <m/>
    <m/>
    <m/>
    <m/>
  </r>
  <r>
    <n v="45"/>
    <n v="28"/>
    <n v="48"/>
    <s v="109.207.109.47"/>
    <s v="Link"/>
    <s v="https://www.facebook.com/"/>
    <m/>
    <m/>
    <m/>
    <s v="Zakończono"/>
    <s v="2020-05-16 17:47:17"/>
    <s v="2020-05-16 18:01:13"/>
    <n v="836"/>
    <m/>
    <n v="0"/>
    <s v="Tak (kontynuacja ankiety)"/>
    <x v="0"/>
    <x v="0"/>
    <m/>
    <m/>
    <m/>
    <x v="0"/>
    <m/>
    <m/>
    <m/>
    <m/>
    <m/>
    <m/>
    <m/>
    <m/>
    <m/>
    <m/>
    <m/>
    <x v="0"/>
    <x v="19"/>
    <s v="Publiczna"/>
    <s v="Nietechniczna"/>
    <n v="1"/>
    <n v="2019"/>
    <s v="nie"/>
    <s v="Ekonomia"/>
    <s v="raczej się zgadzam"/>
    <x v="2"/>
    <s v="raczej się zgadzam"/>
    <s v="nie zgadzam się"/>
    <s v="ani się zgadzam, ani nie zgadzam"/>
    <s v="raczej się zgadzam"/>
    <s v="praca przed ukończeniem studiów"/>
    <s v="nie dotyczy"/>
    <s v="N/D"/>
    <s v="nie dotyczy"/>
    <s v="N/D"/>
    <s v="większa wiedza ekonomiczna"/>
    <s v="ciekawe zajęcia, oparte na życiowych przykładach"/>
    <s v="wykłady dyktowane z kartki lub przentacj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26–35 lat"/>
    <s v="wieś"/>
    <m/>
    <s v="Tytuł Licencjata na Uniwersytecie Śląskim"/>
    <s v="Brak"/>
    <m/>
  </r>
  <r>
    <n v="153"/>
    <n v="88"/>
    <n v="47"/>
    <s v="158.233.246.26"/>
    <s v="Link"/>
    <m/>
    <m/>
    <m/>
    <m/>
    <s v="Zakończono"/>
    <s v="2020-12-15 23:07:53"/>
    <s v="2020-12-15 23:13:45"/>
    <n v="35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0"/>
    <s v="nie"/>
    <s v="Prawo"/>
    <s v="raczej się zgadzam"/>
    <x v="2"/>
    <s v="raczej się zgadzam"/>
    <s v="zgadzam się"/>
    <s v="zdecydowanie się nie zgadzam"/>
    <s v="raczej się nie zgadzam"/>
    <n v="5"/>
    <s v="powyżej 2000 zł, ale nie więcej niż 3000 zł"/>
    <n v="2500"/>
    <s v="powyżej 2000 zł, ale nie więcej niż 3000 zł"/>
    <n v="2500"/>
    <s v="łatwość w poruszaniu się po zagadnieniach prawnych"/>
    <s v="ciekawe zajęcia, praktyki, atmosfera"/>
    <s v="kumoterstwo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36–45 lat"/>
    <s v="nieduże miasto powiatowe"/>
    <m/>
    <s v="brak"/>
    <s v="Brak"/>
    <m/>
  </r>
  <r>
    <n v="235"/>
    <n v="127"/>
    <n v="47"/>
    <s v="178.235.180.207"/>
    <s v="Link"/>
    <s v="http://m.facebook.com/"/>
    <m/>
    <m/>
    <m/>
    <s v="Zakończono"/>
    <s v="2020-12-23 23:08:34"/>
    <s v="2020-12-23 23:19:24"/>
    <n v="65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9"/>
    <s v="nie"/>
    <s v="Chemia"/>
    <s v="raczej się zgadzam"/>
    <x v="2"/>
    <s v="ani się zgadzam, ani nie zgadzam"/>
    <s v="nie zgadzam się"/>
    <s v="nie zgadzam się"/>
    <s v="raczej się nie zgadzam"/>
    <n v="9"/>
    <s v="powyżej 1000 zł, ale nie więcej niż 2000 zł"/>
    <n v="1500"/>
    <s v="powyżej 3000 zł, ale nie więcej niż 4000 zł"/>
    <n v="3500"/>
    <s v="Żadnych ; nie pracuje w zawodzie"/>
    <s v="Sam fakt studiowania, poznawania"/>
    <s v="Trudności w dogadaniu się z promotorami"/>
    <m/>
    <s v="5 letnie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26–35 lat"/>
    <s v="miasto wojewódzkie"/>
    <m/>
    <s v="Brak"/>
    <s v="Beak"/>
    <m/>
  </r>
  <r>
    <n v="227"/>
    <n v="123"/>
    <n v="47"/>
    <s v="89.64.114.63"/>
    <s v="Link"/>
    <m/>
    <m/>
    <m/>
    <m/>
    <s v="Zakończono"/>
    <s v="2020-12-22 16:37:12"/>
    <s v="2020-12-22 16:50:22"/>
    <n v="79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8"/>
    <s v="nie"/>
    <s v="Filologia polska"/>
    <s v="raczej się zgadzam"/>
    <x v="2"/>
    <s v="raczej się zgadzam"/>
    <s v="zgadzam się"/>
    <s v="zdecydowanie się zgadzam"/>
    <s v="nie dotyczy"/>
    <s v="8 miesięcy "/>
    <s v="powyżej 2000 zł, ale nie więcej niż 3000 zł"/>
    <n v="2500"/>
    <s v="nie dotyczy"/>
    <s v="N/D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26–35 lat"/>
    <s v="miasto wojewódzkie"/>
    <s v="Gdansk"/>
    <s v="Podyplomowe studia z zakresu kadr i płac"/>
    <m/>
    <m/>
  </r>
  <r>
    <n v="189"/>
    <n v="108"/>
    <n v="48"/>
    <s v="158.233.246.26"/>
    <s v="Link"/>
    <m/>
    <m/>
    <m/>
    <m/>
    <s v="Zakończono"/>
    <s v="2020-12-18 15:41:41"/>
    <s v="2020-12-18 17:03:27"/>
    <n v="490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9"/>
    <s v="nie"/>
    <s v="Ekonomia"/>
    <s v="raczej się zgadzam"/>
    <x v="2"/>
    <s v="raczej się zgadzam"/>
    <s v="raczej się zgadzam"/>
    <s v="raczej się zgadzam"/>
    <s v="raczej się zgadzam"/>
    <s v="praca przed rozpoczeciem pracy"/>
    <s v="powyżej 2000 zł, ale nie więcej niż 3000 zł"/>
    <n v="2500"/>
    <s v="powyżej 3000 zł, ale nie więcej niż 4000 zł"/>
    <n v="3500"/>
    <m/>
    <s v="dostęp do wiedzy i otwartosc profesorów"/>
    <s v="tryb zaoczny"/>
    <m/>
    <s v="niestacjonarne(zaoczne) studia jednolite 5 letnie (magistersk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36–45 lat"/>
    <s v="miasto gminne"/>
    <m/>
    <s v="nd"/>
    <s v="Nd"/>
    <m/>
  </r>
  <r>
    <n v="37"/>
    <n v="25"/>
    <n v="51"/>
    <s v="83.26.246.110"/>
    <s v="Link"/>
    <s v="https://www.facebook.com/"/>
    <m/>
    <m/>
    <m/>
    <s v="Zakończono"/>
    <s v="2020-05-16 17:08:00"/>
    <s v="2020-05-16 17:14:34"/>
    <n v="394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polonistyka - krytyka literacka"/>
    <s v="raczej się zgadzam"/>
    <x v="2"/>
    <s v="raczej się zgadzam"/>
    <s v="raczej się zgadzam"/>
    <s v="zgadzam się"/>
    <s v="nie dotyczy"/>
    <n v="0"/>
    <s v="powyżej 3000 zł, ale nie więcej niż 4000 zł"/>
    <n v="3500"/>
    <s v="nie dotyczy"/>
    <s v="N/D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26–35 lat"/>
    <s v="miasto gminne"/>
    <m/>
    <s v="licencjat z polonistyki i absolutorium z komunikacji wizerunkowej na Uniwersytecie Wrocławskim"/>
    <s v="studia w Szkole Doktorskiej Nauk Humanistycznych Uniwersytetu Jagiellońskiego"/>
    <m/>
  </r>
  <r>
    <n v="34"/>
    <n v="24"/>
    <n v="50"/>
    <s v="37.47.81.77"/>
    <s v="Link"/>
    <s v="http://m.facebook.com/"/>
    <m/>
    <m/>
    <m/>
    <s v="Zakończono"/>
    <s v="2020-05-16 16:50:46"/>
    <s v="2020-05-16 17:02:35"/>
    <n v="709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Polonistyka spec. nauczycielska"/>
    <s v="raczej się zgadzam"/>
    <x v="2"/>
    <s v="raczej się zgadzam"/>
    <s v="ani się zgadzam, ani nie zgadzam"/>
    <s v="zdecydowanie się nie zgadzam"/>
    <s v="ani się zgadzam, ani nie zgadzam"/>
    <n v="2"/>
    <s v="powyżej 1000 zł, ale nie więcej niż 2000 zł"/>
    <n v="1500"/>
    <s v="powyżej 3000 zł, ale nie więcej niż 4000 zł"/>
    <n v="3500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26–35 lat"/>
    <s v="wieś"/>
    <m/>
    <s v="Wyłącznie ukończony kurs przewodnicki (oprowadzanie grup po Zamku Królewskim na Wawelu)"/>
    <s v="Żadne "/>
    <m/>
  </r>
  <r>
    <n v="61"/>
    <n v="36"/>
    <n v="49"/>
    <s v="188.146.226.232"/>
    <s v="Link"/>
    <s v="http://m.facebook.com/"/>
    <m/>
    <m/>
    <m/>
    <s v="Zakończono"/>
    <s v="2020-05-16 21:47:06"/>
    <s v="2020-05-16 21:54:49"/>
    <n v="463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Polonistyka"/>
    <s v="raczej się zgadzam"/>
    <x v="2"/>
    <s v="raczej się zgadzam"/>
    <s v="zdecydowanie się nie zgadzam"/>
    <s v="zdecydowanie się nie zgadzam"/>
    <s v="zdecydowanie się nie zgadzam"/>
    <n v="4"/>
    <s v="do 1000 zł"/>
    <n v="500"/>
    <s v="powyżej 1000 zł, ale nie więcej niż 2000 zł"/>
    <n v="1500"/>
    <s v="Zadne"/>
    <s v="Ciekawe informacje kulturowe"/>
    <s v="USOS!!!! CALA INSTYTUCJ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26–35 lat"/>
    <s v="wieś"/>
    <m/>
    <m/>
    <m/>
    <m/>
  </r>
  <r>
    <n v="80"/>
    <n v="45"/>
    <n v="49"/>
    <s v="83.23.251.31"/>
    <s v="Link"/>
    <s v="https://ankietaplus.pl/ankiety/analiza/statystyki/13308"/>
    <m/>
    <m/>
    <m/>
    <s v="Zakończono"/>
    <s v="2020-05-30 13:57:12"/>
    <s v="2020-05-30 14:25:03"/>
    <n v="1671"/>
    <m/>
    <n v="0"/>
    <s v="Tak (kontynuacja ankiety)"/>
    <x v="0"/>
    <x v="0"/>
    <m/>
    <m/>
    <m/>
    <x v="0"/>
    <m/>
    <m/>
    <m/>
    <m/>
    <m/>
    <m/>
    <m/>
    <m/>
    <m/>
    <m/>
    <m/>
    <x v="0"/>
    <x v="20"/>
    <s v="Publiczna"/>
    <s v="Nietechniczna"/>
    <n v="1"/>
    <n v="1956"/>
    <s v="nie"/>
    <s v="Polonistyka"/>
    <s v="raczej się zgadzam"/>
    <x v="2"/>
    <s v="raczej się zgadzam"/>
    <s v="zgadzam się"/>
    <s v="nie zgadzam się"/>
    <s v="nie zgadzam się"/>
    <s v="0 (nakaz pracy)"/>
    <s v="powyżej 1000 zł, ale nie więcej niż 2000 zł"/>
    <n v="1500"/>
    <s v="powyżej 1000 zł, ale nie więcej niż 2000 zł"/>
    <n v="1500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powyżej 65 lat"/>
    <s v="miasto gminne"/>
    <m/>
    <m/>
    <m/>
    <m/>
  </r>
  <r>
    <n v="205"/>
    <n v="114"/>
    <n v="47"/>
    <s v="178.235.177.180"/>
    <s v="Link"/>
    <m/>
    <m/>
    <m/>
    <m/>
    <s v="Zakończono"/>
    <s v="2020-12-18 19:02:15"/>
    <s v="2020-12-18 19:12:03"/>
    <n v="588"/>
    <m/>
    <n v="0"/>
    <s v="Tak (kontynuacja ankiety)"/>
    <x v="0"/>
    <x v="0"/>
    <m/>
    <m/>
    <m/>
    <x v="0"/>
    <m/>
    <m/>
    <m/>
    <m/>
    <m/>
    <m/>
    <m/>
    <m/>
    <m/>
    <m/>
    <m/>
    <x v="0"/>
    <x v="21"/>
    <s v="Publiczna"/>
    <s v="Nietechniczna"/>
    <n v="1"/>
    <n v="2012"/>
    <s v="nie"/>
    <s v="położnictwo"/>
    <s v="raczej się zgadzam"/>
    <x v="2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n v="1500"/>
    <s v="powyżej 1000 zł, ale nie więcej niż 2000 zł"/>
    <n v="1500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26–35 lat"/>
    <s v="nieduże miasto powiatowe"/>
    <m/>
    <s v="specjalizacja "/>
    <s v="-"/>
    <m/>
  </r>
  <r>
    <n v="67"/>
    <n v="38"/>
    <n v="49"/>
    <s v="193.34.52.198"/>
    <s v="Link"/>
    <s v="http://m.facebook.com/"/>
    <m/>
    <m/>
    <m/>
    <s v="Zakończono"/>
    <s v="2020-05-17 11:33:19"/>
    <s v="2020-05-17 12:05:09"/>
    <n v="1910"/>
    <m/>
    <n v="0"/>
    <s v="Tak (kontynuacja ankiety)"/>
    <x v="0"/>
    <x v="0"/>
    <m/>
    <m/>
    <m/>
    <x v="0"/>
    <m/>
    <m/>
    <m/>
    <m/>
    <m/>
    <m/>
    <m/>
    <m/>
    <m/>
    <m/>
    <m/>
    <x v="0"/>
    <x v="22"/>
    <s v="Publiczna"/>
    <s v="Nietechniczna"/>
    <n v="1"/>
    <n v="2020"/>
    <s v="nie"/>
    <s v="Geologia"/>
    <s v="raczej się zgadzam"/>
    <x v="2"/>
    <s v="raczej się zgadzam"/>
    <s v="nie zgadzam się"/>
    <s v="nie zgadzam się"/>
    <s v="nie dotyczy"/>
    <s v="Praca przed ukończeniem studiów ale nie w zawodzie"/>
    <s v="powyżej 1000 zł, ale nie więcej niż 2000 zł"/>
    <n v="1500"/>
    <s v="nie dotyczy"/>
    <s v="N/D"/>
    <s v="Żadnych. Nie pracuję w zawodzie. "/>
    <s v="Dobra organizacja zajęć, sposób przekazywania wiedzy"/>
    <s v="Nudne schematy prowadzenia zajęć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26–35 lat"/>
    <s v="miasto gminne"/>
    <m/>
    <m/>
    <m/>
    <m/>
  </r>
  <r>
    <n v="214"/>
    <n v="117"/>
    <n v="47"/>
    <s v="89.64.109.1"/>
    <s v="Link"/>
    <m/>
    <m/>
    <m/>
    <m/>
    <s v="Zakończono"/>
    <s v="2020-12-19 20:58:33"/>
    <s v="2020-12-19 21:04:09"/>
    <n v="33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2"/>
    <s v="tak"/>
    <s v="WZiE"/>
    <s v="zdecydowanie się nie zgadzam"/>
    <x v="8"/>
    <s v="zdecydowanie się nie zgadzam"/>
    <s v="zdecydowanie się nie zgadzam"/>
    <s v="zdecydowanie się nie zgadzam"/>
    <s v="zdecydowanie się nie zgadzam"/>
    <s v="1 m-c"/>
    <s v="powyżej 2000 zł, ale nie więcej niż 3000 zł"/>
    <n v="2500"/>
    <s v="powyżej 4000 zł, ale nie więcej niż 5000 zł"/>
    <n v="4500"/>
    <m/>
    <s v="dobra organizacja zajęć, dobra kadra, praktyczna wiedza"/>
    <s v="brak"/>
    <s v="stacjonarne (dzienne) studia 2 stopnia (magisterskie)"/>
    <s v="studia dzienne 5 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36–45 lat"/>
    <s v="miasto wojewódzkie"/>
    <m/>
    <s v="brak"/>
    <s v="Brak"/>
    <m/>
  </r>
  <r>
    <n v="99"/>
    <n v="61"/>
    <n v="45"/>
    <s v="31.60.142.203"/>
    <s v="Link"/>
    <s v="https://ankietaplus.pl/ankiety/analiza/statystyki/13308"/>
    <m/>
    <m/>
    <m/>
    <s v="Zakończono"/>
    <s v="2020-08-12 21:38:37"/>
    <s v="2020-08-12 22:01:05"/>
    <n v="1348"/>
    <m/>
    <n v="0"/>
    <s v="Tak (kontynuacja ankiety)"/>
    <x v="0"/>
    <x v="0"/>
    <m/>
    <m/>
    <m/>
    <x v="0"/>
    <m/>
    <m/>
    <m/>
    <m/>
    <m/>
    <m/>
    <m/>
    <m/>
    <m/>
    <m/>
    <m/>
    <x v="0"/>
    <x v="23"/>
    <s v="Niepubliczna"/>
    <s v="Nietechniczna"/>
    <n v="1"/>
    <n v="2015"/>
    <s v="nie"/>
    <s v="Pedagogika"/>
    <s v="zdecydowanie się zgadzam"/>
    <x v="1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n v="1500"/>
    <s v="powyżej 2000 zł, ale nie więcej niż 3000 zł"/>
    <n v="2500"/>
    <m/>
    <s v="dobra atmosfera; otwartość nauczycieli do studentów; szacunek do studentów; "/>
    <s v="więcej teorii niż praktyk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26–35 lat"/>
    <s v="miasto gminne"/>
    <m/>
    <m/>
    <m/>
    <m/>
  </r>
  <r>
    <n v="100"/>
    <n v="62"/>
    <n v="51"/>
    <s v="31.60.142.203"/>
    <s v="Link"/>
    <s v="https://ankietaplus.pl/s/jakoscuczelni1e"/>
    <m/>
    <m/>
    <m/>
    <s v="Zakończono"/>
    <s v="2020-08-12 22:01:09"/>
    <s v="2020-08-12 22:18:15"/>
    <n v="1026"/>
    <m/>
    <n v="0"/>
    <s v="Tak (kontynuacja ankiety)"/>
    <x v="0"/>
    <x v="0"/>
    <m/>
    <m/>
    <m/>
    <x v="0"/>
    <m/>
    <m/>
    <m/>
    <m/>
    <m/>
    <m/>
    <m/>
    <m/>
    <m/>
    <m/>
    <m/>
    <x v="0"/>
    <x v="24"/>
    <s v="Publiczna"/>
    <s v="Nietechniczna"/>
    <n v="1"/>
    <n v="2010"/>
    <s v="nie"/>
    <s v="Fizjoterapia"/>
    <s v="zdecydowanie się zgadzam"/>
    <x v="1"/>
    <s v="zdecydowanie się zgadzam"/>
    <s v="zgadzam się"/>
    <s v="nie zgadzam się"/>
    <s v="raczej się nie zgadzam"/>
    <s v="praca przed zakończeniem studiów"/>
    <s v="do 1000 zł"/>
    <n v="500"/>
    <s v="powyżej 1000 zł, ale nie więcej niż 2000 zł"/>
    <n v="1500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26–35 lat"/>
    <s v="wieś"/>
    <m/>
    <s v="brak"/>
    <s v="Brak"/>
    <m/>
  </r>
  <r>
    <n v="7"/>
    <n v="7"/>
    <n v="51"/>
    <s v="81.190.102.150"/>
    <s v="Link"/>
    <s v="https://poczta.wp.pl/k/"/>
    <m/>
    <m/>
    <m/>
    <s v="Zakończono"/>
    <s v="2020-05-04 13:51:42"/>
    <s v="2020-05-04 13:58:44"/>
    <n v="42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Matematyka Stosowana"/>
    <s v="zdecydowanie się zgadzam"/>
    <x v="1"/>
    <s v="zgadzam się"/>
    <s v="zdecydowanie się zgadzam"/>
    <s v="zdecydowanie się zgadzam"/>
    <s v="zdecydowanie się zgadzam"/>
    <n v="4"/>
    <s v="powyżej 3000 zł, ale nie więcej niż 4000 zł"/>
    <n v="3500"/>
    <s v="powyżej 3000 zł, ale nie więcej niż 4000 zł"/>
    <n v="3500"/>
    <s v="Analityczne podejście, szybkie przyswajanie nowych zagadnień."/>
    <s v="Kadra, współstudiujący, ciekawe zagadnienia"/>
    <s v="Stres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."/>
    <s v="."/>
    <s v="."/>
    <x v="0"/>
    <n v="1988"/>
    <s v="26–35 lat"/>
    <s v="miasto gminne"/>
    <m/>
    <s v="Nie dotyczy"/>
    <s v="Nie dotyczy"/>
    <m/>
  </r>
  <r>
    <n v="198"/>
    <n v="113"/>
    <n v="45"/>
    <s v="87.206.5.55"/>
    <s v="Link"/>
    <m/>
    <m/>
    <m/>
    <m/>
    <s v="Zakończono"/>
    <s v="2020-12-18 16:32:02"/>
    <s v="2020-12-18 16:39:27"/>
    <n v="44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4"/>
    <s v="tak"/>
    <s v="Informatyka"/>
    <s v="zdecydowanie się zgadzam"/>
    <x v="1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n v="4500"/>
    <s v="powyżej 6000 zł, ale nie więcej niż 7000 zł"/>
    <n v="6500"/>
    <s v="poszerzenie wiedzy"/>
    <s v="dostęp do nowych technologii"/>
    <s v="niektóre przedmioty nie związane z wybrany kierunkiem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36–45 lat"/>
    <s v="duże miasto powiatowe"/>
    <m/>
    <m/>
    <m/>
    <m/>
  </r>
  <r>
    <n v="13"/>
    <n v="12"/>
    <n v="49"/>
    <s v="109.207.157.128"/>
    <s v="Link"/>
    <m/>
    <m/>
    <m/>
    <m/>
    <s v="Zakończono"/>
    <s v="2020-05-09 12:30:41"/>
    <s v="2020-05-25 13:50:14"/>
    <n v="138717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"/>
    <s v="zdecydowanie się zgadzam"/>
    <x v="1"/>
    <s v="zdecydowanie się zgadzam"/>
    <s v="zgadzam się"/>
    <s v="raczej się zgadzam"/>
    <s v="zdecydowanie się zgadzam"/>
    <s v="Pracowałem już w czasie studiów"/>
    <s v="powyżej 2000 zł, ale nie więcej niż 3000 zł"/>
    <n v="2500"/>
    <s v="powyżej 4000 zł, ale nie więcej niż 5000 zł"/>
    <n v="4500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26–35 lat"/>
    <s v="nieduże miasto powiatowe"/>
    <m/>
    <s v="socjologia licencjat + III stopień"/>
    <s v="w trakcie pisania doktoratu"/>
    <m/>
  </r>
  <r>
    <n v="159"/>
    <n v="92"/>
    <n v="47"/>
    <s v="158.233.246.4"/>
    <s v="Link"/>
    <m/>
    <m/>
    <m/>
    <m/>
    <s v="Zakończono"/>
    <s v="2020-12-16 09:13:59"/>
    <s v="2020-12-16 09:30:46"/>
    <n v="1007"/>
    <m/>
    <n v="0"/>
    <s v="Tak (kontynuacja ankiety)"/>
    <x v="0"/>
    <x v="0"/>
    <m/>
    <m/>
    <m/>
    <x v="0"/>
    <m/>
    <m/>
    <m/>
    <m/>
    <m/>
    <m/>
    <m/>
    <m/>
    <m/>
    <m/>
    <m/>
    <x v="0"/>
    <x v="25"/>
    <s v="Publiczna"/>
    <s v="Techniczna"/>
    <n v="1"/>
    <n v="2006"/>
    <s v="nie"/>
    <s v="Matematyka Stosowana"/>
    <s v="zdecydowanie się zgadzam"/>
    <x v="1"/>
    <s v="zdecydowanie się zgadzam"/>
    <s v="zdecydowanie się zgadzam"/>
    <s v="zgadzam się"/>
    <s v="zdecydowanie się zgadzam"/>
    <s v="4 miesiące"/>
    <s v="powyżej 1000 zł, ale nie więcej niż 2000 zł"/>
    <n v="1500"/>
    <s v="powyżej 3000 zł, ale nie więcej niż 4000 zł"/>
    <n v="3500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36–45 lat"/>
    <s v="miasto wojewódzkie"/>
    <m/>
    <s v="kurs trenerski"/>
    <s v="Nie dotyczy"/>
    <m/>
  </r>
  <r>
    <n v="169"/>
    <n v="97"/>
    <n v="47"/>
    <s v="158.233.246.26"/>
    <s v="Link"/>
    <m/>
    <m/>
    <m/>
    <m/>
    <s v="Zakończono"/>
    <s v="2020-12-18 11:24:25"/>
    <s v="2020-12-18 11:32:40"/>
    <n v="495"/>
    <m/>
    <n v="0"/>
    <s v="Tak (kontynuacja ankiety)"/>
    <x v="0"/>
    <x v="0"/>
    <m/>
    <m/>
    <m/>
    <x v="0"/>
    <m/>
    <m/>
    <m/>
    <m/>
    <m/>
    <m/>
    <m/>
    <m/>
    <m/>
    <m/>
    <m/>
    <x v="0"/>
    <x v="26"/>
    <s v="Publiczna"/>
    <s v="Nietechniczna"/>
    <n v="1"/>
    <m/>
    <s v="nie"/>
    <s v="Międzynarodowe Stosunki Gospodarcze i Polityczne"/>
    <s v="zdecydowanie się zgadzam"/>
    <x v="1"/>
    <s v="zdecydowanie się zgadzam"/>
    <s v="ani się zgadzam, ani nie zgadzam"/>
    <s v="raczej się zgadzam"/>
    <s v="raczej się zgadzam"/>
    <s v="w trakcie ostatniego roku studiów"/>
    <s v="nie dotyczy"/>
    <s v="N/D"/>
    <s v="nie dotyczy"/>
    <s v="N/D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e v="#N/A"/>
    <s v="duże miasto powiatowe"/>
    <m/>
    <s v="studia podyplomowe z rachunkowości"/>
    <s v="NA"/>
    <s v="NA"/>
  </r>
  <r>
    <n v="63"/>
    <n v="37"/>
    <n v="51"/>
    <s v="188.147.40.154"/>
    <s v="Link"/>
    <s v="http://m.facebook.com/"/>
    <m/>
    <m/>
    <m/>
    <s v="Zakończono"/>
    <s v="2020-05-16 23:43:34"/>
    <s v="2020-05-16 23:56:24"/>
    <n v="770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7"/>
    <s v="nie"/>
    <s v="Polonistyka"/>
    <s v="zdecydowanie się zgadzam"/>
    <x v="1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n v="1500"/>
    <s v="powyżej 3000 zł, ale nie więcej niż 4000 zł"/>
    <n v="3500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26–35 lat"/>
    <s v="nieduże miasto powiatowe"/>
    <m/>
    <s v="Brak"/>
    <s v="Brak"/>
    <m/>
  </r>
  <r>
    <n v="84"/>
    <n v="49"/>
    <n v="63"/>
    <s v="5.173.165.128"/>
    <s v="Link"/>
    <m/>
    <m/>
    <m/>
    <m/>
    <s v="Zakończono"/>
    <s v="2020-06-06 23:24:32"/>
    <s v="2020-06-06 23:47:01"/>
    <n v="1349"/>
    <m/>
    <n v="0"/>
    <s v="Tak (kontynuacja ankiety)"/>
    <x v="1"/>
    <x v="3"/>
    <s v="nie"/>
    <s v="Rolnictwo dla absolwentów kierunków nierolniczych "/>
    <s v="raczej się zgadzam"/>
    <x v="2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x v="27"/>
    <s v="Publiczna"/>
    <s v="Nietechniczna"/>
    <n v="1"/>
    <n v="2019"/>
    <s v="nie"/>
    <s v="finanse i rachunkowość "/>
    <s v="zgadzam się"/>
    <x v="0"/>
    <s v="zgadzam się"/>
    <s v="zdecydowanie się zgadzam"/>
    <s v="ani się zgadzam, ani nie zgadzam"/>
    <s v="zgadzam się"/>
    <s v="praca przed zakończeniem studiów "/>
    <s v="powyżej 2000 zł, ale nie więcej niż 3000 zł"/>
    <n v="2500"/>
    <s v="powyżej 5000 zł, ale nie więcej niż 6000 zł"/>
    <n v="5500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26–35 lat"/>
    <s v="miasto gminne"/>
    <s v="Czersk"/>
    <s v="licencjat - studia pedagogiczne "/>
    <s v="Brak"/>
    <m/>
  </r>
  <r>
    <n v="178"/>
    <n v="100"/>
    <n v="45"/>
    <s v="158.233.246.28"/>
    <s v="Link"/>
    <m/>
    <m/>
    <m/>
    <m/>
    <s v="Zakończono"/>
    <s v="2020-12-18 12:11:26"/>
    <s v="2020-12-18 12:36:11"/>
    <n v="1485"/>
    <m/>
    <n v="0"/>
    <s v="Tak (kontynuacja ankiety)"/>
    <x v="0"/>
    <x v="0"/>
    <m/>
    <m/>
    <m/>
    <x v="0"/>
    <m/>
    <m/>
    <m/>
    <m/>
    <m/>
    <m/>
    <m/>
    <m/>
    <m/>
    <m/>
    <m/>
    <x v="0"/>
    <x v="28"/>
    <s v="Publiczna"/>
    <s v="Techniczna"/>
    <n v="1"/>
    <n v="2016"/>
    <s v="nie"/>
    <s v="Innowacyjna gospodark"/>
    <s v="zgadzam się"/>
    <x v="0"/>
    <s v="ani się zgadzam, ani nie zgadzam"/>
    <s v="raczej się zgadzam"/>
    <s v="zgadzam się"/>
    <s v="zdecydowanie się zgadzam"/>
    <n v="4"/>
    <s v="powyżej 2000 zł, ale nie więcej niż 3000 zł"/>
    <n v="2500"/>
    <s v="powyżej 3000 zł, ale nie więcej niż 4000 zł"/>
    <n v="3500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26–35 lat"/>
    <s v="duże miasto powiatowe"/>
    <m/>
    <m/>
    <m/>
    <m/>
  </r>
  <r>
    <n v="191"/>
    <n v="109"/>
    <n v="46"/>
    <s v="188.147.98.66"/>
    <s v="Link"/>
    <m/>
    <m/>
    <m/>
    <m/>
    <s v="Zakończono"/>
    <s v="2020-12-18 15:46:04"/>
    <s v="2020-12-18 16:17:35"/>
    <n v="1891"/>
    <m/>
    <n v="0"/>
    <s v="Tak (kontynuacja ankiety)"/>
    <x v="0"/>
    <x v="0"/>
    <m/>
    <m/>
    <m/>
    <x v="0"/>
    <m/>
    <m/>
    <m/>
    <m/>
    <m/>
    <m/>
    <m/>
    <m/>
    <m/>
    <m/>
    <m/>
    <x v="0"/>
    <x v="28"/>
    <s v="Publiczna"/>
    <s v="Techniczna"/>
    <n v="1"/>
    <n v="2000"/>
    <s v="nie"/>
    <s v="organizacja obrotu portowo-morskiego"/>
    <s v="zgadzam się"/>
    <x v="0"/>
    <s v="zgadzam się"/>
    <s v="zgadzam się"/>
    <s v="nie zgadzam się"/>
    <s v="raczej się zgadzam"/>
    <s v="3 lata"/>
    <s v="nie dotyczy"/>
    <s v="N/D"/>
    <s v="powyżej 2000 zł, ale nie więcej niż 3000 zł"/>
    <n v="2500"/>
    <s v="poznałem żonę"/>
    <s v="pozanaukowe atrakcje"/>
    <s v="niektórzy wykładowcy nie przykładali się do zajęć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1948"/>
    <s v="powyżej 65 lat"/>
    <s v="wieś gminna"/>
    <m/>
    <m/>
    <s v="Kolegium Teologiczne"/>
    <m/>
  </r>
  <r>
    <n v="129"/>
    <n v="78"/>
    <n v="45"/>
    <s v="37.47.221.207"/>
    <s v="Link"/>
    <s v="android-app://com.google.android.gm/"/>
    <m/>
    <m/>
    <m/>
    <s v="Zakończono"/>
    <s v="2020-11-04 19:26:33"/>
    <s v="2020-11-04 19:40:01"/>
    <n v="808"/>
    <m/>
    <n v="0"/>
    <s v="Tak (kontynuacja ankiety)"/>
    <x v="0"/>
    <x v="0"/>
    <m/>
    <m/>
    <m/>
    <x v="0"/>
    <m/>
    <m/>
    <m/>
    <m/>
    <m/>
    <m/>
    <m/>
    <m/>
    <m/>
    <m/>
    <m/>
    <x v="0"/>
    <x v="17"/>
    <s v="Publiczna"/>
    <s v="Nietechniczna"/>
    <n v="1"/>
    <n v="1998"/>
    <s v="nie"/>
    <s v="Wydział Lekarski"/>
    <s v="zgadzam się"/>
    <x v="0"/>
    <s v="zgadzam się"/>
    <s v="ani się zgadzam, ani nie zgadzam"/>
    <s v="zdecydowanie się nie zgadzam"/>
    <s v="raczej się nie zgadzam"/>
    <s v="Praca juz na ostatnim roku studiów "/>
    <s v="powyżej 1000 zł, ale nie więcej niż 2000 zł"/>
    <n v="1500"/>
    <s v="powyżej 1000 zł, ale nie więcej niż 2000 zł"/>
    <n v="1500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46–55 lat"/>
    <s v="miasto wojewódzkie"/>
    <m/>
    <m/>
    <m/>
    <m/>
  </r>
  <r>
    <n v="10"/>
    <n v="9"/>
    <n v="47"/>
    <s v="87.207.83.121"/>
    <s v="Link"/>
    <m/>
    <m/>
    <m/>
    <m/>
    <s v="Zakończono"/>
    <s v="2020-05-04 23:40:32"/>
    <s v="2020-05-05 00:51:31"/>
    <n v="425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matematyka"/>
    <s v="zgadzam się"/>
    <x v="0"/>
    <s v="zgadzam się"/>
    <s v="zdecydowanie się zgadzam"/>
    <s v="ani się zgadzam, ani nie zgadzam"/>
    <s v="raczej się zgadzam"/>
    <n v="1"/>
    <s v="powyżej 1000 zł, ale nie więcej niż 2000 zł"/>
    <n v="1500"/>
    <s v="powyżej 3000 zł, ale nie więcej niż 4000 zł"/>
    <n v="3500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26–35 lat"/>
    <s v="miasto wojewódzkie"/>
    <m/>
    <m/>
    <m/>
    <m/>
  </r>
  <r>
    <n v="141"/>
    <n v="85"/>
    <n v="48"/>
    <s v="31.11.238.245"/>
    <s v="Link"/>
    <m/>
    <m/>
    <m/>
    <m/>
    <s v="Zakończono"/>
    <s v="2020-12-15 07:39:28"/>
    <s v="2020-12-15 07:52:15"/>
    <n v="76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Technologie Podwodne"/>
    <s v="zgadzam się"/>
    <x v="0"/>
    <s v="zgadzam się"/>
    <s v="raczej się nie zgadzam"/>
    <s v="nie zgadzam się"/>
    <s v="raczej się nie zgadzam"/>
    <n v="1"/>
    <s v="powyżej 2000 zł, ale nie więcej niż 3000 zł"/>
    <n v="2500"/>
    <s v="powyżej 4000 zł, ale nie więcej niż 5000 zł"/>
    <n v="4500"/>
    <s v="wiedza"/>
    <s v="warunki mieszkaniowe , ścisły umysł"/>
    <s v="nie dostrzegam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26–35 lat"/>
    <s v="miasto gminne"/>
    <m/>
    <s v="inżynier Maszyn , Siłowni i Urządzeń Okrętowych"/>
    <s v="-"/>
    <m/>
  </r>
  <r>
    <n v="3"/>
    <n v="3"/>
    <n v="47"/>
    <s v="89.73.146.237"/>
    <s v="Link"/>
    <m/>
    <m/>
    <m/>
    <m/>
    <s v="Zakończono"/>
    <s v="2020-05-03 22:53:23"/>
    <s v="2020-05-03 23:07:36"/>
    <n v="85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7"/>
    <s v="tak"/>
    <s v="Informatyka"/>
    <s v="zgadzam się"/>
    <x v="0"/>
    <s v="zgadzam się"/>
    <s v="raczej się zgadzam"/>
    <s v="zdecydowanie się zgadzam"/>
    <s v="zdecydowanie się zgadzam"/>
    <s v="Na trzecim roku inz"/>
    <s v="powyżej 10.000 zł"/>
    <n v="10500"/>
    <s v="powyżej 10.000 zł"/>
    <n v="10500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26–35 lat"/>
    <s v="miasto wojewódzkie"/>
    <m/>
    <s v="Muzyczne podstawowe"/>
    <m/>
    <m/>
  </r>
  <r>
    <n v="184"/>
    <n v="105"/>
    <n v="47"/>
    <s v="37.47.212.241"/>
    <s v="Link"/>
    <m/>
    <m/>
    <m/>
    <m/>
    <s v="Zakończono"/>
    <s v="2020-12-18 15:25:33"/>
    <s v="2020-12-18 15:44:12"/>
    <n v="111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97"/>
    <s v="tak"/>
    <s v="Automatyka i Robotyka"/>
    <s v="zgadzam się"/>
    <x v="0"/>
    <s v="zgadzam się"/>
    <s v="zgadzam się"/>
    <s v="zgadzam się"/>
    <s v="zgadzam się"/>
    <s v="Praca przed ukonczeniem studiow"/>
    <s v="nie dotyczy"/>
    <s v="N/D"/>
    <s v="nie dotyczy"/>
    <s v="N/D"/>
    <s v="Szeroka wiedza"/>
    <s v="Dobra wspolpraca studentow, otwarci wykladowcy"/>
    <s v="Ubogie zaplecze dydaktyczne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46–55 lat"/>
    <s v="wieś"/>
    <m/>
    <s v="Technikum mechaniczne"/>
    <s v="Brak"/>
    <m/>
  </r>
  <r>
    <n v="211"/>
    <n v="115"/>
    <n v="49"/>
    <s v="89.64.126.173"/>
    <s v="Link"/>
    <m/>
    <m/>
    <m/>
    <m/>
    <s v="Zakończono"/>
    <s v="2020-12-19 09:07:09"/>
    <s v="2020-12-19 09:25:41"/>
    <n v="111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1"/>
    <s v="tak"/>
    <s v="Telekomunikacja"/>
    <s v="zgadzam się"/>
    <x v="0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n v="1500"/>
    <s v="powyżej 2000 zł, ale nie więcej niż 3000 zł"/>
    <n v="2500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36–45 lat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24"/>
    <n v="73"/>
    <n v="48"/>
    <s v="46.151.136.191"/>
    <s v="Link"/>
    <s v="android-app://com.google.android.gm/"/>
    <m/>
    <m/>
    <m/>
    <s v="Zakończono"/>
    <s v="2020-10-28 10:32:38"/>
    <s v="2020-10-28 10:51:57"/>
    <n v="115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Zarządzanie"/>
    <s v="zgadzam się"/>
    <x v="0"/>
    <s v="zgadzam się"/>
    <s v="raczej się zgadzam"/>
    <s v="raczej się nie zgadzam"/>
    <s v="ani się zgadzam, ani nie zgadzam"/>
    <s v="Praca przed ukończeniem studiów"/>
    <s v="powyżej 1000 zł, ale nie więcej niż 2000 zł"/>
    <n v="1500"/>
    <s v="powyżej 2000 zł, ale nie więcej niż 3000 zł"/>
    <n v="2500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26–35 lat"/>
    <s v="wieś"/>
    <m/>
    <s v="Inżynierskie"/>
    <s v="Brak"/>
    <m/>
  </r>
  <r>
    <n v="183"/>
    <n v="104"/>
    <n v="46"/>
    <s v="188.114.87.10"/>
    <s v="Link"/>
    <m/>
    <m/>
    <m/>
    <m/>
    <s v="Zakończono"/>
    <s v="2020-12-18 15:18:54"/>
    <s v="2020-12-18 15:44:50"/>
    <n v="155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Informatyka"/>
    <s v="zgadzam się"/>
    <x v="0"/>
    <s v="raczej się zgadzam"/>
    <s v="zgadzam się"/>
    <s v="raczej się zgadzam"/>
    <s v="zdecydowanie się zgadzam"/>
    <s v="praca przed ukończeniem studiów"/>
    <s v="powyżej 3000 zł, ale nie więcej niż 4000 zł"/>
    <n v="3500"/>
    <s v="powyżej 7000 zł, ale nie więcej niż 8000 zł"/>
    <n v="7500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26–35 lat"/>
    <s v="wieś"/>
    <m/>
    <s v="Politechnika Gdańska, Automatyka i Robotyka I st. inżynierskie dzienne"/>
    <m/>
    <m/>
  </r>
  <r>
    <n v="234"/>
    <n v="126"/>
    <n v="44"/>
    <s v="89.78.2.27"/>
    <s v="Link"/>
    <m/>
    <m/>
    <m/>
    <m/>
    <s v="Zakończono"/>
    <s v="2020-12-23 21:37:59"/>
    <s v="2020-12-23 21:49:19"/>
    <n v="68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Mechanika i Budowa Maszyn"/>
    <s v="zgadzam się"/>
    <x v="0"/>
    <s v="zgadzam się"/>
    <s v="zgadzam się"/>
    <s v="raczej się nie zgadzam"/>
    <s v="zgadzam się"/>
    <s v="Praca przed ukończeniem studiów"/>
    <s v="powyżej 2000 zł, ale nie więcej niż 3000 zł"/>
    <n v="2500"/>
    <s v="powyżej 4000 zł, ale nie więcej niż 5000 zł"/>
    <n v="4500"/>
    <m/>
    <s v="Dobre towarzystwo, ciekawe zajęcia"/>
    <s v="Niektóre przedmioty/zajęcia wydawały się niepotrzebn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26–35 lat"/>
    <s v="duże miasto powiatowe"/>
    <m/>
    <m/>
    <m/>
    <m/>
  </r>
  <r>
    <n v="245"/>
    <n v="131"/>
    <n v="46"/>
    <s v="188.147.123.202"/>
    <s v="Link"/>
    <s v="https://poczta.o2.pl/d/"/>
    <m/>
    <m/>
    <m/>
    <s v="Zakończono"/>
    <s v="2021-01-10 23:52:12"/>
    <s v="2021-01-11 00:00:36"/>
    <n v="50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3"/>
    <s v="tak"/>
    <s v="Biotechnologia"/>
    <s v="zgadzam się"/>
    <x v="0"/>
    <s v="zgadzam się"/>
    <s v="raczej się zgadzam"/>
    <s v="ani się zgadzam, ani nie zgadzam"/>
    <s v="ani się zgadzam, ani nie zgadzam"/>
    <s v="praca przed ukończeniem studiów"/>
    <s v="do 1000 zł"/>
    <n v="500"/>
    <s v="powyżej 1000 zł, ale nie więcej niż 2000 zł"/>
    <n v="1500"/>
    <s v="laboratoria, praktyczne doświadczenie"/>
    <s v="lubienie większości przedmiotów"/>
    <s v="dużo godzin"/>
    <s v="stacjonarne (dzienne) studia 2 stopnia (magisterskie)"/>
    <s v="5-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36–45 lat"/>
    <s v="miasto wojewódzkie"/>
    <m/>
    <m/>
    <m/>
    <m/>
  </r>
  <r>
    <n v="236"/>
    <n v="128"/>
    <n v="48"/>
    <s v="109.206.213.146"/>
    <s v="Link"/>
    <s v="https://www.linkedin.com/"/>
    <m/>
    <m/>
    <m/>
    <s v="Zakończono"/>
    <s v="2020-12-24 07:44:53"/>
    <s v="2020-12-24 08:01:59"/>
    <n v="102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 i Marketing / Zarządzanie Systemami Produkcyjnymi"/>
    <s v="zgadzam się"/>
    <x v="0"/>
    <s v="raczej się zgadzam"/>
    <s v="zgadzam się"/>
    <s v="ani się zgadzam, ani nie zgadzam"/>
    <s v="zdecydowanie się zgadzam"/>
    <s v="praca przed ukończeniem studiów "/>
    <s v="powyżej 1000 zł, ale nie więcej niż 2000 zł"/>
    <n v="1500"/>
    <s v="powyżej 5000 zł, ale nie więcej niż 6000 zł"/>
    <n v="5500"/>
    <s v="Lepszy zmysł techniczny "/>
    <s v="Wykładowcy "/>
    <s v="Wybrane Zajęcia czasem nie zmieniane od lat, kiedy inne starały się iść z duchem czasu"/>
    <m/>
    <s v="Stacjonarne magistersko-inżynierskie 5-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26–35 lat"/>
    <s v="miasto gminne"/>
    <m/>
    <s v="SWPS Warszawa, SWPS Poznań"/>
    <s v="Nie dotyczy "/>
    <s v="Pytania można byłoby prościej opisać / przystępniej :) "/>
  </r>
  <r>
    <n v="16"/>
    <n v="15"/>
    <n v="48"/>
    <s v="5.173.194.58"/>
    <s v="Link"/>
    <m/>
    <m/>
    <m/>
    <m/>
    <s v="Zakończono"/>
    <s v="2020-05-13 16:46:26"/>
    <s v="2020-05-13 16:59:27"/>
    <n v="78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0"/>
    <s v="tak"/>
    <s v="Biotechnologia"/>
    <s v="zgadzam się"/>
    <x v="0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n v="2500"/>
    <s v="powyżej 2000 zł, ale nie więcej niż 3000 zł"/>
    <n v="2500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26–35 lat"/>
    <s v="miasto wojewódzkie"/>
    <m/>
    <s v="ukończone studium doktoranckie z tytułem doktora nauk chemicznych, studium pedagogiczne, studia podyplomowe z pedagogiki przedszkolnej i wczesnoszkolnej"/>
    <m/>
    <m/>
  </r>
  <r>
    <n v="162"/>
    <n v="93"/>
    <n v="45"/>
    <s v="158.233.246.26"/>
    <s v="Link"/>
    <m/>
    <m/>
    <m/>
    <m/>
    <s v="Zakończono"/>
    <s v="2020-12-16 12:41:27"/>
    <s v="2020-12-16 12:49:37"/>
    <n v="490"/>
    <m/>
    <n v="0"/>
    <s v="Tak (kontynuacja ankiety)"/>
    <x v="0"/>
    <x v="0"/>
    <m/>
    <m/>
    <m/>
    <x v="0"/>
    <m/>
    <m/>
    <m/>
    <m/>
    <m/>
    <m/>
    <m/>
    <m/>
    <m/>
    <m/>
    <m/>
    <x v="0"/>
    <x v="25"/>
    <s v="Publiczna"/>
    <s v="Techniczna"/>
    <n v="1"/>
    <n v="2006"/>
    <s v="tak"/>
    <s v="Informatyka"/>
    <s v="zgadzam się"/>
    <x v="0"/>
    <s v="zgadzam się"/>
    <s v="zdecydowanie się zgadzam"/>
    <s v="zgadzam się"/>
    <s v="zgadzam się"/>
    <s v="praca przed ukończeniem studiów"/>
    <s v="powyżej 4000 zł, ale nie więcej niż 5000 zł"/>
    <n v="4500"/>
    <s v="powyżej 6000 zł, ale nie więcej niż 7000 zł"/>
    <n v="6500"/>
    <s v="systematyczne podejście do rozwiązywania problemów"/>
    <s v="zajęcia praktyczne, znajomi"/>
    <s v="przedmioty nie związane bezpośrednio z pracą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36–45 lat"/>
    <s v="miasto wojewódzkie"/>
    <m/>
    <m/>
    <m/>
    <m/>
  </r>
  <r>
    <n v="117"/>
    <n v="70"/>
    <n v="44"/>
    <s v="185.56.174.2"/>
    <s v="Link"/>
    <m/>
    <m/>
    <m/>
    <m/>
    <s v="Zakończono"/>
    <s v="2020-09-16 09:37:11"/>
    <s v="2020-09-16 09:43:09"/>
    <n v="358"/>
    <m/>
    <n v="0"/>
    <s v="Tak (kontynuacja ankiety)"/>
    <x v="0"/>
    <x v="0"/>
    <m/>
    <m/>
    <m/>
    <x v="0"/>
    <m/>
    <m/>
    <m/>
    <m/>
    <m/>
    <m/>
    <m/>
    <m/>
    <m/>
    <m/>
    <m/>
    <x v="0"/>
    <x v="18"/>
    <s v="Publiczna"/>
    <s v="Techniczna"/>
    <n v="1"/>
    <n v="2018"/>
    <s v="tak"/>
    <s v="Architektura"/>
    <s v="zgadzam się"/>
    <x v="0"/>
    <s v="ani się zgadzam, ani nie zgadzam"/>
    <s v="raczej się zgadzam"/>
    <s v="zgadzam się"/>
    <s v="nie dotyczy"/>
    <n v="1"/>
    <s v="powyżej 3000 zł, ale nie więcej niż 4000 zł"/>
    <n v="3500"/>
    <s v="nie dotyczy"/>
    <s v="N/D"/>
    <m/>
    <s v="Możliwość wyboru zajęć "/>
    <s v="Część prowadzących była niekompetentna/nie zaangażowan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26–35 lat"/>
    <s v="miasto wojewódzkie"/>
    <m/>
    <m/>
    <m/>
    <m/>
  </r>
  <r>
    <n v="111"/>
    <n v="66"/>
    <n v="51"/>
    <s v="31.0.40.119"/>
    <s v="Link"/>
    <m/>
    <m/>
    <m/>
    <m/>
    <s v="Zakończono"/>
    <s v="2020-08-26 21:36:47"/>
    <s v="2020-08-26 22:09:45"/>
    <n v="1978"/>
    <m/>
    <n v="0"/>
    <s v="Tak (kontynuacja ankiety)"/>
    <x v="0"/>
    <x v="0"/>
    <m/>
    <m/>
    <m/>
    <x v="0"/>
    <m/>
    <m/>
    <m/>
    <m/>
    <m/>
    <m/>
    <m/>
    <m/>
    <m/>
    <m/>
    <m/>
    <x v="0"/>
    <x v="6"/>
    <s v="Niepubliczna"/>
    <s v="Nietechniczna"/>
    <n v="1"/>
    <n v="2009"/>
    <s v="nie"/>
    <s v="Psychologia"/>
    <s v="zgadzam się"/>
    <x v="0"/>
    <s v="raczej się zgadzam"/>
    <s v="zdecydowanie się zgadzam"/>
    <s v="raczej się zgadzam"/>
    <s v="zgadzam się"/>
    <s v="W miesiącu ukończenia studiów"/>
    <s v="powyżej 2000 zł, ale nie więcej niż 3000 zł"/>
    <n v="2500"/>
    <s v="powyżej 3000 zł, ale nie więcej niż 4000 zł"/>
    <n v="3500"/>
    <s v="Szeroka wiedza, możliwość pomocy"/>
    <s v="Ciekawe wykłady i zajęcia z praktykami"/>
    <s v="Brak stałych grup na zajeciach"/>
    <s v="niestacjonarne (zaoczne) studia 2 stopnia (magisterskie)"/>
    <s v="Psycholog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36–45 lat"/>
    <s v="miasto wojewódzkie"/>
    <m/>
    <s v="Szkolenia i kursy paychoterapeutyczne"/>
    <m/>
    <m/>
  </r>
  <r>
    <n v="85"/>
    <n v="50"/>
    <n v="48"/>
    <s v="81.190.56.54"/>
    <s v="Link"/>
    <s v="https://ankietaplus.pl/ankiety/analiza/wyniki-pojedyncze/13308"/>
    <m/>
    <m/>
    <m/>
    <s v="Zakończono"/>
    <s v="2020-06-08 01:21:10"/>
    <s v="2020-06-08 01:54:01"/>
    <n v="197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historia"/>
    <s v="zgadzam się"/>
    <x v="0"/>
    <s v="raczej się zgadzam"/>
    <s v="raczej się nie zgadzam"/>
    <s v="nie zgadzam się"/>
    <s v="ani się zgadzam, ani nie zgadzam"/>
    <n v="2"/>
    <s v="powyżej 1000 zł, ale nie więcej niż 2000 zł"/>
    <n v="1500"/>
    <s v="powyżej 3000 zł, ale nie więcej niż 4000 zł"/>
    <n v="3500"/>
    <s v="poprawa"/>
    <s v="-"/>
    <s v="-"/>
    <s v="stacjonarne (dzienne) studia 2 stopnia (magisterskie)"/>
    <s v="jednolit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0"/>
    <n v="1988"/>
    <s v="26–35 lat"/>
    <s v="nieduże miasto powiatowe"/>
    <m/>
    <m/>
    <s v="doktorat - ekonomia"/>
    <m/>
  </r>
  <r>
    <n v="217"/>
    <n v="119"/>
    <n v="46"/>
    <s v="81.190.59.12"/>
    <s v="Link"/>
    <s v="https://poczta.o2.pl/"/>
    <m/>
    <m/>
    <m/>
    <s v="Zakończono"/>
    <s v="2020-12-20 16:19:03"/>
    <s v="2020-12-20 16:35:11"/>
    <n v="968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1"/>
    <s v="nie"/>
    <s v="Informatyka i ekonometria"/>
    <s v="zgadzam się"/>
    <x v="0"/>
    <s v="raczej się zgadzam"/>
    <s v="zdecydowanie się zgadzam"/>
    <s v="zgadzam się"/>
    <s v="zgadzam się"/>
    <n v="2"/>
    <s v="powyżej 2000 zł, ale nie więcej niż 3000 zł"/>
    <n v="2500"/>
    <s v="powyżej 3000 zł, ale nie więcej niż 4000 zł"/>
    <n v="3500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26–35 lat"/>
    <s v="duże miasto powiatowe"/>
    <m/>
    <s v="Szkoła wieczorowa"/>
    <m/>
    <m/>
  </r>
  <r>
    <n v="206"/>
    <s v="BRAK"/>
    <n v="44"/>
    <s v="91.231.25.141"/>
    <s v="Link"/>
    <s v="https://zasobygwp.pl/"/>
    <m/>
    <m/>
    <m/>
    <s v="W trakcie"/>
    <s v="2020-12-18 19:07:51"/>
    <s v="2020-12-18 19:07:51"/>
    <n v="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Matematyka "/>
    <s v="zgadzam się"/>
    <x v="0"/>
    <s v="raczej się zgadzam"/>
    <s v="raczej się zgadzam"/>
    <s v="raczej się zgadzam"/>
    <s v="raczej się zgadzam"/>
    <n v="2"/>
    <s v="powyżej 1000 zł, ale nie więcej niż 2000 zł"/>
    <n v="1500"/>
    <s v="powyżej 2000 zł, ale nie więcej niż 3000 zł"/>
    <n v="2500"/>
    <s v="Dobre przygotowanie do wykonywanego zawodu. "/>
    <s v="Ludzie, którzy ze mną studiowali. "/>
    <s v="Trudny materiał.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m/>
    <m/>
    <m/>
    <x v="1"/>
    <n v="1981"/>
    <s v="36–45 lat"/>
    <s v="wieś"/>
    <m/>
    <s v="Brak"/>
    <s v="Nie"/>
    <m/>
  </r>
  <r>
    <n v="175"/>
    <n v="99"/>
    <n v="45"/>
    <s v="158.233.246.28"/>
    <s v="Link"/>
    <m/>
    <m/>
    <m/>
    <m/>
    <s v="Zakończono"/>
    <s v="2020-12-18 11:41:43"/>
    <s v="2020-12-18 12:18:08"/>
    <n v="2185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Informatyka i Ekonometria"/>
    <s v="zgadzam się"/>
    <x v="0"/>
    <s v="zdecydowanie się zgadzam"/>
    <s v="zdecydowanie się zgadzam"/>
    <s v="zdecydowanie się zgadzam"/>
    <s v="zgadzam się"/>
    <s v="praca przed ukończeniem studiów"/>
    <s v="powyżej 1000 zł, ale nie więcej niż 2000 zł"/>
    <n v="1500"/>
    <s v="powyżej 2000 zł, ale nie więcej niż 3000 zł"/>
    <n v="2500"/>
    <m/>
    <s v="Doświadczona kadra"/>
    <s v="brak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36–45 lat"/>
    <s v="nieduże miasto powiatowe"/>
    <m/>
    <m/>
    <m/>
    <m/>
  </r>
  <r>
    <n v="220"/>
    <n v="121"/>
    <n v="48"/>
    <s v="158.233.246.29"/>
    <s v="Link"/>
    <m/>
    <m/>
    <m/>
    <m/>
    <s v="Zakończono"/>
    <s v="2020-12-21 10:11:48"/>
    <s v="2020-12-21 10:51:27"/>
    <n v="237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Międzynarodowe Stosunku Gospodarcze"/>
    <s v="zgadzam się"/>
    <x v="0"/>
    <s v="raczej się zgadzam"/>
    <s v="zgadzam się"/>
    <s v="raczej się zgadzam"/>
    <s v="zgadzam się"/>
    <s v="praca przed ukończeniem studiów"/>
    <s v="nie dotyczy"/>
    <s v="N/D"/>
    <s v="nie dotyczy"/>
    <s v="N/D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26–35 lat"/>
    <s v="nieduże miasto powiatowe"/>
    <m/>
    <s v="studia 2 stopnia (magisterskie): skandynawistyka"/>
    <s v="studia podyplomowe: Analiza Biznesowa w IT"/>
    <m/>
  </r>
  <r>
    <n v="52"/>
    <n v="31"/>
    <n v="50"/>
    <s v="37.47.66.52"/>
    <s v="Link"/>
    <s v="http://m.facebook.com/"/>
    <m/>
    <m/>
    <m/>
    <s v="Zakończono"/>
    <s v="2020-05-16 18:32:05"/>
    <s v="2020-05-17 11:34:47"/>
    <n v="61362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Polonistyka"/>
    <s v="zgadzam się"/>
    <x v="0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n v="1500"/>
    <s v="nie dotyczy"/>
    <s v="N/D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26–35 lat"/>
    <s v="wieś"/>
    <m/>
    <s v="Ukończyłam studia podyplomowe z logopedii"/>
    <s v="Studia podyplomowe z oligofrenopedagogiki"/>
    <m/>
  </r>
  <r>
    <n v="81"/>
    <n v="46"/>
    <n v="45"/>
    <s v="83.23.251.31"/>
    <s v="Link"/>
    <s v="https://ankietaplus.pl/ankiety/analiza/statystyki/13308"/>
    <m/>
    <m/>
    <m/>
    <s v="Zakończono"/>
    <s v="2020-05-30 14:26:21"/>
    <s v="2020-05-30 15:23:48"/>
    <n v="3447"/>
    <m/>
    <n v="0"/>
    <s v="Tak (kontynuacja ankiety)"/>
    <x v="0"/>
    <x v="0"/>
    <m/>
    <m/>
    <m/>
    <x v="0"/>
    <m/>
    <m/>
    <m/>
    <m/>
    <m/>
    <m/>
    <m/>
    <m/>
    <m/>
    <m/>
    <m/>
    <x v="0"/>
    <x v="20"/>
    <s v="Publiczna"/>
    <s v="Nietechniczna"/>
    <n v="1"/>
    <n v="1960"/>
    <s v="nie"/>
    <s v="Biologia"/>
    <s v="zgadzam się"/>
    <x v="0"/>
    <s v="zgadzam się"/>
    <s v="ani się zgadzam, ani nie zgadzam"/>
    <s v="nie zgadzam się"/>
    <s v="nie zgadzam się"/>
    <s v="0 (nakaz pracy)"/>
    <s v="powyżej 1000 zł, ale nie więcej niż 2000 zł"/>
    <n v="1500"/>
    <s v="powyżej 1000 zł, ale nie więcej niż 2000 zł"/>
    <n v="1500"/>
    <m/>
    <s v="dobra atmosfera wśród grupy studentów"/>
    <s v="złe warunki mieszkaniow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powyżej 65 lat"/>
    <s v="miasto gminne"/>
    <m/>
    <m/>
    <m/>
    <m/>
  </r>
  <r>
    <n v="193"/>
    <n v="110"/>
    <n v="47"/>
    <s v="158.233.246.28"/>
    <s v="Link"/>
    <m/>
    <m/>
    <m/>
    <m/>
    <s v="Zakończono"/>
    <s v="2020-12-18 15:51:44"/>
    <s v="2020-12-18 16:00:49"/>
    <n v="545"/>
    <m/>
    <n v="0"/>
    <s v="Tak (kontynuacja ankiety)"/>
    <x v="0"/>
    <x v="0"/>
    <m/>
    <m/>
    <m/>
    <x v="0"/>
    <m/>
    <m/>
    <m/>
    <m/>
    <m/>
    <m/>
    <m/>
    <m/>
    <m/>
    <m/>
    <m/>
    <x v="0"/>
    <x v="29"/>
    <s v="Publiczna"/>
    <s v="Nietechniczna"/>
    <n v="1"/>
    <n v="2001"/>
    <s v="nie"/>
    <s v="Zarządzanie i marketing"/>
    <s v="zgadzam się"/>
    <x v="0"/>
    <s v="zgadzam się"/>
    <s v="zdecydowanie się zgadzam"/>
    <s v="zgadzam się"/>
    <s v="zdecydowanie się zgadzam"/>
    <s v="Praca 2 lata przed ukończeniem studiów"/>
    <s v="do 1000 zł"/>
    <n v="500"/>
    <s v="powyżej 3000 zł, ale nie więcej niż 4000 zł"/>
    <n v="3500"/>
    <s v="Chęć nauki pozostała na zawsze."/>
    <s v="Wykładowcy, organizacja studencka, możliwość pracy i dziennego studiowania na 4-5 roku"/>
    <s v="bra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36–45 lat"/>
    <s v="miasto wojewódzkie"/>
    <s v="Olsztyn"/>
    <s v="Studia podyplomowe na University of Illinois"/>
    <m/>
    <m/>
  </r>
  <r>
    <n v="78"/>
    <n v="44"/>
    <n v="48"/>
    <s v="188.146.57.40"/>
    <s v="Link"/>
    <s v="https://ankietaplus.pl/ankiety/analiza/wyniki-pojedyncze/13308"/>
    <m/>
    <m/>
    <m/>
    <s v="Zakończono"/>
    <s v="2020-05-24 15:46:34"/>
    <s v="2020-05-24 16:25:58"/>
    <n v="2364"/>
    <m/>
    <n v="0"/>
    <s v="Tak (kontynuacja ankiety)"/>
    <x v="0"/>
    <x v="0"/>
    <m/>
    <m/>
    <m/>
    <x v="0"/>
    <m/>
    <m/>
    <m/>
    <m/>
    <m/>
    <m/>
    <m/>
    <m/>
    <m/>
    <m/>
    <m/>
    <x v="0"/>
    <x v="30"/>
    <s v="Publiczna"/>
    <s v="Nietechniczna"/>
    <n v="1"/>
    <n v="2002"/>
    <s v="tak"/>
    <s v="Geodezja"/>
    <s v="zgadzam się"/>
    <x v="0"/>
    <s v="raczej się zgadzam"/>
    <s v="ani się zgadzam, ani nie zgadzam"/>
    <s v="zdecydowanie się nie zgadzam"/>
    <s v="nie zgadzam się"/>
    <n v="3"/>
    <s v="do 1000 zł"/>
    <n v="500"/>
    <s v="do 1000 zł"/>
    <n v="500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36–45 lat"/>
    <s v="miasto wojewódzkie"/>
    <m/>
    <s v="brak"/>
    <s v="brak"/>
    <m/>
  </r>
  <r>
    <n v="123"/>
    <n v="72"/>
    <n v="46"/>
    <s v="158.233.246.27"/>
    <s v="Link"/>
    <m/>
    <m/>
    <m/>
    <m/>
    <s v="Zakończono"/>
    <s v="2020-09-23 13:41:55"/>
    <s v="2020-09-23 13:46:13"/>
    <n v="258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6"/>
    <s v="tak"/>
    <s v="IT Project managment"/>
    <s v="zgadzam się"/>
    <x v="0"/>
    <s v="zgadzam się"/>
    <s v="zdecydowanie się zgadzam"/>
    <s v="zdecydowanie się zgadzam"/>
    <s v="zdecydowanie się zgadzam"/>
    <n v="3"/>
    <s v="powyżej 2000 zł, ale nie więcej niż 3000 zł"/>
    <n v="2500"/>
    <s v="powyżej 8000 zł, ale nie więcej niż 9000 zł"/>
    <n v="8500"/>
    <m/>
    <s v="determinacja"/>
    <s v="sprawy prywatne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n v="1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26–35 lat"/>
    <s v="duże miasto powiatowe"/>
    <m/>
    <m/>
    <m/>
    <m/>
  </r>
  <r>
    <n v="248"/>
    <n v="133"/>
    <n v="44"/>
    <s v="158.233.246.27"/>
    <s v="Link"/>
    <m/>
    <m/>
    <m/>
    <m/>
    <s v="Zakończono"/>
    <s v="2021-01-13 09:24:04"/>
    <s v="2021-01-13 09:41:10"/>
    <n v="1026"/>
    <m/>
    <n v="0"/>
    <s v="Tak (kontynuacja ankiety)"/>
    <x v="1"/>
    <x v="4"/>
    <s v="nie"/>
    <s v="Bankowość i Finanse Cyfrowe"/>
    <s v="raczej się zgadzam"/>
    <x v="2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26–35 lat"/>
    <s v="nieduże miasto powiatowe"/>
    <m/>
    <s v="Finanse i Rachunkowość I st., Wydział Ekonomiczno - Socjologiczny UŁ"/>
    <m/>
    <m/>
  </r>
  <r>
    <n v="53"/>
    <n v="32"/>
    <n v="45"/>
    <s v="37.47.73.122"/>
    <s v="Link"/>
    <s v="https://m.facebook.com/"/>
    <m/>
    <m/>
    <m/>
    <s v="Zakończono"/>
    <s v="2020-05-16 18:36:00"/>
    <s v="2020-05-16 18:45:11"/>
    <n v="551"/>
    <m/>
    <n v="0"/>
    <s v="Tak (kontynuacja ankiety)"/>
    <x v="1"/>
    <x v="5"/>
    <s v="nie"/>
    <s v="Edytorstwo"/>
    <s v="zgadzam się"/>
    <x v="3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poniżej 26 lat"/>
    <s v="duże miasto powiatowe"/>
    <m/>
    <s v="kurs pedagogiczny w ramach bloku pedagogicznego realizowanego dodatkowo (druga specjalność)"/>
    <m/>
    <m/>
  </r>
  <r>
    <n v="32"/>
    <n v="22"/>
    <n v="50"/>
    <s v="5.173.72.244"/>
    <s v="Link"/>
    <s v="http://m.facebook.com/"/>
    <m/>
    <m/>
    <m/>
    <s v="Zakończono"/>
    <s v="2020-05-16 16:50:05"/>
    <s v="2020-05-16 16:58:15"/>
    <n v="490"/>
    <m/>
    <n v="0"/>
    <s v="Tak (kontynuacja ankiety)"/>
    <x v="1"/>
    <x v="5"/>
    <s v="nie"/>
    <s v="Filologia polska"/>
    <s v="zdecydowanie się zgadzam"/>
    <x v="4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poniżej 26 lat"/>
    <s v="miasto wojewódzkie"/>
    <m/>
    <s v="Ukończone studia licencjackie, również na filologii polskiej"/>
    <s v="Przerwałam studia na filologii francuskiej"/>
    <m/>
  </r>
  <r>
    <n v="41"/>
    <n v="27"/>
    <n v="45"/>
    <s v="213.189.39.230"/>
    <s v="Link"/>
    <m/>
    <m/>
    <m/>
    <m/>
    <s v="Zakończono"/>
    <s v="2020-05-16 17:18:10"/>
    <s v="2020-05-16 17:22:53"/>
    <n v="283"/>
    <m/>
    <n v="0"/>
    <s v="Tak (kontynuacja ankiety)"/>
    <x v="1"/>
    <x v="5"/>
    <s v="nie"/>
    <s v="Filologia polska"/>
    <s v="zdecydowanie się zgadzam"/>
    <x v="4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poniżej 26 lat"/>
    <s v="wieś"/>
    <m/>
    <s v="Ukończone gimnazjum i liceum ogółnokształcące."/>
    <s v="Psychologia stosowana na UJ - przerwana po II latach"/>
    <m/>
  </r>
  <r>
    <n v="33"/>
    <n v="23"/>
    <n v="43"/>
    <s v="83.27.175.86"/>
    <s v="Link"/>
    <s v="https://www.facebook.com/"/>
    <m/>
    <m/>
    <m/>
    <s v="Zakończono"/>
    <s v="2020-05-16 16:50:07"/>
    <s v="2020-05-16 17:31:54"/>
    <n v="2507"/>
    <m/>
    <n v="0"/>
    <s v="Tak (kontynuacja ankiety)"/>
    <x v="1"/>
    <x v="5"/>
    <s v="nie"/>
    <s v="filologia polska, nauczycielska"/>
    <s v="zdecydowanie się zgadzam"/>
    <x v="4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poniżej 26 lat"/>
    <s v="wieś"/>
    <m/>
    <m/>
    <m/>
    <m/>
  </r>
  <r>
    <n v="94"/>
    <n v="57"/>
    <n v="46"/>
    <s v="37.47.232.179"/>
    <s v="Link"/>
    <s v="https://ankietaplus.pl/ankiety/analiza/statystyki/13308"/>
    <m/>
    <m/>
    <m/>
    <s v="Zakończono"/>
    <s v="2020-07-25 20:34:40"/>
    <s v="2020-07-25 20:54:26"/>
    <n v="1186"/>
    <m/>
    <n v="0"/>
    <s v="Tak (kontynuacja ankiety)"/>
    <x v="1"/>
    <x v="6"/>
    <s v="nie"/>
    <s v="Filologia romańska"/>
    <s v="ani się zgadzam, ani nie zgadzam"/>
    <x v="5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26–35 lat"/>
    <s v="wieś"/>
    <m/>
    <m/>
    <m/>
    <m/>
  </r>
  <r>
    <n v="181"/>
    <n v="102"/>
    <n v="47"/>
    <s v="158.233.246.29"/>
    <s v="Link"/>
    <m/>
    <m/>
    <m/>
    <m/>
    <s v="Zakończono"/>
    <s v="2020-12-18 14:29:31"/>
    <s v="2020-12-18 14:36:37"/>
    <n v="426"/>
    <m/>
    <n v="0"/>
    <s v="Tak (kontynuacja ankiety)"/>
    <x v="1"/>
    <x v="7"/>
    <s v="tak"/>
    <s v="Informatyka"/>
    <s v="ani się zgadzam, ani nie zgadzam"/>
    <x v="5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26–35 lat"/>
    <s v="miasto wojewódzkie"/>
    <m/>
    <s v="inzynier"/>
    <s v="n/a"/>
    <m/>
  </r>
  <r>
    <n v="54"/>
    <n v="33"/>
    <n v="45"/>
    <s v="159.205.73.175"/>
    <s v="Link"/>
    <s v="http://m.facebook.com/"/>
    <m/>
    <m/>
    <m/>
    <s v="Zakończono"/>
    <s v="2020-05-16 18:50:31"/>
    <s v="2020-05-16 19:00:26"/>
    <n v="595"/>
    <m/>
    <n v="0"/>
    <s v="Tak (kontynuacja ankiety)"/>
    <x v="1"/>
    <x v="5"/>
    <s v="nie"/>
    <s v="Język polski w komunikacji społecznej"/>
    <s v="zgadzam się"/>
    <x v="3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e v="#N/A"/>
    <s v="duże miasto powiatowe"/>
    <m/>
    <s v="Ukończone LO na akademickim profilu humanistycznym pod patronatem UAM. "/>
    <s v="Studia na kierunku amerykanistyka. "/>
    <m/>
  </r>
  <r>
    <n v="50"/>
    <n v="30"/>
    <n v="44"/>
    <s v="83.26.176.108"/>
    <s v="Link"/>
    <s v="https://www.facebook.com/"/>
    <m/>
    <m/>
    <m/>
    <s v="Zakończono"/>
    <s v="2020-05-16 18:25:14"/>
    <s v="2020-05-16 18:31:41"/>
    <n v="387"/>
    <m/>
    <n v="0"/>
    <s v="Tak (kontynuacja ankiety)"/>
    <x v="1"/>
    <x v="5"/>
    <s v="nie"/>
    <s v="Kulturoznawstwo, teksty kultury"/>
    <s v="raczej się zgadzam"/>
    <x v="2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poniżej 26 lat"/>
    <s v="miasto wojewódzkie"/>
    <m/>
    <s v="kurs instruktorki hipoterapii"/>
    <m/>
    <m/>
  </r>
  <r>
    <n v="58"/>
    <n v="34"/>
    <n v="43"/>
    <s v="89.186.19.145"/>
    <s v="Link"/>
    <s v="https://www.facebook.com/"/>
    <m/>
    <m/>
    <m/>
    <s v="Zakończono"/>
    <s v="2020-05-16 20:34:54"/>
    <s v="2020-05-16 20:44:05"/>
    <n v="551"/>
    <m/>
    <n v="0"/>
    <s v="Tak (kontynuacja ankiety)"/>
    <x v="1"/>
    <x v="8"/>
    <s v="nie"/>
    <s v="Międzywydziałowe Indywidualne Studia Humanistyczne"/>
    <s v="raczej się nie zgadzam"/>
    <x v="6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poniżej 26 lat"/>
    <s v="miasto wojewódzkie"/>
    <m/>
    <m/>
    <m/>
    <m/>
  </r>
  <r>
    <n v="47"/>
    <n v="29"/>
    <n v="46"/>
    <s v="87.239.222.224"/>
    <s v="Link"/>
    <s v="https://m.facebook.com/"/>
    <m/>
    <m/>
    <m/>
    <s v="Zakończono"/>
    <s v="2020-05-16 18:04:21"/>
    <s v="2020-05-16 18:16:52"/>
    <n v="751"/>
    <m/>
    <n v="0"/>
    <s v="Tak (kontynuacja ankiety)"/>
    <x v="1"/>
    <x v="5"/>
    <s v="nie"/>
    <s v="polonistyka"/>
    <s v="raczej się zgadzam"/>
    <x v="2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poniżej 26 lat"/>
    <s v="wieś"/>
    <m/>
    <s v="-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1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646D9-6A89-41D5-B4CC-12B5AE8CB532}" name="Tabela przestawna4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8:B67" firstHeaderRow="1" firstDataRow="1" firstDataCol="1" rowPageCount="2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0"/>
        <item x="1"/>
        <item x="4"/>
        <item x="3"/>
        <item x="2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2">
    <pageField fld="75" hier="-1"/>
    <pageField fld="90" hier="-1"/>
  </pageFields>
  <dataFields count="1">
    <dataField name="Liczba z Czy jesteś osobą pełnoletnią?" fld="15" subtotal="count" baseField="0" baseItem="0"/>
  </dataFields>
  <formats count="3">
    <format dxfId="554">
      <pivotArea dataOnly="0" labelOnly="1" fieldPosition="0">
        <references count="1">
          <reference field="59" count="1">
            <x v="1"/>
          </reference>
        </references>
      </pivotArea>
    </format>
    <format dxfId="553">
      <pivotArea dataOnly="0" labelOnly="1" fieldPosition="0">
        <references count="1">
          <reference field="59" count="1">
            <x v="3"/>
          </reference>
        </references>
      </pivotArea>
    </format>
    <format dxfId="552">
      <pivotArea dataOnly="0" labelOnly="1" fieldPosition="0">
        <references count="1">
          <reference field="59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B9FA5-8B5A-46C7-86EA-77660A6286D7}" name="Tabela przestawna9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9:B13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7"/>
  </rowFields>
  <rowItems count="3">
    <i>
      <x/>
    </i>
    <i>
      <x v="1"/>
    </i>
    <i t="grand">
      <x/>
    </i>
  </rowItems>
  <colItems count="1">
    <i/>
  </colItems>
  <pageFields count="1">
    <pageField fld="199" hier="-1"/>
  </pageFields>
  <dataFields count="1">
    <dataField name="Liczba z Czy jesteś osobą pełnoletnią?" fld="15" subtotal="count" baseField="0" baseItem="0"/>
  </dataFields>
  <formats count="1">
    <format dxfId="555">
      <pivotArea dataOnly="0" labelOnly="1" fieldPosition="0">
        <references count="1">
          <reference field="187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B0652-8DDA-4CE1-A049-573BE396F812}" name="Tabela przestawna3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7:B49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36">
        <item sd="0" x="23"/>
        <item sd="0" x="28"/>
        <item sd="0" x="1"/>
        <item sd="0" x="16"/>
        <item sd="0" x="3"/>
        <item sd="0" x="10"/>
        <item sd="0" x="24"/>
        <item sd="0" x="8"/>
        <item sd="0" x="17"/>
        <item sd="0" x="0"/>
        <item m="1" x="31"/>
        <item sd="0" x="13"/>
        <item m="1" x="32"/>
        <item sd="0" x="25"/>
        <item sd="0" x="18"/>
        <item sd="0" x="27"/>
        <item sd="0" x="6"/>
        <item sd="0" x="9"/>
        <item sd="0" x="5"/>
        <item sd="0" x="19"/>
        <item sd="0" x="26"/>
        <item sd="0" x="2"/>
        <item sd="0" m="1" x="33"/>
        <item sd="0" x="11"/>
        <item sd="0" m="1" x="34"/>
        <item sd="0" x="12"/>
        <item sd="0" x="20"/>
        <item sd="0" x="21"/>
        <item sd="0" x="29"/>
        <item sd="0" x="14"/>
        <item sd="0" x="22"/>
        <item sd="0" x="30"/>
        <item sd="0" x="4"/>
        <item sd="0" x="15"/>
        <item sd="0" x="7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4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Liczba z Czy jesteś absolwentem uczelni wyższej?" fld="33" subtotal="count" baseField="0" baseItem="0"/>
  </dataFields>
  <formats count="3">
    <format dxfId="558">
      <pivotArea dataOnly="0" labelOnly="1" fieldPosition="0">
        <references count="1">
          <reference field="34" count="1">
            <x v="9"/>
          </reference>
        </references>
      </pivotArea>
    </format>
    <format dxfId="557">
      <pivotArea dataOnly="0" labelOnly="1" fieldPosition="0">
        <references count="1">
          <reference field="34" count="1">
            <x v="21"/>
          </reference>
        </references>
      </pivotArea>
    </format>
    <format dxfId="556">
      <pivotArea dataOnly="0" labelOnly="1" fieldPosition="0">
        <references count="1">
          <reference field="34" count="1">
            <x v="2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AD7D7-02E9-47DA-BA9E-EE1F78DF195F}" name="Tabela przestawna8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3:B12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5"/>
        <item x="6"/>
        <item m="1" x="8"/>
        <item m="1" x="9"/>
        <item x="0"/>
        <item x="2"/>
        <item x="7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9"/>
  </rowFields>
  <rowItems count="9">
    <i>
      <x/>
    </i>
    <i>
      <x v="1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68" hier="-1"/>
  </pageFields>
  <dataFields count="1">
    <dataField name="Liczba z Czy jesteś osobą pełnoletnią?" fld="15" subtotal="count" baseField="0" baseItem="0"/>
  </dataFields>
  <formats count="3">
    <format dxfId="561">
      <pivotArea dataOnly="0" labelOnly="1" fieldPosition="0">
        <references count="1">
          <reference field="159" count="1">
            <x v="4"/>
          </reference>
        </references>
      </pivotArea>
    </format>
    <format dxfId="560">
      <pivotArea dataOnly="0" labelOnly="1" fieldPosition="0">
        <references count="1">
          <reference field="159" count="1">
            <x v="8"/>
          </reference>
        </references>
      </pivotArea>
    </format>
    <format dxfId="559">
      <pivotArea dataOnly="0" labelOnly="1" fieldPosition="0">
        <references count="1">
          <reference field="159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C67135-4D5C-476C-86AA-252FA8C97CFD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3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0">
        <item x="1"/>
        <item x="2"/>
        <item x="3"/>
        <item x="6"/>
        <item x="5"/>
        <item x="4"/>
        <item x="8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64">
      <pivotArea dataOnly="0" labelOnly="1" fieldPosition="0">
        <references count="1">
          <reference field="17" count="1">
            <x v="3"/>
          </reference>
        </references>
      </pivotArea>
    </format>
    <format dxfId="563">
      <pivotArea dataOnly="0" labelOnly="1" fieldPosition="0">
        <references count="1">
          <reference field="17" count="1">
            <x v="1"/>
          </reference>
        </references>
      </pivotArea>
    </format>
    <format dxfId="562">
      <pivotArea dataOnly="0" labelOnly="1" fieldPosition="0">
        <references count="1">
          <reference field="17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65D47-40A6-45E4-A687-9917FBF7F65C}" name="Tabela przestawna7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99:B105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m="1" x="6"/>
        <item x="2"/>
        <item m="1" x="5"/>
        <item m="1" x="7"/>
        <item m="1" x="8"/>
        <item x="0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1"/>
  </rowFields>
  <rowItems count="6">
    <i>
      <x v="1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1">
    <format dxfId="565">
      <pivotArea dataOnly="0" labelOnly="1" fieldPosition="0">
        <references count="1">
          <reference field="131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9BDF6-7C28-4223-846E-FB074659818F}" name="Tabela przestawna1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58:M67" firstHeaderRow="1" firstDataRow="2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descending">
      <items count="9">
        <item x="5"/>
        <item x="0"/>
        <item x="1"/>
        <item x="4"/>
        <item x="3"/>
        <item x="2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Row" showAll="0">
      <items count="8">
        <item x="2"/>
        <item x="0"/>
        <item x="3"/>
        <item x="5"/>
        <item x="4"/>
        <item x="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9"/>
  </colFields>
  <colItems count="9">
    <i>
      <x v="7"/>
    </i>
    <i>
      <x v="1"/>
    </i>
    <i>
      <x v="5"/>
    </i>
    <i>
      <x v="2"/>
    </i>
    <i>
      <x v="3"/>
    </i>
    <i>
      <x/>
    </i>
    <i>
      <x v="4"/>
    </i>
    <i>
      <x v="6"/>
    </i>
    <i t="grand">
      <x/>
    </i>
  </colItems>
  <pageFields count="1">
    <pageField fld="90" hier="-1"/>
  </pageFields>
  <dataFields count="1">
    <dataField name="Liczba z Czy jesteś osobą pełnoletnią?" fld="15" subtotal="count" baseField="0" baseItem="0"/>
  </dataFields>
  <formats count="3">
    <format dxfId="568">
      <pivotArea dataOnly="0" labelOnly="1" fieldPosition="0">
        <references count="1">
          <reference field="59" count="1">
            <x v="1"/>
          </reference>
        </references>
      </pivotArea>
    </format>
    <format dxfId="567">
      <pivotArea dataOnly="0" labelOnly="1" fieldPosition="0">
        <references count="1">
          <reference field="59" count="1">
            <x v="3"/>
          </reference>
        </references>
      </pivotArea>
    </format>
    <format dxfId="566">
      <pivotArea dataOnly="0" labelOnly="1" fieldPosition="0">
        <references count="1">
          <reference field="59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83DC6-C683-4F45-9A09-DB406C08EF4F}" name="Tabela przestawna1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17:AJ28" firstHeaderRow="1" firstDataRow="2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 sortType="descending">
      <items count="36">
        <item x="23"/>
        <item x="28"/>
        <item x="1"/>
        <item x="16"/>
        <item x="3"/>
        <item x="10"/>
        <item x="24"/>
        <item x="8"/>
        <item x="17"/>
        <item x="0"/>
        <item m="1" x="31"/>
        <item x="13"/>
        <item m="1" x="32"/>
        <item x="25"/>
        <item x="18"/>
        <item x="27"/>
        <item x="6"/>
        <item x="9"/>
        <item x="5"/>
        <item x="19"/>
        <item x="26"/>
        <item x="2"/>
        <item m="1" x="33"/>
        <item x="11"/>
        <item m="1" x="34"/>
        <item x="12"/>
        <item x="20"/>
        <item x="21"/>
        <item x="29"/>
        <item x="14"/>
        <item x="22"/>
        <item x="30"/>
        <item x="4"/>
        <item x="1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8"/>
        <item x="7"/>
        <item x="6"/>
        <item x="4"/>
        <item x="2"/>
        <item x="0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4"/>
  </colFields>
  <colItems count="32">
    <i>
      <x v="9"/>
    </i>
    <i>
      <x v="21"/>
    </i>
    <i>
      <x v="34"/>
    </i>
    <i>
      <x v="23"/>
    </i>
    <i>
      <x v="2"/>
    </i>
    <i>
      <x v="33"/>
    </i>
    <i>
      <x v="8"/>
    </i>
    <i>
      <x v="26"/>
    </i>
    <i>
      <x v="32"/>
    </i>
    <i>
      <x v="14"/>
    </i>
    <i>
      <x v="1"/>
    </i>
    <i>
      <x v="7"/>
    </i>
    <i>
      <x v="13"/>
    </i>
    <i>
      <x v="16"/>
    </i>
    <i>
      <x v="15"/>
    </i>
    <i>
      <x v="29"/>
    </i>
    <i>
      <x v="27"/>
    </i>
    <i>
      <x/>
    </i>
    <i>
      <x v="31"/>
    </i>
    <i>
      <x v="18"/>
    </i>
    <i>
      <x v="6"/>
    </i>
    <i>
      <x v="19"/>
    </i>
    <i>
      <x v="28"/>
    </i>
    <i>
      <x v="20"/>
    </i>
    <i>
      <x v="30"/>
    </i>
    <i>
      <x v="5"/>
    </i>
    <i>
      <x v="3"/>
    </i>
    <i>
      <x v="11"/>
    </i>
    <i>
      <x v="4"/>
    </i>
    <i>
      <x v="25"/>
    </i>
    <i>
      <x v="17"/>
    </i>
    <i t="grand">
      <x/>
    </i>
  </colItems>
  <dataFields count="1">
    <dataField name="Liczba z Czy jesteś absolwentem uczelni wyższej?" fld="33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A666F7-00B5-4611-9B3E-95BDA014C782}" name="Tabela przestawna6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85:B95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m="1" x="9"/>
        <item x="3"/>
        <item x="5"/>
        <item x="7"/>
        <item x="6"/>
        <item x="1"/>
        <item x="4"/>
        <item x="2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6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71">
      <pivotArea dataOnly="0" labelOnly="1" fieldPosition="0">
        <references count="1">
          <reference field="116" count="1">
            <x v="5"/>
          </reference>
        </references>
      </pivotArea>
    </format>
    <format dxfId="570">
      <pivotArea dataOnly="0" labelOnly="1" fieldPosition="0">
        <references count="1">
          <reference field="116" count="1">
            <x v="7"/>
          </reference>
        </references>
      </pivotArea>
    </format>
    <format dxfId="569">
      <pivotArea dataOnly="0" labelOnly="1" fieldPosition="0">
        <references count="1">
          <reference field="116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BA932-10DD-4211-AAF2-EC4C2040A5BD}" name="Tabela przestawna10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3:N12" firstHeaderRow="1" firstDataRow="2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 sortType="descending">
      <items count="10">
        <item x="1"/>
        <item x="2"/>
        <item x="3"/>
        <item x="6"/>
        <item x="5"/>
        <item x="4"/>
        <item x="8"/>
        <item x="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8">
        <item x="1"/>
        <item x="6"/>
        <item x="5"/>
        <item x="2"/>
        <item x="3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7"/>
  </colFields>
  <colItems count="10">
    <i>
      <x v="8"/>
    </i>
    <i>
      <x v="4"/>
    </i>
    <i>
      <x v="2"/>
    </i>
    <i>
      <x v="7"/>
    </i>
    <i>
      <x v="6"/>
    </i>
    <i>
      <x v="3"/>
    </i>
    <i>
      <x v="1"/>
    </i>
    <i>
      <x/>
    </i>
    <i>
      <x v="5"/>
    </i>
    <i t="grand">
      <x/>
    </i>
  </colItems>
  <dataFields count="1">
    <dataField name="Liczba z Czy jesteś osobą pełnoletnią?" fld="15" subtotal="count" baseField="0" baseItem="0"/>
  </dataFields>
  <formats count="3">
    <format dxfId="574">
      <pivotArea dataOnly="0" labelOnly="1" fieldPosition="0">
        <references count="1">
          <reference field="17" count="1">
            <x v="3"/>
          </reference>
        </references>
      </pivotArea>
    </format>
    <format dxfId="573">
      <pivotArea dataOnly="0" labelOnly="1" fieldPosition="0">
        <references count="1">
          <reference field="17" count="1">
            <x v="1"/>
          </reference>
        </references>
      </pivotArea>
    </format>
    <format dxfId="572">
      <pivotArea dataOnly="0" labelOnly="1" fieldPosition="0">
        <references count="1">
          <reference field="17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2B4BE2-DE9C-49DC-BE05-E8DDBFA04991}" name="Tabela przestawna5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74:B80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577">
      <pivotArea dataOnly="0" labelOnly="1" fieldPosition="0">
        <references count="1">
          <reference field="105" count="1">
            <x v="1"/>
          </reference>
        </references>
      </pivotArea>
    </format>
    <format dxfId="576">
      <pivotArea dataOnly="0" labelOnly="1" fieldPosition="0">
        <references count="1">
          <reference field="105" count="1">
            <x v="2"/>
          </reference>
        </references>
      </pivotArea>
    </format>
    <format dxfId="575">
      <pivotArea dataOnly="0" labelOnly="1" fieldPosition="0">
        <references count="1">
          <reference field="105" count="1">
            <x v="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ktualnie pracownikiem naukowym lub dydaktycznym uczelni wyższej?" fld="115" subtotal="count" baseField="0" baseItem="0"/>
  </dataFields>
  <formats count="6"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115" type="button" dataOnly="0" labelOnly="1" outline="0" axis="axisRow" fieldPosition="0"/>
    </format>
    <format dxfId="353">
      <pivotArea dataOnly="0" labelOnly="1" fieldPosition="0">
        <references count="1">
          <reference field="115" count="0"/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04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ktualnie pracownikiem administracyjnym uczelni wyższej?" fld="104" subtotal="count" baseField="0" baseItem="0"/>
  </dataFields>
  <formats count="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104" type="button" dataOnly="0" labelOnly="1" outline="0" axis="axisRow" fieldPosition="0"/>
    </format>
    <format dxfId="359">
      <pivotArea dataOnly="0" labelOnly="1" fieldPosition="0">
        <references count="1">
          <reference field="104" count="0"/>
        </references>
      </pivotArea>
    </format>
    <format dxfId="358">
      <pivotArea dataOnly="0" labelOnly="1" grandRow="1" outline="0" fieldPosition="0"/>
    </format>
    <format dxfId="3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5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firmy, w której są zatrudniani absolwenci uczelni wyższych (tytuł licencjata, magistra lub wyższy)?" fld="156" subtotal="count" baseField="0" baseItem="0"/>
  </dataFields>
  <formats count="6"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156" type="button" dataOnly="0" labelOnly="1" outline="0" axis="axisRow" fieldPosition="0"/>
    </format>
    <format dxfId="365">
      <pivotArea dataOnly="0" labelOnly="1" fieldPosition="0">
        <references count="1">
          <reference field="156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7"/>
  </rowFields>
  <rowItems count="3">
    <i>
      <x/>
    </i>
    <i>
      <x v="1"/>
    </i>
    <i t="grand">
      <x/>
    </i>
  </rowItems>
  <colItems count="1">
    <i/>
  </colItems>
  <pageFields count="1">
    <pageField fld="33" hier="-1"/>
  </pageFields>
  <dataFields count="1">
    <dataField name="Liczba z Czy jesteś rodzicem / opiekunem absolwenta uczelni wyższej?" fld="57" subtotal="count" baseField="0" baseItem="0"/>
  </dataFields>
  <formats count="5">
    <format dxfId="373">
      <pivotArea type="all" dataOnly="0" outline="0" fieldPosition="0"/>
    </format>
    <format dxfId="372">
      <pivotArea outline="0" collapsedLevelsAreSubtotals="1" fieldPosition="0"/>
    </format>
    <format dxfId="371">
      <pivotArea field="57" type="button" dataOnly="0" labelOnly="1" outline="0" axis="axisRow" fieldPosition="0"/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7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rodzicem / opiekunem absolwenta uczelni wyższej?" fld="57" subtotal="count" baseField="0" baseItem="0"/>
  </dataFields>
  <formats count="6">
    <format dxfId="379">
      <pivotArea type="all" dataOnly="0" outline="0" fieldPosition="0"/>
    </format>
    <format dxfId="378">
      <pivotArea outline="0" collapsedLevelsAreSubtotals="1" fieldPosition="0"/>
    </format>
    <format dxfId="377">
      <pivotArea field="57" type="button" dataOnly="0" labelOnly="1" outline="0" axis="axisRow" fieldPosition="0"/>
    </format>
    <format dxfId="376">
      <pivotArea dataOnly="0" labelOnly="1" fieldPosition="0">
        <references count="1">
          <reference field="57" count="0"/>
        </references>
      </pivotArea>
    </format>
    <format dxfId="375">
      <pivotArea dataOnly="0" labelOnly="1" grandRow="1" outline="0" fieldPosition="0"/>
    </format>
    <format dxfId="37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83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władz samorządowych lub centralnych Rzeczypospolitej Polskiej?" fld="183" subtotal="count" baseField="0" baseItem="0"/>
  </dataFields>
  <formats count="6">
    <format dxfId="385">
      <pivotArea type="all" dataOnly="0" outline="0" fieldPosition="0"/>
    </format>
    <format dxfId="384">
      <pivotArea outline="0" collapsedLevelsAreSubtotals="1" fieldPosition="0"/>
    </format>
    <format dxfId="383">
      <pivotArea field="183" type="button" dataOnly="0" labelOnly="1" outline="0" axis="axisRow" fieldPosition="0"/>
    </format>
    <format dxfId="382">
      <pivotArea dataOnly="0" labelOnly="1" fieldPosition="0">
        <references count="1">
          <reference field="183" count="0"/>
        </references>
      </pivotArea>
    </format>
    <format dxfId="381">
      <pivotArea dataOnly="0" labelOnly="1" grandRow="1" outline="0" fieldPosition="0"/>
    </format>
    <format dxfId="38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2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władz uczelni z grupy rektorów, prorektorów, dziekanów, prodziekanów, członków senatu lub członków rady uczelni?" fld="126" subtotal="count" baseField="0" baseItem="0"/>
  </dataFields>
  <formats count="6">
    <format dxfId="391">
      <pivotArea type="all" dataOnly="0" outline="0" fieldPosition="0"/>
    </format>
    <format dxfId="390">
      <pivotArea outline="0" collapsedLevelsAreSubtotals="1" fieldPosition="0"/>
    </format>
    <format dxfId="389">
      <pivotArea field="126" type="button" dataOnly="0" labelOnly="1" outline="0" axis="axisRow" fieldPosition="0"/>
    </format>
    <format dxfId="388">
      <pivotArea dataOnly="0" labelOnly="1" fieldPosition="0">
        <references count="1">
          <reference field="126" count="0"/>
        </references>
      </pivotArea>
    </format>
    <format dxfId="387">
      <pivotArea dataOnly="0" labelOnly="1" grandRow="1" outline="0" fieldPosition="0"/>
    </format>
    <format dxfId="38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3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bsolwentem uczelni wyższej?" fld="33" subtotal="count" baseField="0" baseItem="0"/>
  </dataFields>
  <formats count="6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33" type="button" dataOnly="0" labelOnly="1" outline="0" axis="axisRow" fieldPosition="0"/>
    </format>
    <format dxfId="394">
      <pivotArea dataOnly="0" labelOnly="1" fieldPosition="0">
        <references count="1">
          <reference field="33" count="0"/>
        </references>
      </pivotArea>
    </format>
    <format dxfId="393">
      <pivotArea dataOnly="0" labelOnly="1" grandRow="1" outline="0" fieldPosition="0"/>
    </format>
    <format dxfId="39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studentem uczelni wyższej?" fld="16" subtotal="count" baseField="0" baseItem="0"/>
  </dataFields>
  <formats count="6">
    <format dxfId="403">
      <pivotArea type="all" dataOnly="0" outline="0" fieldPosition="0"/>
    </format>
    <format dxfId="402">
      <pivotArea outline="0" collapsedLevelsAreSubtotals="1" fieldPosition="0"/>
    </format>
    <format dxfId="401">
      <pivotArea field="16" type="button" dataOnly="0" labelOnly="1" outline="0" axis="axisRow" fieldPosition="0"/>
    </format>
    <format dxfId="400">
      <pivotArea dataOnly="0" labelOnly="1" fieldPosition="0">
        <references count="1">
          <reference field="16" count="0"/>
        </references>
      </pivotArea>
    </format>
    <format dxfId="399">
      <pivotArea dataOnly="0" labelOnly="1" grandRow="1" outline="0" fieldPosition="0"/>
    </format>
    <format dxfId="39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4EB69A-80B8-493B-8549-F8580517F910}" name="AbsDoKorelacji" displayName="AbsDoKorelacji" ref="B663:L784" totalsRowCount="1">
  <autoFilter ref="B663:L783" xr:uid="{594EB69A-80B8-493B-8549-F8580517F910}"/>
  <sortState xmlns:xlrd2="http://schemas.microsoft.com/office/spreadsheetml/2017/richdata2" ref="B664:H783">
    <sortCondition ref="E663:E783"/>
  </sortState>
  <tableColumns count="11">
    <tableColumn id="1" xr3:uid="{36D59C95-8F2D-4012-85B6-797E80865960}" name="CzyUczelniaTechniczna"/>
    <tableColumn id="7" xr3:uid="{63D78DE8-D0E5-4644-B25C-1ADB5FF064CB}" name="Zatrudnienie w 1 roku" totalsRowFunction="sum"/>
    <tableColumn id="3" xr3:uid="{FB754D9C-C748-498A-BD83-27B1CB45A484}" name="Zatrudnienie w 3 lata" totalsRowFunction="sum"/>
    <tableColumn id="6" xr3:uid="{6F5D82B6-3526-49DB-BC53-4D4DF22EBBC2}" name="W ile miesięcy po ukończeniu studiów uzyskałaś/eś zatrudnienie? Proszę podać liczbę miesięcy lub wpisać inną opcję (np. praca przed ukończeniem studiów; założenie własnej firmy; nie zamierzam pracować)"/>
    <tableColumn id="5" xr3:uid="{51361936-10FA-4AC1-A58C-E263F505FA5C}" name="CzyTechnicznaWartości" dataDxfId="586">
      <calculatedColumnFormula>IF(AbsDoKorelacji[[#This Row],[CzyUczelniaTechniczna]]="Techniczna",1,0)</calculatedColumnFormula>
    </tableColumn>
    <tableColumn id="2" xr3:uid="{94812348-4E7A-4202-A2D3-5963D89B1CEA}" name="Wartości_po1roku"/>
    <tableColumn id="4" xr3:uid="{A0309F08-BA8A-4AFD-8E90-9AE52B0C697D}" name="Wartości_po3latach"/>
    <tableColumn id="8" xr3:uid="{20776582-07A3-420A-AAF7-379EE2120918}" name="Moja satysfakcja z (efektów) usług edukacyjnych ocenianej uczelni jest wysoka."/>
    <tableColumn id="12" xr3:uid="{8CD3C426-8512-41D2-B8E6-AF4635AB70C4}" name="Satysfakcja_wartości" dataDxfId="585">
      <calculatedColumnFormula>VLOOKUP(AbsDoKorelacji[[#This Row],[Moja satysfakcja z (efektów) usług edukacyjnych ocenianej uczelni jest wysoka.]],SkalaLikerta[],2,0)</calculatedColumnFormula>
    </tableColumn>
    <tableColumn id="9" xr3:uid="{0282AB1A-D73B-48F5-A9C1-C8007D8A97D6}" name="Usługi edukacyjne ocenianej uczelni mają wysoką wartość (okazja / szansa rozwoju własnego lub kariery).3"/>
    <tableColumn id="13" xr3:uid="{7681EC3E-54FA-4184-9402-C2ED887EAA09}" name="Wartość usługi_wartość" dataDxfId="584">
      <calculatedColumnFormula>VLOOKUP(AbsDoKorelacji[[#This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399494-397F-486D-8B9E-20F215C4B038}" name="AbsDoKorelacji_Tech" displayName="AbsDoKorelacji_Tech" ref="B813:L866" totalsRowCount="1">
  <autoFilter ref="B813:L865" xr:uid="{88399494-397F-486D-8B9E-20F215C4B038}"/>
  <sortState xmlns:xlrd2="http://schemas.microsoft.com/office/spreadsheetml/2017/richdata2" ref="B814:L865">
    <sortCondition ref="B813:B865"/>
  </sortState>
  <tableColumns count="11">
    <tableColumn id="1" xr3:uid="{63177ED0-BE73-4D17-80DD-B921ED5A7482}" name="CzyUczelniaTechniczna"/>
    <tableColumn id="7" xr3:uid="{16D6EE6F-30AD-4029-9B2D-AF6E3BF76838}" name="Zatrudnienie w 1 roku" totalsRowFunction="sum"/>
    <tableColumn id="3" xr3:uid="{F8E13F56-A6D8-4F6A-9058-36E8B2AB8032}" name="Zatrudnienie w 3 lata" totalsRowFunction="sum"/>
    <tableColumn id="6" xr3:uid="{F4A7A375-B1F7-4E87-9822-F820435F5D7B}" name="W ile miesięcy po ukończeniu studiów uzyskałaś/eś zatrudnienie? Proszę podać liczbę miesięcy lub wpisać inną opcję (np. praca przed ukończeniem studiów; założenie własnej firmy; nie zamierzam pracować)"/>
    <tableColumn id="5" xr3:uid="{A99AB47D-D788-4363-98F9-1538E633D221}" name="CzyTechnicznaWartości" dataDxfId="583">
      <calculatedColumnFormula>IF(AbsDoKorelacji_Tech[[#This Row],[CzyUczelniaTechniczna]]="Techniczna",1,0)</calculatedColumnFormula>
    </tableColumn>
    <tableColumn id="2" xr3:uid="{843E5503-768A-4B88-92C3-816627B72DBE}" name="Wartości_po1roku"/>
    <tableColumn id="4" xr3:uid="{EFE9079A-B439-40BC-8602-BD9F2E69866A}" name="Wartości_po3latach"/>
    <tableColumn id="8" xr3:uid="{96B57122-F314-4562-AE3A-B139763073F5}" name="Moja satysfakcja z (efektów) usług edukacyjnych ocenianej uczelni jest wysoka."/>
    <tableColumn id="12" xr3:uid="{00840644-615C-4F9C-8207-F5C90BE2E27E}" name="Satysfakcja_wartości" dataDxfId="582">
      <calculatedColumnFormula>VLOOKUP(AbsDoKorelacji_Tech[[#This Row],[Moja satysfakcja z (efektów) usług edukacyjnych ocenianej uczelni jest wysoka.]],SkalaLikerta[],2,0)</calculatedColumnFormula>
    </tableColumn>
    <tableColumn id="9" xr3:uid="{41560E6B-CFD8-4792-86DA-D4AD7FBFEDE9}" name="Usługi edukacyjne ocenianej uczelni mają wysoką wartość (okazja / szansa rozwoju własnego lub kariery).3"/>
    <tableColumn id="13" xr3:uid="{B5DA317C-C2E5-477E-BF11-329DD8844893}" name="Wartość usługi_wartość" dataDxfId="581">
      <calculatedColumnFormula>VLOOKUP(AbsDoKorelacji_Tech[[#This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773B9A-7EA8-4A9C-8B5A-91711C049F71}" name="AbsDoKorelacji_NTech" displayName="AbsDoKorelacji_NTech" ref="B882:L951" totalsRowCount="1">
  <autoFilter ref="B882:L950" xr:uid="{05773B9A-7EA8-4A9C-8B5A-91711C049F71}"/>
  <sortState xmlns:xlrd2="http://schemas.microsoft.com/office/spreadsheetml/2017/richdata2" ref="B883:L950">
    <sortCondition ref="B882:B950"/>
  </sortState>
  <tableColumns count="11">
    <tableColumn id="1" xr3:uid="{D2C593D1-EAB4-4992-95AD-C9930892FC33}" name="CzyUczelniaTechniczna"/>
    <tableColumn id="7" xr3:uid="{139F2374-A91B-47C3-8CB1-EE385FA0B77B}" name="Zatrudnienie w 1 roku" totalsRowFunction="sum"/>
    <tableColumn id="3" xr3:uid="{724BC67B-314F-4D03-96FF-CE0B4237574C}" name="Zatrudnienie w 3 lata" totalsRowFunction="sum"/>
    <tableColumn id="6" xr3:uid="{3460E877-006C-407D-94B4-B7B34C6B31EE}" name="W ile miesięcy po ukończeniu studiów uzyskałaś/eś zatrudnienie? Proszę podać liczbę miesięcy lub wpisać inną opcję (np. praca przed ukończeniem studiów; założenie własnej firmy; nie zamierzam pracować)"/>
    <tableColumn id="5" xr3:uid="{072D6497-5770-4A4D-B273-56FC0FEAFCC0}" name="CzyTechnicznaWartości" dataDxfId="580">
      <calculatedColumnFormula>IF(AbsDoKorelacji_NTech[[#This Row],[CzyUczelniaTechniczna]]="Techniczna",1,0)</calculatedColumnFormula>
    </tableColumn>
    <tableColumn id="2" xr3:uid="{689AF08E-1286-402B-9511-2F413313E2FB}" name="Wartości_po1roku"/>
    <tableColumn id="4" xr3:uid="{5672DDFA-7AEA-484D-AFAD-39DDDFDD8F72}" name="Wartości_po3latach"/>
    <tableColumn id="8" xr3:uid="{47B8D4F8-B9A9-485B-8DBA-621A4D231CE5}" name="Moja satysfakcja z (efektów) usług edukacyjnych ocenianej uczelni jest wysoka."/>
    <tableColumn id="12" xr3:uid="{D64ECA4B-F8C9-4D9D-880B-11784DED4A0C}" name="Satysfakcja_wartości" dataDxfId="579">
      <calculatedColumnFormula>VLOOKUP(AbsDoKorelacji_NTech[[#This Row],[Moja satysfakcja z (efektów) usług edukacyjnych ocenianej uczelni jest wysoka.]],SkalaLikerta[],2,0)</calculatedColumnFormula>
    </tableColumn>
    <tableColumn id="9" xr3:uid="{72FB0693-B3FF-4A64-B682-E0C40A2E6F57}" name="Usługi edukacyjne ocenianej uczelni mają wysoką wartość (okazja / szansa rozwoju własnego lub kariery).3"/>
    <tableColumn id="13" xr3:uid="{5F96713E-5250-4A22-B7AB-9543281B336E}" name="Wartość usługi_wartość" dataDxfId="578">
      <calculatedColumnFormula>VLOOKUP(AbsDoKorelacji_NTech[[#This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U136" totalsRowCount="1">
  <autoFilter ref="A2:HU135" xr:uid="{BC01C17C-E729-4430-9A94-BDF77386BAED}"/>
  <sortState xmlns:xlrd2="http://schemas.microsoft.com/office/spreadsheetml/2017/richdata2" ref="A3:HU135">
    <sortCondition ref="BL2:BL135"/>
  </sortState>
  <tableColumns count="229">
    <tableColumn id="1" xr3:uid="{37199E79-F22A-49C0-B1C3-8001D68B6905}" name="Lp."/>
    <tableColumn id="214" xr3:uid="{15F16F1A-B79B-4E98-AC9F-5DC850A3D9F6}" name="ID_zakończone" dataDxfId="551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50">
      <calculatedColumnFormula>COUNTA(P3:HU3)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12" xr3:uid="{E08DF4D6-760C-4F6F-88DE-4E70FE422C2F}" name="Punktacja"/>
    <tableColumn id="13" xr3:uid="{F36C4D29-9392-4A6A-8612-F7EDC98894AA}" name="Czy jesteś osobą pełnoletnią?" totalsRowFunction="custom" totalsRowDxfId="549">
      <totalsRowFormula>COUNTA((P3:P135))</totalsRowFormula>
    </tableColumn>
    <tableColumn id="14" xr3:uid="{A75D7BB0-BDD4-4F9E-BFE1-A35FFDAA2A35}" name="Czy jesteś studentem uczelni wyższej?" totalsRowFunction="custom" dataDxfId="548" totalsRowDxfId="547">
      <totalsRowFormula>COUNTA((Q3:Q135))</totalsRowFormula>
    </tableColumn>
    <tableColumn id="15" xr3:uid="{59EBE606-808E-4993-BA84-2428F0FB2A27}" name="Jak się nazywa uczelnia, na której studiujesz? (proszę o wybranie jednej uczelni podlegającej ocenie)" totalsRowFunction="custom" totalsRowDxfId="546">
      <totalsRowFormula>COUNTA((R3:R135))</totalsRowFormula>
    </tableColumn>
    <tableColumn id="16" xr3:uid="{B883EC52-B4D3-434E-8AFF-6334D1B8C483}" name="Czy studiujesz na kierunku technicznym, tzn. takim, po którym uzyskasz tytuł inżyniera?" totalsRowFunction="custom" totalsRowDxfId="545">
      <totalsRowFormula>COUNTA((S3:S135))</totalsRowFormula>
    </tableColumn>
    <tableColumn id="17" xr3:uid="{C6F68B54-181D-4E6B-90DE-3758AC28643F}" name="Jak się nazywa kierunek, na którym studiujesz?" totalsRowFunction="custom" totalsRowDxfId="544">
      <totalsRowFormula>COUNTA((T3:T135))</totalsRowFormula>
    </tableColumn>
    <tableColumn id="18" xr3:uid="{4009F8D5-0845-4794-BD7B-DEDD90E1035F}" name="Moja satysfakcja z usług edukacyjnych ocenianej uczelni jest wysoka." totalsRowFunction="custom" totalsRowDxfId="543">
      <totalsRowFormula>COUNTA((U3:U135))</totalsRowFormula>
    </tableColumn>
    <tableColumn id="222" xr3:uid="{4792975C-5801-41EA-B0D7-2B851A981D0D}" name="SatysfStudWartość" dataDxfId="542" totalsRowDxfId="541">
      <calculatedColumnFormula>VLOOKUP(AnalizaCzyste[[#This Row],[Moja satysfakcja z usług edukacyjnych ocenianej uczelni jest wysoka.]],SkalaLikerta[],2,0)</calculatedColumnFormula>
    </tableColumn>
    <tableColumn id="19" xr3:uid="{9C33E588-FD6F-4756-A796-19608D8E5787}" name="Usługi edukacyjne ocenianej uczelni mają wysoką wartość (okazja / szansa rozwoju własnego lub kariery)." totalsRowFunction="custom" totalsRowDxfId="540">
      <totalsRowFormula>COUNTA((W3:W135))</totalsRowFormula>
    </tableColumn>
    <tableColumn id="20" xr3:uid="{AD29E10C-3B61-4AC3-9DB6-E5592E85F54D}" name="Kształcenie na ocenianej uczelni ma/będzie miało pozytywny wpływ na zwiększenie moich zarobków." totalsRowFunction="custom" totalsRowDxfId="539">
      <totalsRowFormula>COUNTA((X3:X135))</totalsRowFormula>
    </tableColumn>
    <tableColumn id="21" xr3:uid="{29A03634-DD01-47E7-9082-570B2CBA75AC}" name="Kolumna1" totalsRowFunction="custom" totalsRowDxfId="538">
      <totalsRowFormula>COUNTA((Y3:Y135))</totalsRowFormula>
    </tableColumn>
    <tableColumn id="22" xr3:uid="{E3063293-8C09-4AD3-970A-FC723899E602}" name="w pierwszym roku po ukończeniu studiów : wybierz wartość z listy rozwijanej" totalsRowFunction="custom" totalsRowDxfId="537">
      <totalsRowFormula>COUNTA((Z3:Z135))</totalsRowFormula>
    </tableColumn>
    <tableColumn id="23" xr3:uid="{62967F23-9856-4DFD-AADC-42AC36B2CDB1}" name="w 3 lata po ukończeniu studiów : wybierz wartość z listy rozwijanej" totalsRowFunction="custom" totalsRowDxfId="536">
      <totalsRowFormula>COUNTA((AA3:AA135))</totalsRowFormula>
    </tableColumn>
    <tableColumn id="24" xr3:uid="{574DBE71-FF3A-4DA1-A563-EECF8E03B030}" name="Jakich innych (poza zarobkami) efektów kształcenia na ocenianej uczelni się spodziewasz?" totalsRowFunction="custom" totalsRowDxfId="535">
      <totalsRowFormula>COUNTA((AB3:AB135))</totalsRowFormula>
    </tableColumn>
    <tableColumn id="25" xr3:uid="{70C7E301-ECA2-4DF8-B78C-6550E2B616A1}" name="Jakie elementy lub cechy sprawiały, że Tobie studiowało się dobrze?" totalsRowFunction="custom" totalsRowDxfId="534">
      <totalsRowFormula>COUNTA((AC3:AC135))</totalsRowFormula>
    </tableColumn>
    <tableColumn id="26" xr3:uid="{86CB3A73-27F1-4FCF-B9E3-8D590DC2DB33}" name="Jakie elementy lub cechy sprawiały, że Tobie studiowało się źle?" totalsRowFunction="custom" totalsRowDxfId="533">
      <totalsRowFormula>COUNTA((AD3:AD135))</totalsRowFormula>
    </tableColumn>
    <tableColumn id="27" xr3:uid="{8DCB6BDF-C860-4D73-8953-D14EF0C8F0AA}" name="Jakiego rodzaju są Twoje studia?" totalsRowFunction="custom" totalsRowDxfId="532">
      <totalsRowFormula>COUNTA((AE3:AE135))</totalsRowFormula>
    </tableColumn>
    <tableColumn id="28" xr3:uid="{F292FE47-988D-4A95-932D-2E3B34B7BF0B}" name="Pole dodatkowe" totalsRowFunction="custom" totalsRowDxfId="531">
      <totalsRowFormula>COUNTA((AF3:AF135))</totalsRowFormula>
    </tableColumn>
    <tableColumn id="29" xr3:uid="{4225184D-873A-4CF3-B8D1-575C3D6A2435}" name="Na którym semestrze studiujesz obecnie?" totalsRowFunction="custom" totalsRowDxfId="530">
      <totalsRowFormula>COUNTA((AG3:AG135))</totalsRowFormula>
    </tableColumn>
    <tableColumn id="30" xr3:uid="{41979390-06F4-463C-ADB5-F98E8C311CBA}" name="Czy jesteś absolwentem uczelni wyższej?" totalsRowFunction="custom" dataDxfId="529" totalsRowDxfId="528">
      <totalsRowFormula>COUNTA((AH3:AH135))</totalsRowFormula>
    </tableColumn>
    <tableColumn id="31" xr3:uid="{BBF7434D-D66B-496B-B17B-27248613CC58}" name="Jak się nazywa uczelnia którą ukończyłeś? (proszę o wybranie jednej uczelni podlegającej ocenie)" totalsRowFunction="custom" totalsRowDxfId="527">
      <totalsRowFormula>COUNTA((AI3:AI135))</totalsRowFormula>
    </tableColumn>
    <tableColumn id="216" xr3:uid="{72DEEBC7-088A-46A4-9999-AE96ED74030A}" name="KategoriaUczelni" dataDxfId="526" totalsRowDxfId="525">
      <calculatedColumnFormula>VLOOKUP(AnalizaCzyste[[#This Row],[Jak się nazywa uczelnia którą ukończyłeś? (proszę o wybranie jednej uczelni podlegającej ocenie)]],KategorieUczelni[],2,0)</calculatedColumnFormula>
    </tableColumn>
    <tableColumn id="217" xr3:uid="{8D064DD0-4DCE-4D53-A16A-12CBECF96F77}" name="CzyUczelniaTechniczna" dataDxfId="524" totalsRowDxfId="523">
      <calculatedColumnFormula>VLOOKUP(AnalizaCzyste[[#This Row],[Jak się nazywa uczelnia którą ukończyłeś? (proszę o wybranie jednej uczelni podlegającej ocenie)]],KategorieUczelni[],3,0)</calculatedColumnFormula>
    </tableColumn>
    <tableColumn id="219" xr3:uid="{E0EABD06-D784-4181-8EB2-4C37461B7176}" name="LicznikAbsolwentów" totalsRowFunction="sum" dataDxfId="522" totalsRowDxfId="521">
      <calculatedColumnFormula>COUNTIF(AnalizaCzyste[[#This Row],[Czy jesteś absolwentem uczelni wyższej?]],"*"&amp;"Tak"&amp;"*")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520">
      <totalsRowFormula>COUNTA((AM3:AM135))</totalsRowFormula>
    </tableColumn>
    <tableColumn id="33" xr3:uid="{AE05B081-E180-4E09-9192-4F27CE79F7EB}" name="Czy ukończony kierunek był kierunkiem technicznym, tzn. takim, po którym uzyskałaś/eś tytuł inżyniera?" totalsRowFunction="custom" totalsRowDxfId="519">
      <totalsRowFormula>COUNTA((AN3:AN135))</totalsRowFormula>
    </tableColumn>
    <tableColumn id="34" xr3:uid="{B85DD2EE-D5F2-46D3-9E33-DA992576E185}" name="Jak się nazywa kierunek, który ukończyłaś/eś?" totalsRowFunction="custom" totalsRowDxfId="518">
      <totalsRowFormula>COUNTA((AO3:AO135))</totalsRowFormula>
    </tableColumn>
    <tableColumn id="35" xr3:uid="{4CC44F8F-616F-4095-99F6-60AF14EEC568}" name="Moja satysfakcja z (efektów) usług edukacyjnych ocenianej uczelni jest wysoka." totalsRowFunction="custom" totalsRowDxfId="517">
      <totalsRowFormula>COUNTA((AP3:AP135))</totalsRowFormula>
    </tableColumn>
    <tableColumn id="223" xr3:uid="{8E290C56-759E-4EF2-800B-F5AC9AAB26CF}" name="SatysfAbsolwWart" dataDxfId="516" totalsRowDxfId="515">
      <calculatedColumnFormula>VLOOKUP(AnalizaCzyste[[#This Row],[Moja satysfakcja z (efektów) usług edukacyjnych ocenianej uczelni jest wysoka.]],SkalaLikerta[],2,0)</calculatedColumnFormula>
    </tableColumn>
    <tableColumn id="36" xr3:uid="{1C6D88CF-332B-4752-A729-93BFDD454B5A}" name="Usługi edukacyjne ocenianej uczelni mają wysoką wartość (okazja / szansa rozwoju własnego lub kariery).3" totalsRowFunction="custom" totalsRowDxfId="514">
      <totalsRowFormula>COUNTA((AR3:AR135))</totalsRowFormula>
    </tableColumn>
    <tableColumn id="37" xr3:uid="{44EB38FB-B9C9-46B4-B0FB-9985D53C385D}" name="Kształcenie na ocenianej uczelni ma/miało pozytywny wpływ na zwiększenie moich zarobków." totalsRowFunction="custom" totalsRowDxfId="513">
      <totalsRowFormula>COUNTA((AS3:AS135))</totalsRowFormula>
    </tableColumn>
    <tableColumn id="38" xr3:uid="{34BE9A51-E55F-4AE8-87A0-FBEC63D51E8F}" name="Moje zarobki w pierwszym roku po ukończeniu studiów były satysfakcjonujące." totalsRowFunction="custom" totalsRowDxfId="512">
      <totalsRowFormula>COUNTA((AT3:AT135))</totalsRowFormula>
    </tableColumn>
    <tableColumn id="39" xr3:uid="{4033761C-CB95-4451-B0C4-2ABCB2769F7E}" name="Moje zarobki po 3. latach po ukończeniu studiów były satysfakcjonujące." totalsRowFunction="custom" totalsRowDxfId="511">
      <totalsRowFormula>COUNTA((AU3:AU135))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510">
      <totalsRowFormula>COUNTA((AV3:AV135))</totalsRowFormula>
    </tableColumn>
    <tableColumn id="41" xr3:uid="{25DB6FAA-8A3B-408B-9262-5EDE22E06BA2}" name="w pierwszym roku po ukończeniu studiów : wybierz wartość z listy rozwijanej4" totalsRowFunction="custom" totalsRowDxfId="509">
      <totalsRowFormula>COUNTA((AW3:AW135))</totalsRowFormula>
    </tableColumn>
    <tableColumn id="220" xr3:uid="{54692C01-1A8E-48C6-834D-1A017E52E260}" name="Wartości_po1roku" dataDxfId="508" totalsRowDxfId="507">
      <calculatedColumnFormula>VLOOKUP(AnalizaCzyste[[#This Row],[w pierwszym roku po ukończeniu studiów : wybierz wartość z listy rozwijanej4]],Zarobki[],2,0)</calculatedColumnFormula>
    </tableColumn>
    <tableColumn id="42" xr3:uid="{2B38DFDD-3D06-4B52-B1DB-7F8144FEDBDB}" name="w 3 lata po ukończeniu studiów : wybierz wartość z listy rozwijanej5" totalsRowFunction="custom" totalsRowDxfId="506">
      <totalsRowFormula>COUNTA((AY3:AY135))</totalsRowFormula>
    </tableColumn>
    <tableColumn id="221" xr3:uid="{B0D9CA2D-728F-4121-B4FD-C2576FA19644}" name="Wartości_po3latach" dataDxfId="505" totalsRowDxfId="504">
      <calculatedColumnFormula>VLOOKUP(AnalizaCzyste[[#This Row],[w 3 lata po ukończeniu studiów : wybierz wartość z listy rozwijanej5]],Zarobki[],2,0)</calculatedColumnFormula>
    </tableColumn>
    <tableColumn id="43" xr3:uid="{FBBBF8D2-7A99-41FF-B15C-4A2191C9D8D9}" name="Jakie inne (poza zarobkami) efekty kształcenia na ocenianej uczelni dostrzegasz obecnie?" totalsRowFunction="custom" totalsRowDxfId="503">
      <totalsRowFormula>COUNTA((BA3:BA135))</totalsRowFormula>
    </tableColumn>
    <tableColumn id="44" xr3:uid="{6B48263B-8F26-4FBA-9F9A-424993C5E3ED}" name="Co wpływało na twoją satysfakcję ze studiowania?_x000a_" totalsRowFunction="custom" totalsRowDxfId="502">
      <totalsRowFormula>COUNTA((BB3:BB135))</totalsRowFormula>
    </tableColumn>
    <tableColumn id="45" xr3:uid="{52ED1FC9-CD2D-42A5-B204-567F0483F099}" name="Kolumna6" totalsRowFunction="custom" totalsRowDxfId="501">
      <totalsRowFormula>COUNTA((BC3:BC135))</totalsRowFormula>
    </tableColumn>
    <tableColumn id="46" xr3:uid="{3D74590B-7E93-443E-BE1C-FD99ECE16017}" name="Jakiego rodzaju były Twoje studia?" totalsRowFunction="custom" totalsRowDxfId="500">
      <totalsRowFormula>COUNTA((BD3:BD135))</totalsRowFormula>
    </tableColumn>
    <tableColumn id="47" xr3:uid="{E8CA34F5-D9E4-418D-8BF9-050444C4061E}" name="Pole dodatkowe7" totalsRowFunction="custom" totalsRowDxfId="499">
      <totalsRowFormula>COUNTA((BE3:BE135))</totalsRowFormula>
    </tableColumn>
    <tableColumn id="48" xr3:uid="{A48EA897-6002-486C-94A2-3071DE7EB5AD}" name="Czy jesteś rodzicem / opiekunem absolwenta uczelni wyższej?" totalsRowFunction="custom" dataDxfId="498" totalsRowDxfId="497">
      <totalsRowFormula>COUNTA((BF3:BF135))</totalsRowFormula>
    </tableColumn>
    <tableColumn id="49" xr3:uid="{FEE5A281-6D4B-4D31-93CD-509A968E7773}" name="Uczelnie ilu podopiecznych będziesz oceniać?" totalsRowFunction="custom" totalsRowDxfId="496">
      <totalsRowFormula>COUNTA((BG3:BG135))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95">
      <totalsRowFormula>COUNTA((BH3:BH135))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94">
      <totalsRowFormula>COUNTA((BI3:BI135))</totalsRowFormula>
    </tableColumn>
    <tableColumn id="52" xr3:uid="{2D5E47C8-051A-480B-B96D-83E7709F1700}" name="Czy ukończony kierunek był kierunkiem technicznym, tzn. takim, po którym uzyskano tytuł inżyniera?" totalsRowFunction="custom" totalsRowDxfId="493">
      <totalsRowFormula>COUNTA((BJ3:BJ135))</totalsRowFormula>
    </tableColumn>
    <tableColumn id="53" xr3:uid="{D51D9DD7-878A-415B-B2F8-02F53EBFA22A}" name="Jak się nazywa kierunek, który ukończył/a Twoja/Twój podopieczna/podopieczny?" totalsRowFunction="custom" totalsRowDxfId="492">
      <totalsRowFormula>COUNTA((BK3:BK135))</totalsRowFormula>
    </tableColumn>
    <tableColumn id="54" xr3:uid="{D3DB1C46-F931-4289-86D2-779EC4340002}" name="Moja satysfakcja z (efektów) usług edukacyjnych ocenianej uczelni jest wysoka.8" totalsRowFunction="custom" totalsRowDxfId="491">
      <totalsRowFormula>COUNTA((BL3:BL135))</totalsRowFormula>
    </tableColumn>
    <tableColumn id="229" xr3:uid="{20F32ECE-2750-4BEE-9346-5FCF3ACE3E59}" name="SatysfRodz1Wart" dataDxfId="490" totalsRowDxfId="489">
      <calculatedColumnFormula>VLOOKUP(AnalizaCzyste[[#This Row],[Moja satysfakcja z (efektów) usług edukacyjnych ocenianej uczelni jest wysoka.8]],SkalaLikerta[],2,0)</calculatedColumnFormula>
    </tableColumn>
    <tableColumn id="55" xr3:uid="{FC532F03-86AD-4521-9C9D-42FA860A53FB}" name="Usługi edukacyjne ocenianej uczelni mają wysoką wartość (okazja / szansa rozwoju własnego lub kariery).9" totalsRowFunction="custom" totalsRowDxfId="488">
      <totalsRowFormula>COUNTA((BN3:BN135))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87">
      <totalsRowFormula>COUNTA((BO3:BO135))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86">
      <totalsRowFormula>COUNTA((BP3:BP135))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85">
      <totalsRowFormula>COUNTA((BQ3:BQ135))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84">
      <totalsRowFormula>COUNTA((BR3:BR135))</totalsRowFormula>
    </tableColumn>
    <tableColumn id="60" xr3:uid="{847514F8-F661-4B2D-88BE-10ABFD806894}" name="Jakie inne (poza zarobkami) efekty kształcenia na ocenianej uczelni się dostrzegasz obecnie?" totalsRowFunction="custom" totalsRowDxfId="483">
      <totalsRowFormula>COUNTA((BS3:BS135))</totalsRowFormula>
    </tableColumn>
    <tableColumn id="61" xr3:uid="{8B4485AE-C106-41C7-89AC-D28DBDA4C166}" name="Jakiego rodzaju były studia, które ukończył/a Twoja/Twój podopieczna/podopieczny?" totalsRowFunction="custom" totalsRowDxfId="482">
      <totalsRowFormula>COUNTA((BT3:BT135))</totalsRowFormula>
    </tableColumn>
    <tableColumn id="62" xr3:uid="{F0DE0B1C-928B-4581-8D63-11188CD95233}" name="Pole dodatkowe10" totalsRowFunction="custom" totalsRowDxfId="481">
      <totalsRowFormula>COUNTA((BU3:BU135))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80">
      <totalsRowFormula>COUNTA((BV3:BV135))</totalsRowFormula>
    </tableColumn>
    <tableColumn id="64" xr3:uid="{08619068-F1EA-4298-AAE7-77A34A620074}" name="Czy będziesz oceniał uczelnię ukończoną przez drugiego podopiecznego?" totalsRowFunction="custom" totalsRowDxfId="479">
      <totalsRowFormula>COUNTA((BW3:BW135))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78">
      <totalsRowFormula>COUNTA((BX3:BX135))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77">
      <totalsRowFormula>COUNTA((BY3:BY135))</totalsRowFormula>
    </tableColumn>
    <tableColumn id="67" xr3:uid="{1C6ADC27-9F30-4227-81CE-3C15A0D6C10C}" name="Czy ukończony kierunek był kierunkiem technicznym, tzn. takim, po którym uzyskano tytuł inżyniera?13" totalsRowFunction="custom" totalsRowDxfId="476">
      <totalsRowFormula>COUNTA((BZ3:BZ135))</totalsRowFormula>
    </tableColumn>
    <tableColumn id="68" xr3:uid="{94C8B518-4547-40DD-AC32-B5C834F0511E}" name="Jak się nazywa kierunek, który ukończył/a Twoja/Twój podopieczna/podopieczny?14" totalsRowFunction="custom" totalsRowDxfId="475">
      <totalsRowFormula>COUNTA((CA3:CA135))</totalsRowFormula>
    </tableColumn>
    <tableColumn id="69" xr3:uid="{00BE12AC-CBE0-47D5-8BEF-A62C47DFED23}" name="Moja satysfakcja z (efektów) usług edukacyjnych ocenianej uczelni jest wysoka.15" totalsRowFunction="custom" totalsRowDxfId="474">
      <totalsRowFormula>COUNTA((CB3:CB135))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73">
      <totalsRowFormula>COUNTA((CC3:CC135))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72">
      <totalsRowFormula>COUNTA((CD3:CD135))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71">
      <totalsRowFormula>COUNTA((CE3:CE135))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70">
      <totalsRowFormula>COUNTA((CF3:CF135))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69">
      <totalsRowFormula>COUNTA((CG3:CG135))</totalsRowFormula>
    </tableColumn>
    <tableColumn id="75" xr3:uid="{54EF7743-0CB2-446D-9665-46C77C464F05}" name="Jakie inne (poza zarobkami) efekty kształcenia na ocenianej uczelni się dostrzegasz obecnie?21" totalsRowFunction="custom" totalsRowDxfId="468">
      <totalsRowFormula>COUNTA((CH3:CH135))</totalsRowFormula>
    </tableColumn>
    <tableColumn id="76" xr3:uid="{BE93B27C-1906-4695-BEC1-231FA6883C68}" name="Jakiego rodzaju były studia, które ukończył/a Twoja/Twój podopieczna/podopieczny?22" totalsRowFunction="custom" totalsRowDxfId="467">
      <totalsRowFormula>COUNTA((CI3:CI135))</totalsRowFormula>
    </tableColumn>
    <tableColumn id="77" xr3:uid="{C2670D09-B14E-48CE-8D3B-FD4F08474C2E}" name="Pole dodatkowe23" totalsRowFunction="custom" totalsRowDxfId="466">
      <totalsRowFormula>COUNTA((CJ3:CJ135))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65">
      <totalsRowFormula>COUNTA((CK3:CK135))</totalsRowFormula>
    </tableColumn>
    <tableColumn id="79" xr3:uid="{E97ECC9E-9FF4-4C29-9ADE-07B0EFB1798E}" name="Czy będziesz oceniał uczelnię ukończoną przez trzeciego podopiecznego?" totalsRowFunction="custom" totalsRowDxfId="464">
      <totalsRowFormula>COUNTA((CL3:CL135))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63">
      <totalsRowFormula>COUNTA((CM3:CM135))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62">
      <totalsRowFormula>COUNTA((CN3:CN135))</totalsRowFormula>
    </tableColumn>
    <tableColumn id="82" xr3:uid="{E402E02B-32F9-4918-AC52-1E2746EFF732}" name="Czy ukończony kierunek był kierunkiem technicznym, tzn. takim, po którym uzyskano tytuł inżyniera?27" totalsRowFunction="custom" totalsRowDxfId="461">
      <totalsRowFormula>COUNTA((CO3:CO135))</totalsRowFormula>
    </tableColumn>
    <tableColumn id="83" xr3:uid="{366FF8BB-67D0-4A1D-9E42-1C25C26E69CE}" name="Jak się nazywa kierunek, który ukończył/a Twoja/Twój podopieczna/podopieczny?28" totalsRowFunction="custom" totalsRowDxfId="460">
      <totalsRowFormula>COUNTA((CP3:CP135))</totalsRowFormula>
    </tableColumn>
    <tableColumn id="84" xr3:uid="{32321BD9-57CD-47D0-BD7D-B2AFCC1C3078}" name="Moja satysfakcja z (efektów) usług edukacyjnych ocenianej uczelni jest wysoka.29" totalsRowFunction="custom" totalsRowDxfId="459">
      <totalsRowFormula>COUNTA((CQ3:CQ135))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58">
      <totalsRowFormula>COUNTA((CR3:CR135))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57">
      <totalsRowFormula>COUNTA((CS3:CS135))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56">
      <totalsRowFormula>COUNTA((CT3:CT135))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55">
      <totalsRowFormula>COUNTA((CU3:CU135))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54">
      <totalsRowFormula>COUNTA((CV3:CV135))</totalsRowFormula>
    </tableColumn>
    <tableColumn id="90" xr3:uid="{5F53B8F1-FD09-4B74-AA23-7EDED9615A73}" name="Jakie inne (poza zarobkami) efekty kształcenia na ocenianej uczelni się dostrzegasz obecnie?35" totalsRowFunction="custom" totalsRowDxfId="453">
      <totalsRowFormula>COUNTA((CW3:CW135))</totalsRowFormula>
    </tableColumn>
    <tableColumn id="91" xr3:uid="{0049B607-BD4D-49EA-B5EE-E8E785ACDC34}" name="Jakiego rodzaju były studia, które ukończył/a Twoja/Twój podopieczna/podopieczny?36" totalsRowFunction="custom" totalsRowDxfId="452">
      <totalsRowFormula>COUNTA((CX3:CX135))</totalsRowFormula>
    </tableColumn>
    <tableColumn id="92" xr3:uid="{86B9680A-4D70-4DFA-8189-827F813E4B73}" name="Pole dodatkowe37" totalsRowFunction="custom" totalsRowDxfId="451">
      <totalsRowFormula>COUNTA((CY3:CY135))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50">
      <totalsRowFormula>COUNTA((CZ3:CZ135))</totalsRowFormula>
    </tableColumn>
    <tableColumn id="94" xr3:uid="{BA461F2C-93E1-4AB3-B06B-BCD05B9B9AA2}" name="Czy jesteś aktualnie pracownikiem administracyjnym uczelni wyższej?" totalsRowFunction="custom" dataDxfId="449" totalsRowDxfId="448">
      <totalsRowFormula>COUNTA((DA3:DA135))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224" xr3:uid="{83322D35-12A5-431A-BA06-338ACB344A01}" name="SatysfAdmWart" dataDxfId="447">
      <calculatedColumnFormula>VLOOKUP(AnalizaCzyste[[#This Row],[Moja satysfakcja z pracy na ocenianej uczelni jest wysoka.]],SkalaLikerta[],2,0)</calculatedColumnFormula>
    </tableColumn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46" totalsRowDxfId="445">
      <totalsRowFormula>COUNTA((DL3:DL135))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225" xr3:uid="{68205252-B896-43CF-BD0D-EA764E6F362D}" name="SatysfNaukowWart" dataDxfId="444">
      <calculatedColumnFormula>VLOOKUP(AnalizaCzyste[[#This Row],[Moja satysfakcja z pracy na ocenianej uczelni jest wysoka.42]],SkalaLikerta[],2,0)</calculatedColumnFormula>
    </tableColumn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43" totalsRowDxfId="442">
      <totalsRowFormula>COUNTA((DW3:DW135))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226" xr3:uid="{9C77D889-EFC7-4A38-A687-2FA38F74E4FF}" name="SatysfWłUczelniWart" dataDxfId="441">
      <calculatedColumnFormula>VLOOKUP(AnalizaCzyste[[#This Row],[Ogólny poziom mojej satysfakcji z jakości usług edukacyjnych ocenianej uczelni jest wysoki.]],SkalaLikerta[],2,0)</calculatedColumnFormula>
    </tableColumn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40" totalsRowDxfId="439">
      <totalsRowFormula>COUNTA((FA3:FA135))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227" xr3:uid="{27F0DE3E-FCA0-4FF1-90BF-E7D1AD407700}" name="SatysfPrzedśWart" dataDxfId="438">
      <calculatedColumnFormula>VLOOKUP(AnalizaCzyste[[#This Row],[Moja satysfakcja z (efektów) usług edukacyjnych na ocenianej uczelni jest wysoka.]],SkalaLikerta[],2,0)</calculatedColumnFormula>
    </tableColumn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37" totalsRowDxfId="436">
      <totalsRowFormula>COUNTA((GB3:GB135))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228" xr3:uid="{2AD1A29A-1505-44F4-9E09-5E635A92EE63}" name="SatysfWłSamorzWart" dataDxfId="435">
      <calculatedColumnFormula>VLOOKUP(AnalizaCzyste[[#This Row],[Ogólny poziom mojej satysfakcji z jakości usług edukacyjnych ocenianej uczelni jest wysoki.32]],SkalaLikerta[],2,0)</calculatedColumnFormula>
    </tableColumn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34">
      <totalsRowFormula>COUNTA((HN3:HN135))</totalsRowFormula>
    </tableColumn>
    <tableColumn id="207" xr3:uid="{2B31368C-8BB4-45F5-A368-4A4E1AFFFE2E}" name="Rok urodzenia" totalsRowFunction="custom" totalsRowDxfId="433">
      <totalsRowFormula>COUNTA((HO3:HO135))</totalsRowFormula>
    </tableColumn>
    <tableColumn id="215" xr3:uid="{0DA27BC3-BCA7-4CF6-A54C-77E28EA17827}" name="GrupaWiekowa" dataDxfId="432" totalsRowDxfId="431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30">
      <totalsRowFormula>COUNTA((HQ3:HQ135))</totalsRowFormula>
    </tableColumn>
    <tableColumn id="209" xr3:uid="{40C0F4A2-88CA-4804-AB61-0C883C5C9CF7}" name="Pole dodatkowe52" totalsRowFunction="custom" totalsRowDxfId="429">
      <totalsRowFormula>COUNTA((HR3:HR135))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28">
      <totalsRowFormula>COUNTA((HS3:HS135))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27">
      <totalsRowFormula>COUNTA((HT3:HT135))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26">
      <totalsRowFormula>COUNTA((HU3:HU135))</totalsRow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25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D41" totalsRowShown="0" headerRowDxfId="423">
  <autoFilter ref="B11:D41" xr:uid="{153EF96D-20D3-4BD5-AB25-706F6B338490}"/>
  <sortState xmlns:xlrd2="http://schemas.microsoft.com/office/spreadsheetml/2017/richdata2" ref="B12:D41">
    <sortCondition ref="D11:D41"/>
  </sortState>
  <tableColumns count="3">
    <tableColumn id="1" xr3:uid="{F3934641-58AD-451D-A35B-5D57D7E0E414}" name="Nazwa uczelni" dataDxfId="422"/>
    <tableColumn id="2" xr3:uid="{011F8DAE-7C60-444B-B4A2-78D05A325532}" name="Kategoria uczelni" dataDxfId="421"/>
    <tableColumn id="3" xr3:uid="{9AED412C-BB3C-4A3E-864F-4DCE5647B061}" name="Techniczn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20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19">
      <calculatedColumnFormula>1+6/7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80" totalsRowShown="0" headerRowDxfId="418">
  <autoFilter ref="C56:J180" xr:uid="{5D26DE38-F7A2-4F97-87CE-56F2D813A5B5}"/>
  <tableColumns count="8">
    <tableColumn id="1" xr3:uid="{87EDC6F7-8950-491A-8CAF-CF6610BCA33B}" name="Poziom istotności / _x000a_stopnie swobody" dataDxfId="417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16">
  <autoFilter ref="F44:G51" xr:uid="{0B0D128A-46C3-497C-A070-B19EDC90314A}"/>
  <tableColumns count="2">
    <tableColumn id="1" xr3:uid="{85BFDFE9-FEF0-48BD-8D34-235474A93582}" name="Wartość graniczna" dataDxfId="415"/>
    <tableColumn id="2" xr3:uid="{1807328A-696A-4241-94CB-E1EC739F6F81}" name="Interpretacja średniej" dataDxfId="41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9AAF56-EFCC-40A8-9198-7B267B316F9C}" name="Zarobki" displayName="Zarobki" ref="M161:V174" totalsRowCount="1" headerRowDxfId="413">
  <autoFilter ref="M161:V173" xr:uid="{199AAF56-EFCC-40A8-9198-7B267B316F9C}"/>
  <sortState xmlns:xlrd2="http://schemas.microsoft.com/office/spreadsheetml/2017/richdata2" ref="M162:N171">
    <sortCondition ref="M161:M171"/>
  </sortState>
  <tableColumns count="10">
    <tableColumn id="1" xr3:uid="{EB687191-F0A7-4DC9-91F7-1024BF668984}" name="Kategoria zarobków"/>
    <tableColumn id="2" xr3:uid="{4CBA61DC-80E4-4EC5-A587-5A0CC2917303}" name="Wartość środkowa przedziału"/>
    <tableColumn id="3" xr3:uid="{BA0C0BF5-F8DB-4C64-8330-AB463FA995E2}" name="Absolwenci 1 rok" totalsRowFunction="sum" dataDxfId="412" totalsRowDxfId="411">
      <calculatedColumnFormula>COUNTIF(AnalizaCzyste[w pierwszym roku po ukończeniu studiów : wybierz wartość z listy rozwijanej4],Zarobki[[#This Row],[Kategoria zarobków]])</calculatedColumnFormula>
    </tableColumn>
    <tableColumn id="4" xr3:uid="{80942893-1675-421C-9C3B-98236A584837}" name="Absolwenci 3 lata" totalsRowFunction="sum" dataDxfId="410">
      <calculatedColumnFormula>COUNTIF(AnalizaCzyste[w 3 lata po ukończeniu studiów : wybierz wartość z listy rozwijanej5],Zarobki[[#This Row],[Kategoria zarobków]])</calculatedColumnFormula>
    </tableColumn>
    <tableColumn id="5" xr3:uid="{D6FBB25A-B14F-44D9-989D-8DC5200650CA}" name="Iloczyny 1 rok" totalsRowFunction="sum" dataDxfId="409">
      <calculatedColumnFormula>Zarobki[[#This Row],[Wartość środkowa przedziału]]*Zarobki[[#This Row],[Absolwenci 1 rok]]</calculatedColumnFormula>
    </tableColumn>
    <tableColumn id="6" xr3:uid="{B995C089-C591-4CF7-A82B-228D7451B68E}" name="iloczyny 3 lata" totalsRowFunction="sum" dataDxfId="408">
      <calculatedColumnFormula>Zarobki[[#This Row],[Wartość środkowa przedziału]]*Zarobki[[#This Row],[Absolwenci 3 lata]]</calculatedColumnFormula>
    </tableColumn>
    <tableColumn id="7" xr3:uid="{C7666E82-4332-460C-A38B-11725E5AF397}" name="Abloswenci Techniczna 1 rok" totalsRowFunction="sum" dataDxfId="407">
      <calculatedColumnFormula>SUMIFS(AnalizaCzyste[LicznikAbsolwentów],AnalizaCzyste[w pierwszym roku po ukończeniu studiów : wybierz wartość z listy rozwijanej4],Zarobki[[#This Row],[Kategoria zarobków]],AnalizaCzyste[CzyUczelniaTechniczna],"Techniczna")</calculatedColumnFormula>
    </tableColumn>
    <tableColumn id="8" xr3:uid="{3F11638F-2CEC-4346-ACA6-F6A19FC79290}" name="Absolwenci Nietechniczna 1 rok" totalsRowFunction="sum" dataDxfId="406">
      <calculatedColumnFormula>SUMIFS(AnalizaCzyste[LicznikAbsolwentów],AnalizaCzyste[w pierwszym roku po ukończeniu studiów : wybierz wartość z listy rozwijanej4],Zarobki[[#This Row],[Kategoria zarobków]],AnalizaCzyste[CzyUczelniaTechniczna],"Nietechniczna")</calculatedColumnFormula>
    </tableColumn>
    <tableColumn id="9" xr3:uid="{F61D2F6B-5B4C-4718-8E8F-FC3313574458}" name="Absolwenci Techniczna 3 lata" totalsRowFunction="sum" dataDxfId="405">
      <calculatedColumnFormula>SUMIFS(AnalizaCzyste[LicznikAbsolwentów],AnalizaCzyste[w 3 lata po ukończeniu studiów : wybierz wartość z listy rozwijanej5],Zarobki[[#This Row],[Kategoria zarobków]],AnalizaCzyste[CzyUczelniaTechniczna],"Techniczna")</calculatedColumnFormula>
    </tableColumn>
    <tableColumn id="10" xr3:uid="{7FB42DF2-C0EB-4ECC-9606-7D30C4C12AB9}" name="Absolwenci Nietechniczna 3 lata" totalsRowFunction="sum" dataDxfId="404">
      <calculatedColumnFormula>SUMIFS(AnalizaCzyste[LicznikAbsolwentów],AnalizaCzyste[w 3 lata po ukończeniu studiów : wybierz wartość z listy rozwijanej5],Zarobki[[#This Row],[Kategoria zarobków]],AnalizaCzyste[CzyUczelniaTechniczna],"Nietechniczna")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50" totalsRowDxfId="349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8" totalsRowDxfId="347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46">
      <totalsRowFormula>COUNTA((O3:O159))</totalsRowFormula>
    </tableColumn>
    <tableColumn id="14" xr3:uid="{0BD7A98F-1F10-4FB8-B054-37BDD3B56396}" name="Czy jesteś studentem uczelni wyższej?" totalsRowFunction="custom" dataDxfId="345" totalsRowDxfId="344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43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42">
      <totalsRowFormula>COUNTA((R3:R159))</totalsRowFormula>
    </tableColumn>
    <tableColumn id="17" xr3:uid="{24BCBB34-34C1-4984-962F-C53466F3EF8F}" name="Jak się nazywa kierunek, na którym studiujesz?" totalsRowFunction="custom" totalsRowDxfId="341">
      <totalsRowFormula>COUNTA((S3:S159))</totalsRowFormula>
    </tableColumn>
    <tableColumn id="18" xr3:uid="{9ADB9BCC-C1C9-4FDD-A2DF-FCC26DBEB749}" name="Moja satysfakcja z usług edukacyjnych ocenianej uczelni jest wysoka." totalsRowFunction="custom" totalsRowDxfId="340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9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8">
      <totalsRowFormula>COUNTA((V3:V159))</totalsRowFormula>
    </tableColumn>
    <tableColumn id="21" xr3:uid="{EAC188BA-5A2E-4D44-97B7-481328766AE0}" name="Kolumna1" totalsRowFunction="custom" totalsRowDxfId="337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36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35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34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33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32">
      <totalsRowFormula>COUNTA((AB3:AB159))</totalsRowFormula>
    </tableColumn>
    <tableColumn id="27" xr3:uid="{D0177BE1-4E02-4595-8669-95C494930B5B}" name="Jakiego rodzaju są Twoje studia?" totalsRowFunction="custom" totalsRowDxfId="331">
      <totalsRowFormula>COUNTA((AC3:AC159))</totalsRowFormula>
    </tableColumn>
    <tableColumn id="28" xr3:uid="{3597DDE1-E56A-406C-8EDD-22E18D515174}" name="Pole dodatkowe" totalsRowFunction="custom" totalsRowDxfId="330">
      <totalsRowFormula>COUNTA((AD3:AD159))</totalsRowFormula>
    </tableColumn>
    <tableColumn id="29" xr3:uid="{66ED4699-908F-4DD2-BD11-F0A6AA4499D4}" name="Na którym semestrze studiujesz obecnie?" totalsRowFunction="custom" totalsRowDxfId="329">
      <totalsRowFormula>COUNTA((AE3:AE159))</totalsRowFormula>
    </tableColumn>
    <tableColumn id="30" xr3:uid="{665AE932-5635-468D-B539-28624FF56492}" name="Czy jesteś absolwentem uczelni wyższej?" totalsRowFunction="custom" dataDxfId="328" totalsRowDxfId="327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26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25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24">
      <totalsRowFormula>COUNTA((AI3:AI159))</totalsRowFormula>
    </tableColumn>
    <tableColumn id="34" xr3:uid="{ADAE23AC-8F73-4453-AC5D-FE2116FA8AF9}" name="Jak się nazywa kierunek, który ukończyłaś/eś?" totalsRowFunction="custom" totalsRowDxfId="323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22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21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20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9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8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7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16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15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14">
      <totalsRowFormula>COUNTA((AS3:AS159))</totalsRowFormula>
    </tableColumn>
    <tableColumn id="44" xr3:uid="{C9AA4BEA-8991-4F56-A7E1-DA0762C2B486}" name="Co wpływało na twoją satysfakcję ze studiowania?_x000a_" totalsRowFunction="custom" totalsRowDxfId="313">
      <totalsRowFormula>COUNTA((AT3:AT159))</totalsRowFormula>
    </tableColumn>
    <tableColumn id="45" xr3:uid="{00A5350A-103D-4E86-99F7-01E1F081E96E}" name="Kolumna6" totalsRowFunction="custom" totalsRowDxfId="312">
      <totalsRowFormula>COUNTA((AU3:AU159))</totalsRowFormula>
    </tableColumn>
    <tableColumn id="46" xr3:uid="{AB30AA0A-ADAF-4A76-852B-9C6171DBA36D}" name="Jakiego rodzaju były Twoje studia?" totalsRowFunction="custom" totalsRowDxfId="311">
      <totalsRowFormula>COUNTA((AV3:AV159))</totalsRowFormula>
    </tableColumn>
    <tableColumn id="47" xr3:uid="{156EF4B8-4A3F-4406-9CDE-324D32F939BA}" name="Pole dodatkowe7" totalsRowFunction="custom" totalsRowDxfId="310">
      <totalsRowFormula>COUNTA((AW3:AW159))</totalsRowFormula>
    </tableColumn>
    <tableColumn id="48" xr3:uid="{085D3107-411D-41F8-A270-88DCB1EAF46B}" name="Czy jesteś rodzicem / opiekunem absolwenta uczelni wyższej?" totalsRowFunction="custom" dataDxfId="309" totalsRowDxfId="308">
      <totalsRowFormula>COUNTA((AX3:AX159))</totalsRowFormula>
    </tableColumn>
    <tableColumn id="49" xr3:uid="{373F08C1-1889-416C-AADD-9D721E98EE00}" name="Uczelnie ilu podopiecznych będziesz oceniać?" totalsRowFunction="custom" totalsRowDxfId="307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06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05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04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03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02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01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00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9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8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7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96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95">
      <totalsRowFormula>COUNTA((BK3:BK159))</totalsRowFormula>
    </tableColumn>
    <tableColumn id="62" xr3:uid="{D7A10314-D8C8-4D47-9939-D597680A8D89}" name="Pole dodatkowe10" totalsRowFunction="custom" totalsRowDxfId="294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93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92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91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90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9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8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7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86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85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84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83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82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81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80">
      <totalsRowFormula>COUNTA((BZ3:BZ159))</totalsRowFormula>
    </tableColumn>
    <tableColumn id="77" xr3:uid="{6FCF6001-0320-49B2-98E4-DBE8BE04E809}" name="Pole dodatkowe23" totalsRowFunction="custom" totalsRowDxfId="279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8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7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76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75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74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73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72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71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70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9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8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7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66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65">
      <totalsRowFormula>COUNTA((CO3:CO159))</totalsRowFormula>
    </tableColumn>
    <tableColumn id="92" xr3:uid="{D87D6F17-9A18-4BD2-82A2-E153AE86B37C}" name="Pole dodatkowe37" totalsRowFunction="custom" totalsRowDxfId="264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63">
      <totalsRowFormula>COUNTA((CQ3:CQ159))</totalsRowFormula>
    </tableColumn>
    <tableColumn id="94" xr3:uid="{E7DDA408-1945-4BDE-9B5A-12AAC3E05194}" name="Czy jesteś aktualnie pracownikiem administracyjnym uczelni wyższej?" totalsRowFunction="custom" dataDxfId="262" totalsRowDxfId="261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60"/>
    <tableColumn id="96" xr3:uid="{F959B9F3-C53C-4C63-A092-AF4A70D45B06}" name="Na jakim wydziale pracujesz?" totalsRowDxfId="259"/>
    <tableColumn id="97" xr3:uid="{19273B31-1872-4994-B739-304F1E7FBD34}" name="Moja satysfakcja z pracy na ocenianej uczelni jest wysoka." totalsRowDxfId="258"/>
    <tableColumn id="98" xr3:uid="{EE7C1371-E788-4978-B01E-B5870F3E97D1}" name="Atmosfera w zespole współpracowników jest dobra." totalsRowDxfId="257"/>
    <tableColumn id="99" xr3:uid="{04B25BDB-5FFA-42B5-AEBA-FC863BEDBC77}" name="Moje zarobki są satysfakcjonujące." totalsRowDxfId="256"/>
    <tableColumn id="100" xr3:uid="{DAD2DC5B-8DF9-49D3-A852-672969268131}" name="Praca na ocenianej uczelni daje mi duże szanse rozwoju." totalsRowDxfId="255"/>
    <tableColumn id="101" xr3:uid="{27C35901-3DF8-4B77-BEB2-58D43C8B6871}" name="Wartość wykształcenia zdobywanego przez studentów ocenianej uczelni jest wysoka." totalsRowDxfId="254"/>
    <tableColumn id="102" xr3:uid="{4669105C-8E5E-4FD6-97C5-3F5E1BE9CAE4}" name="Zdobyte na ocenianej uczelni wykształcenie ma pozytywny wpływ na zwiększenie zarobków absolwentów." totalsRowDxfId="253"/>
    <tableColumn id="103" xr3:uid="{C2B9909A-91DF-4FB2-B673-AACC920851EA}" name="Jakie inne (poza zarobkami) efekty kształcenia na ocenianej uczelni się dostrzegasz obecnie?39" totalsRowDxfId="252"/>
    <tableColumn id="104" xr3:uid="{1F0E0013-CC4E-4656-BDA5-9028148E569A}" name="Czy jesteś aktualnie pracownikiem naukowym lub dydaktycznym uczelni wyższej?" totalsRowFunction="custom" dataDxfId="251" totalsRowDxfId="250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9"/>
    <tableColumn id="106" xr3:uid="{FAD00E10-66DF-401D-8721-330410755C4C}" name="Na jakim wydziale pracujesz?41" totalsRowDxfId="248"/>
    <tableColumn id="107" xr3:uid="{3ED79AD9-3A2A-4796-A7F7-27B53055A7C5}" name="Moja satysfakcja z pracy na ocenianej uczelni jest wysoka.42" totalsRowDxfId="247"/>
    <tableColumn id="108" xr3:uid="{88F3FD29-277A-4D3B-9F35-812F832A00F4}" name="Atmosfera w zespole współpracowników jest dobra.43" totalsRowDxfId="246"/>
    <tableColumn id="109" xr3:uid="{DC511D2A-6FF2-4B52-B52A-324E6688C5E0}" name="Moje zarobki są satysfakcjonujące.44" totalsRowDxfId="245"/>
    <tableColumn id="110" xr3:uid="{3C031862-BB50-46FB-A01C-928A7B955B19}" name="Praca na ocenianej uczelni daje mi duże szanse rozwoju.45" totalsRowDxfId="244"/>
    <tableColumn id="111" xr3:uid="{26178753-38CF-4749-A317-A1E5F425DF12}" name="Wartość wykształcenia zdobywanego przez studentów ocenianej uczelni jest wysoka.46" totalsRowDxfId="243"/>
    <tableColumn id="112" xr3:uid="{889B113B-59F9-4196-9536-C41274799622}" name="Zdobyte na ocenianej uczelni wykształcenie ma pozytywny wpływ na zwiększenie zarobków absolwentów.47" totalsRowDxfId="242"/>
    <tableColumn id="113" xr3:uid="{018446A9-87AE-432A-96CE-C29A37692C27}" name="Jakie inne (poza zarobkami) efekty kształcenia na ocenianej uczelni dostrzegasz obecnie?48" totalsRowDxfId="241"/>
    <tableColumn id="114" xr3:uid="{D11A2879-2C85-42C1-9C08-4BA4A9592DB0}" name="Czy jesteś przedstawicielem władz uczelni z grupy rektorów, prorektorów, dziekanów, prodziekanów, członków senatu lub członków rady uczelni?" totalsRowFunction="custom" dataDxfId="240" totalsRowDxfId="239">
      <totalsRowFormula>COUNTA((DL3:DL159))</totalsRowFormula>
    </tableColumn>
    <tableColumn id="115" xr3:uid="{758B3CD0-0C56-4596-8D61-D90700A05DA1}" name="Proszę podać pełnioną funkcję" totalsRowDxfId="238"/>
    <tableColumn id="116" xr3:uid="{E904AED4-A38D-42EF-9D38-709BB163A619}" name="Kolumna3" totalsRowDxfId="237"/>
    <tableColumn id="117" xr3:uid="{AF0D4680-ECCA-4738-825E-AB146FC0FF8F}" name="Kolumna4" totalsRowDxfId="236"/>
    <tableColumn id="118" xr3:uid="{65A15536-DE99-4D16-A20B-206F127C5BFB}" name="Kolumna5" totalsRowDxfId="235"/>
    <tableColumn id="119" xr3:uid="{E05782FB-7FE9-42ED-94C4-B7F653167A0F}" name="Jak się nazywa uczelnia którą będziesz oceniać (jako przedstawiciel jej władz)?" totalsRowDxfId="234"/>
    <tableColumn id="120" xr3:uid="{1B7FA187-1663-4FBF-A3C5-EA8D6A053A25}" name="Efekty działań ocenianej uczelni na rzesz jakości edukacji są dobre" totalsRowDxfId="233"/>
    <tableColumn id="121" xr3:uid="{8A6C2138-0511-4784-9BCB-D7F056FD5756}" name="Wartość wykształcenia zdobywanego przez studentów na ocenianej uczelni jest wysoka." totalsRowDxfId="232"/>
    <tableColumn id="122" xr3:uid="{33664698-CEF8-4115-B63B-828882A6D501}" name="Zdobyte przez studentów ocenianej uczelni wykształcenie miało/ma pozytywny wpływ na ich zarobki." totalsRowDxfId="231"/>
    <tableColumn id="123" xr3:uid="{6548C317-5775-47D8-8BB5-03CE96ABFB2C}" name="Efekty działań ocenianej uczelni na rzecz jakości edukacji mają dobry wpływ na rozwój regionu." totalsRowDxfId="230"/>
    <tableColumn id="124" xr3:uid="{04271A5C-5560-4CF8-90D9-89BA9B015FBC}" name="Efekty działań ocenianej uczelni na rzecz jakości edukacji mają dobry wpływ na rozwój Polski." totalsRowDxfId="229"/>
    <tableColumn id="125" xr3:uid="{123DE0DC-02B2-4F9B-BEEB-704DB06821EE}" name="Współpraca ocenianej uczelni z biznesem ma pozytywne efekty dla rozwoju regionu / kraju." totalsRowDxfId="228"/>
    <tableColumn id="126" xr3:uid="{A0DF07F0-161A-4193-A1E6-2065A1C8B63E}" name="Ogólny poziom mojej satysfakcji z jakości usług edukacyjnych ocenianej uczelni jest wysoki." totalsRowDxfId="227"/>
    <tableColumn id="127" xr3:uid="{78D52D23-A055-4089-AEA3-0D0030CEAC4A}" name="Studenci : wybierz wartość z listy rozwijanej" totalsRowDxfId="226"/>
    <tableColumn id="128" xr3:uid="{3C88D815-7B36-4940-B457-1D4916A18A9A}" name="Absolwenci : wybierz wartość z listy rozwijanej" totalsRowDxfId="225"/>
    <tableColumn id="129" xr3:uid="{B7AADA93-8D0B-47F3-BCD2-912D3D3EFF96}" name="Rodzice absolwentów : wybierz wartość z listy rozwijanej" totalsRowDxfId="224"/>
    <tableColumn id="130" xr3:uid="{2419B54D-E941-464A-ABB8-3A728F2F5596}" name="Pracownicy administracyjni : wybierz wartość z listy rozwijanej" totalsRowDxfId="223"/>
    <tableColumn id="131" xr3:uid="{BAB27B7B-2698-4085-8E82-FA14AF164B29}" name="Pracownicy naukowi i dydaktyczni : wybierz wartość z listy rozwijanej" totalsRowDxfId="222"/>
    <tableColumn id="132" xr3:uid="{6A6F970F-B3EB-4E50-9DE6-C8C4C7CAA18A}" name="Pracodawcy : wybierz wartość z listy rozwijanej" totalsRowDxfId="221"/>
    <tableColumn id="133" xr3:uid="{09A6A719-E450-4AC4-8182-90B1F383E84C}" name="Władze samorządowe i centralne : wybierz wartość z listy rozwijanej" totalsRowDxfId="220"/>
    <tableColumn id="134" xr3:uid="{2E207BF2-E2F1-4F2B-9DAE-D3B78D867559}" name="Pole dodatkowe4" totalsRowDxfId="219"/>
    <tableColumn id="135" xr3:uid="{EEB77D73-5571-4E17-8266-02BB1710B8F0}" name="Studenci : wybierz wartość z listy rozwijanej5" totalsRowDxfId="218"/>
    <tableColumn id="136" xr3:uid="{81EA592A-292B-42BA-AA88-85A430ABBA5B}" name="Absolwenci : wybierz wartość z listy rozwijanej6" totalsRowDxfId="217"/>
    <tableColumn id="137" xr3:uid="{AC693E91-1370-42E2-8C6B-A2DEAEDAD6D8}" name="Rodzice absolwentów : wybierz wartość z listy rozwijanej7" totalsRowDxfId="216"/>
    <tableColumn id="138" xr3:uid="{C972A3A6-50AF-4CF0-9221-51F3F1B825B5}" name="Pracownicy administracyjni : wybierz wartość z listy rozwijanej8" totalsRowDxfId="215"/>
    <tableColumn id="139" xr3:uid="{8A17F47D-C5DA-4436-9144-E5A1DC2CE401}" name="Pracownicy naukowi i dydaktyczni : wybierz wartość z listy rozwijanej9" totalsRowDxfId="214"/>
    <tableColumn id="140" xr3:uid="{9C9F0784-2723-4BBD-AE36-08FD5221319D}" name="Pracodawcy : wybierz wartość z listy rozwijanej10" totalsRowDxfId="213"/>
    <tableColumn id="141" xr3:uid="{AAE33EE1-D3BE-432C-9A2D-5D55BE9F26EC}" name="Władze samorządowe i centralne : wybierz wartość z listy rozwijanej11" totalsRowDxfId="212"/>
    <tableColumn id="142" xr3:uid="{C7BCF657-B75F-43D7-A19C-E0A38F71C79A}" name="Pole dodatkowe12" totalsRowDxfId="211"/>
    <tableColumn id="143" xr3:uid="{027BA0BD-D7CE-4B61-BD34-CD9336762A59}" name="Czy jesteś przedstawicielem firmy, w której są zatrudniani absolwenci uczelni wyższych (tytuł licencjata, magistra lub wyższy)?" totalsRowFunction="custom" dataDxfId="210" totalsRowDxfId="209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8"/>
    <tableColumn id="145" xr3:uid="{A9C11981-CE44-482B-9485-624EB4CFA91B}" name="Ile uczelni będziesz oceniać?" totalsRowDxfId="207"/>
    <tableColumn id="146" xr3:uid="{822F037D-C81E-4AA1-A477-75B7599C4C4E}" name="Jak się nazywa uczelnia, którą ocenisz? " totalsRowDxfId="206"/>
    <tableColumn id="147" xr3:uid="{B879E027-4001-4F17-98A9-1FF6DD06C0F9}" name="Moja satysfakcja z (efektów) usług edukacyjnych na ocenianej uczelni jest wysoka." totalsRowDxfId="205"/>
    <tableColumn id="148" xr3:uid="{887E2640-884A-454A-B596-856E217BE2DD}" name="Kompetencje absolwentów ocenianej uczelni są wysokie." totalsRowDxfId="204"/>
    <tableColumn id="149" xr3:uid="{478F5E65-AE32-4F52-99FA-3830D9323C3C}" name="Zarobki absolwentów ocenianej uczelni zatrudnionych w mojej firmie są wyższe od zarobków absolwentów innych polskich uczelni." totalsRowDxfId="203"/>
    <tableColumn id="150" xr3:uid="{E5D4AD52-FA66-4019-983E-25DC2AF5A5A8}" name="Czy w Twojej firmie są zatrudniani absolwenci uczelni w pierwszym roku po ukończeniu studiów (do 12 miesięcy od uzyskania dyplomu)?" totalsRowDxfId="202"/>
    <tableColumn id="151" xr3:uid="{FDC480C9-E39B-4D41-9995-A191329D3555}" name="Jakie kompetencje absolwentów ocenianej uczelni są w Twojej firmie najwyżej wyceniane?" totalsRowDxfId="201"/>
    <tableColumn id="152" xr3:uid="{558E6650-0292-450C-9D81-46BC7B7FA1C9}" name="Jakiego rodzaju prace wykonują absolwenci ocenianej uczelni w Twojej firmie?" totalsRowDxfId="200"/>
    <tableColumn id="153" xr3:uid="{9E8CE1F9-05B3-4737-AC9A-FAE812FD292C}" name="Czy będziesz oceniał drugą uczelnię?" totalsRowDxfId="199"/>
    <tableColumn id="154" xr3:uid="{CEB66B10-0E60-4952-A1B0-1E5C8784E791}" name="Jak się nazywa uczelnia, którą ocenisz? 13" totalsRowDxfId="198"/>
    <tableColumn id="155" xr3:uid="{2864E703-440A-477E-8352-68DEA39F85CD}" name="Moja satysfakcja z (efektów) usług edukacyjnych na ocenianej uczelni jest wysoka.14" totalsRowDxfId="197"/>
    <tableColumn id="156" xr3:uid="{B38513D8-CC85-41E0-85A1-82AC6807323C}" name="Kompetencje absolwentów ocenianej uczelni są wysokie.15" totalsRowDxfId="196"/>
    <tableColumn id="157" xr3:uid="{204ADF47-FBCC-47A6-95D9-5D3E03854768}" name="Zarobki absolwentów ocenianej uczelni zatrudnionych w mojej firmie są wyższe od zarobków absolwentów innych polskich uczelni.16" totalsRowDxfId="195"/>
    <tableColumn id="158" xr3:uid="{7E6A13F3-C53A-4FC9-B3AE-9EA25D9CBCE6}" name="Czy w Twojej firmie są zatrudniani absolwenci uczelni w pierwszym roku po ukończeniu studiów (do 12 miesięcy od uzyskania dyplomu)?17" totalsRowDxfId="194"/>
    <tableColumn id="159" xr3:uid="{83E7A1CC-295A-477E-8CD0-1E43143ACFF6}" name="Jakie kompetencje absolwentów ocenianej uczelni są w Twojej firmie najwyżej wyceniane?18" totalsRowDxfId="193"/>
    <tableColumn id="160" xr3:uid="{C3F49389-F342-4110-8A16-536B6EC87EC2}" name="Jakiego rodzaju prace wykonują absolwenci ocenianej uczelni w Twojej firmie?19" totalsRowDxfId="192"/>
    <tableColumn id="161" xr3:uid="{2BBFB49D-5EDF-4AC5-9179-70BCC6FA0B96}" name="Czy będziesz oceniał trzecią uczelnię techniczną?" totalsRowDxfId="191"/>
    <tableColumn id="162" xr3:uid="{829F7D1E-D133-43C4-A756-6D0B7542D44F}" name="Jak się nazywa uczelnia, którą ocenisz? 20" totalsRowDxfId="190"/>
    <tableColumn id="163" xr3:uid="{8758E395-9800-4CA8-BF43-3BFBF9507549}" name="Moja satysfakcja z (efektów) usług edukacyjnych na ocenianej uczelni jest wysoka.21" totalsRowDxfId="189"/>
    <tableColumn id="164" xr3:uid="{14ABF48C-A9EC-4153-B011-421959501B3A}" name="Kompetencje absolwentów ocenianej uczelni są wysokie.22" totalsRowDxfId="188"/>
    <tableColumn id="165" xr3:uid="{E8A014C5-F146-4C5D-B50B-6E968A7F8B46}" name="Zarobki absolwentów ocenianej uczelni zatrudnionych w mojej firmie są wyższe od zarobków absolwentów innych polskich uczelni.23" totalsRowDxfId="187"/>
    <tableColumn id="166" xr3:uid="{1FF6D355-AF16-4EB9-8805-4741E5F2867E}" name="Czy w Twojej firmie są zatrudniani absolwenci uczelni w pierwszym roku po ukończeniu studiów (do 12 miesięcy od uzyskania dyplomu)?24" totalsRowDxfId="186"/>
    <tableColumn id="167" xr3:uid="{71809E9D-42EC-47FD-9E58-0596DB8FD07D}" name="Jakie kompetencje absolwentów ocenianej uczelni są w Twojej firmie najwyżej wyceniane?25" totalsRowDxfId="185"/>
    <tableColumn id="168" xr3:uid="{6CA2A8B4-3095-459E-BDF0-43522EA7E403}" name="Jakiego rodzaju prace wykonują absolwenci ocenianej uczelni są w Twojej firmie?" totalsRowDxfId="184"/>
    <tableColumn id="169" xr3:uid="{6AEC3D33-E058-4E5E-AEC6-C091FCB970C9}" name="Czy jesteś przedstawicielem władz samorządowych lub centralnych Rzeczypospolitej Polskiej?" totalsRowFunction="custom" dataDxfId="183" totalsRowDxfId="182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81">
      <totalsRowFormula>COUNTA((GZ3:GZ159))</totalsRowFormula>
    </tableColumn>
    <tableColumn id="207" xr3:uid="{17374C0D-5C50-4F2D-9998-48F1A5105C49}" name="Rok urodzenia" totalsRowFunction="custom" totalsRowDxfId="180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9">
      <totalsRowFormula>COUNTA((HB3:HB159))</totalsRowFormula>
    </tableColumn>
    <tableColumn id="209" xr3:uid="{12CD2E72-E534-4809-A75E-AF29F5F5F088}" name="Pole dodatkowe52" totalsRowFunction="custom" totalsRowDxfId="178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7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76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75">
      <totalsRowFormula>COUNTA((HF3:HF159))</totalsRow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74" totalsRowDxfId="173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72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71" totalsRowDxfId="170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9"/>
    <tableColumn id="16" xr3:uid="{AA3DBEFA-9D73-475E-A9A5-2D42522C9072}" name="Czy studiujesz na kierunku technicznym, tzn. takim, po którym uzyskasz tytuł inżyniera?" totalsRowDxfId="168"/>
    <tableColumn id="17" xr3:uid="{8AAAEBAF-D354-47D3-8A57-BF9F06131A1E}" name="Jak się nazywa kierunek, na którym studiujesz?" totalsRowDxfId="167"/>
    <tableColumn id="18" xr3:uid="{CD9C7D41-ABD7-4C41-89ED-89A659BAC655}" name="Moja satysfakcja z usług edukacyjnych ocenianej uczelni jest wysoka." totalsRowDxfId="166"/>
    <tableColumn id="19" xr3:uid="{31FED63E-2530-44F3-A0E2-6B96989E02A8}" name="Usługi edukacyjne ocenianej uczelni mają wysoką wartość (okazja / szansa rozwoju własnego lub kariery)." totalsRowDxfId="165"/>
    <tableColumn id="20" xr3:uid="{378DDC9B-58A3-4DE4-A300-A19FD721A037}" name="Kształcenie na ocenianej uczelni ma/będzie miało pozytywny wpływ na zwiększenie moich zarobków." totalsRowDxfId="164"/>
    <tableColumn id="21" xr3:uid="{C6A24480-7451-49D9-8645-BC69D7F99331}" name="Kolumna1" totalsRowDxfId="163"/>
    <tableColumn id="22" xr3:uid="{D80E567D-CCDD-4B11-B18B-072D893C7687}" name="w pierwszym roku po ukończeniu studiów : wybierz wartość z listy rozwijanej" totalsRowDxfId="162"/>
    <tableColumn id="23" xr3:uid="{CF51D676-6C20-46B0-A565-D78CD8D4C947}" name="w 3 lata po ukończeniu studiów : wybierz wartość z listy rozwijanej" totalsRowDxfId="161"/>
    <tableColumn id="24" xr3:uid="{0F1B2099-4D7F-463D-AC59-617503BC5E14}" name="Jakich innych (poza zarobkami) efektów kształcenia na ocenianej uczelni się spodziewasz?" totalsRowDxfId="160"/>
    <tableColumn id="25" xr3:uid="{35D57207-52B7-455E-A9ED-A6AD95338EC7}" name="Co wpływa na Twoją satysfakcję ze studiowania?" totalsRowDxfId="159"/>
    <tableColumn id="26" xr3:uid="{CAD83457-32FA-404F-A708-C1B3C759AC6E}" name="Kolumna2" totalsRowDxfId="158"/>
    <tableColumn id="27" xr3:uid="{ADC35906-6D65-48D1-81AC-C4B4957B05D5}" name="Jakiego rodzaju są Twoje studia?" totalsRowDxfId="157"/>
    <tableColumn id="28" xr3:uid="{E068B642-DF74-4CAA-A88E-B517DC5FC386}" name="Pole dodatkowe" totalsRowDxfId="156"/>
    <tableColumn id="29" xr3:uid="{38F90488-07A7-4B7C-882D-784B03584081}" name="Na którym semestrze studiujesz obecnie?" totalsRowDxfId="155"/>
    <tableColumn id="30" xr3:uid="{5A578F2D-0AA4-4797-8F97-B23C8F9552C7}" name="Czy jesteś absolwentem uczelni wyższej?" totalsRowFunction="custom" dataDxfId="154" totalsRowDxfId="153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52"/>
    <tableColumn id="32" xr3:uid="{E591DDF7-3A8B-45B3-9972-7C4BB854C0A9}" name="W którym roku ukończyłaś/eś studia (rok w którym uzyskano dyplom ukończenia studiów drugiego stopnia, albo pierwszego stopnia, jeśli nie uzyskano dyplomu 2. stopnia)?" totalsRowDxfId="151"/>
    <tableColumn id="33" xr3:uid="{B826B930-988D-4AF8-9D52-5EF6AF6A7F20}" name="Czy ukończony kierunek był kierunkiem technicznym, tzn. takim, po którym uzyskałaś/eś tytuł inżyniera?" totalsRowDxfId="150"/>
    <tableColumn id="34" xr3:uid="{0507FF43-58D2-4683-81A2-9CE2C2FA5844}" name="Jak się nazywa kierunek, który ukończyłaś/eś?" totalsRowDxfId="149"/>
    <tableColumn id="35" xr3:uid="{AC65CB7E-A5EF-4C79-B96D-EA85400721B9}" name="Moja satysfakcja z (efektów) usług edukacyjnych ocenianej uczelni jest wysoka." totalsRowDxfId="148"/>
    <tableColumn id="36" xr3:uid="{36BB94DA-A6A2-46AA-A0C4-3AAE4ADCC084}" name="Usługi edukacyjne ocenianej uczelni mają wysoką wartość (okazja / szansa rozwoju własnego lub kariery).3" totalsRowDxfId="147"/>
    <tableColumn id="37" xr3:uid="{46DF242C-10FA-47FE-BC6B-045B295812CA}" name="Kształcenie na ocenianej uczelni ma/miało pozytywny wpływ na zwiększenie moich zarobków." totalsRowDxfId="146"/>
    <tableColumn id="38" xr3:uid="{22DB960F-1A91-4EB9-90EA-0C8BB104EBCF}" name="Moje zarobki w pierwszym roku po ukończeniu studiów były satysfakcjonujące." totalsRowDxfId="145"/>
    <tableColumn id="39" xr3:uid="{1AC1C2EA-FD9C-42F6-8732-E88F90068CC4}" name="Moje zarobki po 3. latach po ukończeniu studiów były satysfakcjonujące." totalsRowDxfId="144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43"/>
    <tableColumn id="41" xr3:uid="{53D325CD-E5E6-4C9E-81B0-775315EF4E8E}" name="w pierwszym roku po ukończeniu studiów : wybierz wartość z listy rozwijanej4" totalsRowDxfId="142"/>
    <tableColumn id="42" xr3:uid="{A6B799C8-D5F2-4C68-B71E-F83C3A6075B7}" name="w 3 lata po ukończeniu studiów : wybierz wartość z listy rozwijanej5" totalsRowDxfId="141"/>
    <tableColumn id="43" xr3:uid="{BC589F24-9BD1-4C2F-9397-D51311E5EC39}" name="Jakie inne (poza zarobkami) efekty kształcenia na ocenianej uczelni dostrzegasz obecnie?" totalsRowDxfId="140"/>
    <tableColumn id="44" xr3:uid="{A11C2A67-EC51-4621-92CF-198235F6DDC5}" name="Co wpływało na twoją satysfakcję ze studiowania?_x000a_" totalsRowDxfId="139"/>
    <tableColumn id="45" xr3:uid="{D388932F-1A0A-4689-AB91-4A4F282D3CA9}" name="Kolumna6" totalsRowDxfId="138"/>
    <tableColumn id="46" xr3:uid="{F488CAF2-B800-439E-8332-DDBED1146AB6}" name="Jakiego rodzaju były Twoje studia?" totalsRowDxfId="137"/>
    <tableColumn id="47" xr3:uid="{00FDD7E1-EBD3-4653-98C4-D74FA980AF99}" name="Pole dodatkowe7" totalsRowDxfId="136"/>
    <tableColumn id="48" xr3:uid="{E33AE7B1-7892-48E4-9DBC-AE5EF9034B4E}" name="Czy jesteś rodzicem / opiekunem absolwenta uczelni wyższej?" totalsRowFunction="custom" dataDxfId="135" totalsRowDxfId="134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33"/>
    <tableColumn id="50" xr3:uid="{6BB0F22F-B640-446D-B936-91DFADFA81F1}" name="Jak się nazywa uczelnia, którą ukończył/a Twoja/Twój podopieczna/podopieczny? (proszę o wybranie jednej uczelni podlegającej ocenie)" totalsRowDxfId="132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31"/>
    <tableColumn id="52" xr3:uid="{26244E73-3F31-4ED7-99CC-718C75773980}" name="Czy ukończony kierunek był kierunkiem technicznym, tzn. takim, po którym uzyskano tytuł inżyniera?" totalsRowDxfId="130"/>
    <tableColumn id="53" xr3:uid="{F00033CF-BE1C-4649-B99E-A3FC496AF05C}" name="Jak się nazywa kierunek, który ukończył/a Twoja/Twój podopieczna/podopieczny?" totalsRowDxfId="129"/>
    <tableColumn id="54" xr3:uid="{8AE8E0B0-E59A-4253-8E89-6503DDEE44E9}" name="Moja satysfakcja z (efektów) usług edukacyjnych ocenianej uczelni jest wysoka.8" totalsRowDxfId="128"/>
    <tableColumn id="55" xr3:uid="{D72C8628-4CEE-4A6D-BD58-0114E59C605E}" name="Usługi edukacyjne ocenianej uczelni mają wysoką wartość (okazja / szansa rozwoju własnego lub kariery).9" totalsRowDxfId="127"/>
    <tableColumn id="56" xr3:uid="{53B5753F-3212-43BB-931D-3559FF6976DF}" name="Kształcenie na ocenianej uczelni ma/będzie miało pozytywny wpływ na zwiększenie zarobków mojej/mojego podopiecznej/podopiecznego." totalsRowDxfId="126"/>
    <tableColumn id="57" xr3:uid="{A9563BF9-19A1-46BF-9F31-4690E6A2385C}" name="Zarobki uzyskiwane przez mojego/moją podopieczną/podopiecznego w pierwszym roku po ukończeniu studiów były satysfakcjonujące (z mojego punktu widzenia)" totalsRowDxfId="125"/>
    <tableColumn id="58" xr3:uid="{BCC66B2D-86FD-4227-A5E9-2164B45893B0}" name="Zarobki uzyskiwane przez mojego/moją podopieczną/podopiecznego w 3 lata po ukończeniu studiów były satysfakcjonujące (z mojego punktu widzenia)" totalsRowDxfId="124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23"/>
    <tableColumn id="60" xr3:uid="{94345A4F-9EAB-4FE8-A337-CCC43CF7D9D3}" name="Jakie inne (poza zarobkami) efekty kształcenia na ocenianej uczelni się dostrzegasz obecnie?" totalsRowDxfId="122"/>
    <tableColumn id="61" xr3:uid="{05A46EBB-09E0-4294-881F-C45E3B66E515}" name="Jakiego rodzaju były studia, które ukończył/a Twoja/Twój podopieczna/podopieczny?" totalsRowDxfId="121"/>
    <tableColumn id="62" xr3:uid="{FE0A86D0-775F-435F-8B90-2A7B29B0B462}" name="Pole dodatkowe10" totalsRowDxfId="120"/>
    <tableColumn id="63" xr3:uid="{3C426FB0-5F3F-46C5-9E34-DD901FAA5A82}" name="Jeśli Twoja/Twój podopieczna/podopieczny ukończył/a również inne szkoły / kierunki studiów to proszę wpisz je tutaj." totalsRowDxfId="119"/>
    <tableColumn id="64" xr3:uid="{7B6238C1-79C7-4C59-B174-F693B78A54C8}" name="Czy będziesz oceniał uczelnię ukończoną przez drugiego podopiecznego?" totalsRowDxfId="118"/>
    <tableColumn id="65" xr3:uid="{72E69603-FDA8-458A-B355-C3F6177E2961}" name="Jak się nazywa uczelnia, którą ukończył/a Twoja/Twój podopieczna/podopieczny? (proszę o wybranie jednej uczelni podlegającej ocenie)11" totalsRowDxfId="117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16"/>
    <tableColumn id="67" xr3:uid="{51123307-FDE7-45CE-81D3-F8045A68CEB5}" name="Czy ukończony kierunek był kierunkiem technicznym, tzn. takim, po którym uzyskano tytuł inżyniera?13" totalsRowDxfId="115"/>
    <tableColumn id="68" xr3:uid="{E4E7F2FA-608F-4A76-95F9-FC633CF4A850}" name="Jak się nazywa kierunek, który ukończył/a Twoja/Twój podopieczna/podopieczny?14" totalsRowDxfId="114"/>
    <tableColumn id="69" xr3:uid="{2E0E2D92-CA45-4C29-AD1B-4107E60D2F5C}" name="Moja satysfakcja z (efektów) usług edukacyjnych ocenianej uczelni jest wysoka.15" totalsRowDxfId="113"/>
    <tableColumn id="70" xr3:uid="{22160B39-79EF-424B-9B2E-4205C1098DC4}" name="Usługi edukacyjne ocenianej uczelni mają wysoką wartość (okazja / szansa rozwoju własnego lub kariery).16" totalsRowDxfId="112"/>
    <tableColumn id="71" xr3:uid="{C5566328-CB9E-4672-AFA5-9A52C7FB1583}" name="Kształcenie na ocenianej uczelni ma/będzie miało pozytywny wpływ na zwiększenie zarobków mojej/mojego podopiecznej/podopiecznego.17" totalsRowDxfId="111"/>
    <tableColumn id="72" xr3:uid="{ED11287D-6F12-40C0-8EAE-0190C96B2475}" name="Zarobki uzyskiwane przez mojego/moją podopieczną/podopiecznego w pierwszym roku po ukończeniu studiów były satysfakcjonujące (z mojego punktu widzenia)18" totalsRowDxfId="110"/>
    <tableColumn id="73" xr3:uid="{5767066B-CB1E-4AC7-93CC-8721926057A1}" name="Zarobki uzyskiwane przez mojego/moją podopieczną/podopiecznego w 3 lata po ukończeniu studiów były satysfakcjonujące (z mojego punktu widzenia)19" totalsRowDxfId="109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8"/>
    <tableColumn id="75" xr3:uid="{91099E12-4AAE-4B3A-8B21-456B23B8E9C4}" name="Jakie inne (poza zarobkami) efekty kształcenia na ocenianej uczelni się dostrzegasz obecnie?21" totalsRowDxfId="107"/>
    <tableColumn id="76" xr3:uid="{F99FCD0E-141B-4162-9375-D912B829669B}" name="Jakiego rodzaju były studia, które ukończył/a Twoja/Twój podopieczna/podopieczny?22" totalsRowDxfId="106"/>
    <tableColumn id="77" xr3:uid="{9A935095-7069-4B79-9C19-ABCE05DB2953}" name="Pole dodatkowe23" totalsRowDxfId="105"/>
    <tableColumn id="78" xr3:uid="{73C50495-9837-4BA7-BE74-ED58E001D39F}" name="Jeśli Twoja/Twój podopieczna/podopieczny ukończył/a również inne szkoły / kierunki studiów to proszę wpisz je tutaj.24" totalsRowDxfId="104"/>
    <tableColumn id="79" xr3:uid="{2D9E6799-1116-4EBA-A4A6-EC67B715E65E}" name="Czy będziesz oceniał uczelnię ukończoną przez trzeciego podopiecznego?" totalsRowDxfId="103"/>
    <tableColumn id="80" xr3:uid="{98900E64-17FE-4566-98C9-57CB606D4413}" name="Jak się nazywa uczelnia, którą ukończył/a Twoja/Twój podopieczna/podopieczny? (proszę o wybranie jednej uczelni podlegającej ocenie)25" totalsRowDxfId="102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01"/>
    <tableColumn id="82" xr3:uid="{367FC414-3E67-4B03-A303-77F5139ABED4}" name="Czy ukończony kierunek był kierunkiem technicznym, tzn. takim, po którym uzyskano tytuł inżyniera?27" totalsRowDxfId="100"/>
    <tableColumn id="83" xr3:uid="{641F2969-C09A-425E-81A7-806949B38666}" name="Jak się nazywa kierunek, który ukończył/a Twoja/Twój podopieczna/podopieczny?28" totalsRowDxfId="99"/>
    <tableColumn id="84" xr3:uid="{6B2F3F5A-F4BF-41A2-85FA-BAC6E179E9A9}" name="Moja satysfakcja z (efektów) usług edukacyjnych ocenianej uczelni jest wysoka.29" totalsRowDxfId="98"/>
    <tableColumn id="85" xr3:uid="{792FE0EC-454A-47B2-9DEE-09E82A55AC5F}" name="Usługi edukacyjne ocenianej uczelni mają wysoką wartość (okazja / szansa rozwoju własnego lub kariery).30" totalsRowDxfId="97"/>
    <tableColumn id="86" xr3:uid="{4BD46113-3AB9-405D-8A53-F153B50E863D}" name="Kształcenie na ocenianej uczelni ma/będzie miało pozytywny wpływ na zwiększenie zarobków mojej/mojego podopiecznej/podopiecznego.31" totalsRowDxfId="96"/>
    <tableColumn id="87" xr3:uid="{4CA1C5A8-3427-428B-B7BA-106EBBA85C17}" name="Zarobki uzyskiwane przez mojego/moją podopieczną/podopiecznego w pierwszym roku po ukończeniu studiów były satysfakcjonujące (z mojego punktu widzenia)32" totalsRowDxfId="95"/>
    <tableColumn id="88" xr3:uid="{C37B06BC-EDB5-471E-9C95-05232AC9EACD}" name="Zarobki uzyskiwane przez mojego/moją podopieczną/podopiecznego w 3 lata po ukończeniu studiów były satysfakcjonujące (z mojego punktu widzenia)33" totalsRowDxfId="94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93"/>
    <tableColumn id="90" xr3:uid="{CEEBCBE8-4DF4-40BE-ADF0-2750A2BF2609}" name="Jakie inne (poza zarobkami) efekty kształcenia na ocenianej uczelni się dostrzegasz obecnie?35" totalsRowDxfId="92"/>
    <tableColumn id="91" xr3:uid="{F1A613DC-A59A-419D-8838-D041B4273E91}" name="Jakiego rodzaju były studia, które ukończył/a Twoja/Twój podopieczna/podopieczny?36" totalsRowDxfId="91"/>
    <tableColumn id="92" xr3:uid="{E26BB465-B221-4E80-9D41-43786B72F743}" name="Pole dodatkowe37" totalsRowDxfId="90"/>
    <tableColumn id="93" xr3:uid="{12E07FC6-6ACA-44C4-A376-689F504EB460}" name="Jeśli Twoja/Twój podopieczna/podopieczny ukończył/a również inne szkoły / kierunki studiów to proszę wpisz je tutaj.38" totalsRowDxfId="89"/>
    <tableColumn id="94" xr3:uid="{4FBA703D-33E9-44C4-BD22-B3FC7B168C76}" name="Czy jesteś aktualnie pracownikiem administracyjnym uczelni wyższej?" totalsRowFunction="custom" dataDxfId="88" totalsRowDxfId="87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86"/>
    <tableColumn id="96" xr3:uid="{43902112-5836-47AC-AA75-A65F0D4C7817}" name="Na jakim wydziale pracujesz?" totalsRowDxfId="85"/>
    <tableColumn id="97" xr3:uid="{68D4A5FB-B6F1-410C-BBCE-5D895E75D7EF}" name="Moja satysfakcja z pracy na ocenianej uczelni jest wysoka." totalsRowDxfId="84"/>
    <tableColumn id="98" xr3:uid="{097FDF01-C103-4396-9EE5-DC463D453E58}" name="Atmosfera w zespole współpracowników jest dobra." totalsRowDxfId="83"/>
    <tableColumn id="99" xr3:uid="{5B99CA3A-6D7C-4D3E-B448-2EDAF4856B42}" name="Moje zarobki są satysfakcjonujące." totalsRowDxfId="82"/>
    <tableColumn id="100" xr3:uid="{90B0699F-2BC7-4D96-9800-8B1DB165F81E}" name="Praca na ocenianej uczelni daje mi duże szanse rozwoju." totalsRowDxfId="81"/>
    <tableColumn id="101" xr3:uid="{5CB95189-87A6-4F97-B291-A05336B23F22}" name="Wartość wykształcenia zdobywanego przez studentów ocenianej uczelni jest wysoka." totalsRowDxfId="80"/>
    <tableColumn id="102" xr3:uid="{056CF7BB-B947-41A0-AC24-42A1CBCF15BD}" name="Zdobyte na ocenianej uczelni wykształcenie ma pozytywny wpływ na zwiększenie zarobków absolwentów." totalsRowDxfId="79"/>
    <tableColumn id="103" xr3:uid="{2AB65CA7-05ED-4EB7-B603-B864E6D6745F}" name="Jakie inne (poza zarobkami) efekty kształcenia na ocenianej uczelni się dostrzegasz obecnie?39" totalsRowDxfId="78"/>
    <tableColumn id="104" xr3:uid="{DC472BA3-8D88-44A6-B5C1-5BF9558627FA}" name="Czy jesteś aktualnie pracownikiem naukowym lub dydaktycznym uczelni wyższej?" totalsRowFunction="custom" dataDxfId="77" totalsRowDxfId="76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75"/>
    <tableColumn id="106" xr3:uid="{2E39D77C-CC0F-41F1-8F10-30523EA3DE78}" name="Na jakim wydziale pracujesz?41" totalsRowDxfId="74"/>
    <tableColumn id="107" xr3:uid="{B9CFBDFF-9DC1-4556-855E-D4463D760A19}" name="Moja satysfakcja z pracy na ocenianej uczelni jest wysoka.42" totalsRowDxfId="73"/>
    <tableColumn id="108" xr3:uid="{158CA86A-249B-4193-A207-D38756E887C7}" name="Atmosfera w zespole współpracowników jest dobra.43" totalsRowDxfId="72"/>
    <tableColumn id="109" xr3:uid="{AC3090A9-EC3C-4C62-8AA9-F261EAB7887F}" name="Moje zarobki są satysfakcjonujące.44" totalsRowDxfId="71"/>
    <tableColumn id="110" xr3:uid="{9E04970F-962C-490E-A570-2D0912A5E57D}" name="Praca na ocenianej uczelni daje mi duże szanse rozwoju.45" totalsRowDxfId="70"/>
    <tableColumn id="111" xr3:uid="{C148AE52-9ADC-45EF-8DBC-27F0F1F05355}" name="Wartość wykształcenia zdobywanego przez studentów ocenianej uczelni jest wysoka.46" totalsRowDxfId="69"/>
    <tableColumn id="112" xr3:uid="{63921520-0FA3-4905-ACEB-02AFFB69B471}" name="Zdobyte na ocenianej uczelni wykształcenie ma pozytywny wpływ na zwiększenie zarobków absolwentów.47" totalsRowDxfId="68"/>
    <tableColumn id="113" xr3:uid="{E32B227A-B5B2-41A4-9CEB-B75A56696D75}" name="Jakie inne (poza zarobkami) efekty kształcenia na ocenianej uczelni dostrzegasz obecnie?48" totalsRowDxfId="67"/>
    <tableColumn id="114" xr3:uid="{98E95A67-6B14-4A2E-AB34-682AE1A049DC}" name="Czy jesteś przedstawicielem władz uczelni z grupy rektorów, prorektorów, dziekanów, prodziekanów, członków senatu lub członków rady uczelni?" totalsRowFunction="custom" dataDxfId="66" totalsRowDxfId="65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64"/>
    <tableColumn id="116" xr3:uid="{55CD3327-D03D-49EA-AD7A-8A8492F8FF76}" name="Kolumna3" totalsRowDxfId="63"/>
    <tableColumn id="117" xr3:uid="{BF356D61-903B-4604-89F3-2B471880C5B8}" name="Kolumna4" totalsRowDxfId="62"/>
    <tableColumn id="118" xr3:uid="{7173EDEB-5382-4DCE-AA15-A72B322560D6}" name="Kolumna5" totalsRowDxfId="61"/>
    <tableColumn id="119" xr3:uid="{6200F07F-FA1F-4A3F-B8ED-B934678483AF}" name="Jak się nazywa uczelnia którą będziesz oceniać (jako przedstawiciel jej władz)?" totalsRowDxfId="60"/>
    <tableColumn id="120" xr3:uid="{E6250DE6-1A12-41F3-90EE-1B4F673F6E58}" name="Efekty działań ocenianej uczelni na rzesz jakości edukacji są dobre" totalsRowDxfId="59"/>
    <tableColumn id="121" xr3:uid="{8AE05FEE-B731-4F93-90B6-915E5774E346}" name="Wartość wykształcenia zdobywanego przez studentów na ocenianej uczelni jest wysoka." totalsRowDxfId="58"/>
    <tableColumn id="122" xr3:uid="{E115058D-8C9C-450E-8DA2-D64EB971F57D}" name="Zdobyte przez studentów ocenianej uczelni wykształcenie miało/ma pozytywny wpływ na ich zarobki." totalsRowDxfId="57"/>
    <tableColumn id="123" xr3:uid="{6FEBB446-227D-4EA1-B507-206156E53809}" name="Efekty działań ocenianej uczelni na rzecz jakości edukacji mają dobry wpływ na rozwój regionu." totalsRowDxfId="56"/>
    <tableColumn id="124" xr3:uid="{01E38E74-9E44-4BFF-97FF-3B0FF3F7CDD0}" name="Efekty działań ocenianej uczelni na rzecz jakości edukacji mają dobry wpływ na rozwój Polski." totalsRowDxfId="55"/>
    <tableColumn id="125" xr3:uid="{F17A6FA5-F0F2-48AD-B639-9161F59ACD49}" name="Współpraca ocenianej uczelni z biznesem ma pozytywne efekty dla rozwoju regionu / kraju." totalsRowDxfId="54"/>
    <tableColumn id="126" xr3:uid="{81D0BDE5-B5BD-41AD-AE49-0F05E206FF4F}" name="Ogólny poziom mojej satysfakcji z jakości usług edukacyjnych ocenianej uczelni jest wysoki." totalsRowDxfId="53"/>
    <tableColumn id="127" xr3:uid="{E1B74221-E8AC-4764-9FBA-17BC7A8DAB4F}" name="Studenci : wybierz wartość z listy rozwijanej" totalsRowDxfId="52"/>
    <tableColumn id="128" xr3:uid="{9521E128-6D78-41F6-9BED-3F1F3009376D}" name="Absolwenci : wybierz wartość z listy rozwijanej" totalsRowDxfId="51"/>
    <tableColumn id="129" xr3:uid="{F972B7F0-4237-45DD-B8D9-6E5F80BC382C}" name="Rodzice absolwentów : wybierz wartość z listy rozwijanej" totalsRowDxfId="50"/>
    <tableColumn id="130" xr3:uid="{D18127FA-4AAC-43F7-8718-648B089DA3AE}" name="Pracownicy administracyjni : wybierz wartość z listy rozwijanej" totalsRowDxfId="49"/>
    <tableColumn id="131" xr3:uid="{9AD30943-8FF3-4081-BC52-0A68F33FA1E6}" name="Pracownicy naukowi i dydaktyczni : wybierz wartość z listy rozwijanej" totalsRowDxfId="48"/>
    <tableColumn id="132" xr3:uid="{F15383FF-5030-41F2-B790-DA1B9ACCD614}" name="Pracodawcy : wybierz wartość z listy rozwijanej" totalsRowDxfId="47"/>
    <tableColumn id="133" xr3:uid="{A113041C-1CEA-48AE-A9F9-6427226B931F}" name="Władze samorządowe i centralne : wybierz wartość z listy rozwijanej" totalsRowDxfId="46"/>
    <tableColumn id="134" xr3:uid="{2391059C-06A8-4E9F-9A30-2923C913E592}" name="Pole dodatkowe4" totalsRowDxfId="45"/>
    <tableColumn id="135" xr3:uid="{87323607-8918-4675-942B-66DDA6ACC52D}" name="Studenci : wybierz wartość z listy rozwijanej5" totalsRowDxfId="44"/>
    <tableColumn id="136" xr3:uid="{575464E3-342E-4010-A0B5-F16E0DA7F25D}" name="Absolwenci : wybierz wartość z listy rozwijanej6" totalsRowDxfId="43"/>
    <tableColumn id="137" xr3:uid="{3C4E7A29-9534-46F7-9E09-353DAEA57455}" name="Rodzice absolwentów : wybierz wartość z listy rozwijanej7" totalsRowDxfId="42"/>
    <tableColumn id="138" xr3:uid="{5EFF4867-813D-4D19-AFD2-41795D704E9D}" name="Pracownicy administracyjni : wybierz wartość z listy rozwijanej8" totalsRowDxfId="41"/>
    <tableColumn id="139" xr3:uid="{BD3A3545-6744-40C8-B6F9-128B604A0016}" name="Pracownicy naukowi i dydaktyczni : wybierz wartość z listy rozwijanej9" totalsRowDxfId="40"/>
    <tableColumn id="140" xr3:uid="{A370427A-746A-432F-8439-DE3E0F05E90C}" name="Pracodawcy : wybierz wartość z listy rozwijanej10" totalsRowDxfId="39"/>
    <tableColumn id="141" xr3:uid="{A6D0879A-E0B6-4F9C-B8AB-CCB9C168853D}" name="Władze samorządowe i centralne : wybierz wartość z listy rozwijanej11" totalsRowDxfId="38"/>
    <tableColumn id="142" xr3:uid="{ED69D784-3A72-4212-8A94-FFF937BB5636}" name="Pole dodatkowe12" totalsRowDxfId="37"/>
    <tableColumn id="143" xr3:uid="{F9376235-C8DC-451D-B95A-275409F154F3}" name="Czy jesteś przedstawicielem firmy, w której są zatrudniani absolwenci uczelni wyższych (tytuł licencjata, magistra lub wyższy)?" totalsRowFunction="custom" dataDxfId="36" totalsRowDxfId="35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34"/>
    <tableColumn id="145" xr3:uid="{FEA12265-815B-4115-947C-C4D7389958E8}" name="Ile uczelni będziesz oceniać?" totalsRowDxfId="33"/>
    <tableColumn id="146" xr3:uid="{26F5BBF0-E63C-4FC8-A2F3-F0ADC728D5E4}" name="Jak się nazywa uczelnia, którą ocenisz? " totalsRowDxfId="32"/>
    <tableColumn id="147" xr3:uid="{61714612-8B24-4377-BCF5-066C33634E6F}" name="Moja satysfakcja z (efektów) usług edukacyjnych na ocenianej uczelni jest wysoka." totalsRowDxfId="31"/>
    <tableColumn id="148" xr3:uid="{043BF385-CFC6-4AC5-BD7D-2DC21351418F}" name="Kompetencje absolwentów ocenianej uczelni są wysokie." totalsRowDxfId="30"/>
    <tableColumn id="149" xr3:uid="{35B1450E-E76E-4137-923C-C1196FE6A242}" name="Zarobki absolwentów ocenianej uczelni zatrudnionych w mojej firmie są wyższe od zarobków absolwentów innych polskich uczelni." totalsRowDxfId="29"/>
    <tableColumn id="150" xr3:uid="{46264593-E5FF-4A8E-9E32-B5CDAD83DB38}" name="Czy w Twojej firmie są zatrudniani absolwenci uczelni w pierwszym roku po ukończeniu studiów (do 12 miesięcy od uzyskania dyplomu)?" totalsRowDxfId="28"/>
    <tableColumn id="151" xr3:uid="{AFEC3724-7638-4FBB-9B74-E3C5F372DFD7}" name="Jakie kompetencje absolwentów ocenianej uczelni są w Twojej firmie najwyżej wyceniane?" totalsRowDxfId="27"/>
    <tableColumn id="152" xr3:uid="{7C41F20E-87DA-419A-A4DC-8FC7E15280E1}" name="Jakiego rodzaju prace wykonują absolwenci ocenianej uczelni w Twojej firmie?" totalsRowDxfId="26"/>
    <tableColumn id="153" xr3:uid="{A53B26E4-0EB5-4875-918F-C84DFA999490}" name="Czy będziesz oceniał drugą uczelnię?" totalsRowDxfId="25"/>
    <tableColumn id="154" xr3:uid="{C51996BB-6F72-462D-AF3A-889816D9376D}" name="Jak się nazywa uczelnia, którą ocenisz? 13" totalsRowDxfId="24"/>
    <tableColumn id="155" xr3:uid="{C4DC7D31-6CB7-4667-BEF7-8EFAA1443E26}" name="Moja satysfakcja z (efektów) usług edukacyjnych na ocenianej uczelni jest wysoka.14" totalsRowDxfId="23"/>
    <tableColumn id="156" xr3:uid="{6BE5AEB2-D87C-4FAD-8A78-12F3665EA35B}" name="Kompetencje absolwentów ocenianej uczelni są wysokie.15" totalsRowDxfId="22"/>
    <tableColumn id="157" xr3:uid="{E68B03D6-C361-4634-B98C-870BC31CEDD8}" name="Zarobki absolwentów ocenianej uczelni zatrudnionych w mojej firmie są wyższe od zarobków absolwentów innych polskich uczelni.16" totalsRowDxfId="21"/>
    <tableColumn id="158" xr3:uid="{7AE77260-6064-4321-A8D8-8F0B2D560514}" name="Czy w Twojej firmie są zatrudniani absolwenci uczelni w pierwszym roku po ukończeniu studiów (do 12 miesięcy od uzyskania dyplomu)?17" totalsRowDxfId="20"/>
    <tableColumn id="159" xr3:uid="{02179DC7-236C-405B-9717-3820DB37DCDE}" name="Jakie kompetencje absolwentów ocenianej uczelni są w Twojej firmie najwyżej wyceniane?18" totalsRowDxfId="19"/>
    <tableColumn id="160" xr3:uid="{ACD9DA00-A265-43F3-A8CD-4AB9D52D21A7}" name="Jakiego rodzaju prace wykonują absolwenci ocenianej uczelni w Twojej firmie?19" totalsRowDxfId="18"/>
    <tableColumn id="161" xr3:uid="{40C65435-9246-41B9-9D13-8617AD0D615B}" name="Czy będziesz oceniał trzecią uczelnię techniczną?" totalsRowDxfId="17"/>
    <tableColumn id="162" xr3:uid="{6D52B5AA-D38E-4A9C-9FC4-C5F27711E4B2}" name="Jak się nazywa uczelnia, którą ocenisz? 20" totalsRowDxfId="16"/>
    <tableColumn id="163" xr3:uid="{121D311A-63E4-4EF2-A0DA-FAA985067046}" name="Moja satysfakcja z (efektów) usług edukacyjnych na ocenianej uczelni jest wysoka.21" totalsRowDxfId="15"/>
    <tableColumn id="164" xr3:uid="{F282EA05-D156-4529-9BC1-8600524F81FD}" name="Kompetencje absolwentów ocenianej uczelni są wysokie.22" totalsRowDxfId="14"/>
    <tableColumn id="165" xr3:uid="{58F11C5E-414B-4C75-8CE5-1580D3F448A9}" name="Zarobki absolwentów ocenianej uczelni zatrudnionych w mojej firmie są wyższe od zarobków absolwentów innych polskich uczelni.23" totalsRowDxfId="13"/>
    <tableColumn id="166" xr3:uid="{3E1C84AB-DCF6-4B96-B25A-E3AA8A32B928}" name="Czy w Twojej firmie są zatrudniani absolwenci uczelni w pierwszym roku po ukończeniu studiów (do 12 miesięcy od uzyskania dyplomu)?24" totalsRowDxfId="12"/>
    <tableColumn id="167" xr3:uid="{4C87DA44-3851-4B6F-8471-F5B274EEF69E}" name="Jakie kompetencje absolwentów ocenianej uczelni są w Twojej firmie najwyżej wyceniane?25" totalsRowDxfId="11"/>
    <tableColumn id="168" xr3:uid="{4889D3B6-442C-490C-9642-B9781EC55E1C}" name="Jakiego rodzaju prace wykonują absolwenci ocenianej uczelni są w Twojej firmie?" totalsRowDxfId="10"/>
    <tableColumn id="169" xr3:uid="{370CF6EE-F46C-4CFF-9496-7844071DF992}" name="Czy jesteś przedstawicielem władz samorządowych lub centralnych Rzeczypospolitej Polskiej?" totalsRowFunction="custom" dataDxfId="9" totalsRowDxfId="8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5" Type="http://schemas.openxmlformats.org/officeDocument/2006/relationships/pivotTable" Target="../pivotTables/pivotTable16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966"/>
  <sheetViews>
    <sheetView topLeftCell="A771" workbookViewId="0">
      <selection activeCell="E799" sqref="E799"/>
    </sheetView>
  </sheetViews>
  <sheetFormatPr defaultRowHeight="14.25" x14ac:dyDescent="0.45"/>
  <cols>
    <col min="1" max="1" width="51" bestFit="1" customWidth="1"/>
    <col min="2" max="2" width="21.1328125" customWidth="1"/>
    <col min="3" max="3" width="20.19921875" customWidth="1"/>
    <col min="4" max="4" width="22.33203125" customWidth="1"/>
    <col min="5" max="5" width="29.59765625" customWidth="1"/>
    <col min="7" max="7" width="11.796875" customWidth="1"/>
    <col min="8" max="8" width="12.53125" bestFit="1" customWidth="1"/>
    <col min="9" max="10" width="14.19921875" customWidth="1"/>
    <col min="20" max="20" width="9" customWidth="1"/>
    <col min="21" max="22" width="10.59765625" customWidth="1"/>
  </cols>
  <sheetData>
    <row r="4" spans="1:3" x14ac:dyDescent="0.45">
      <c r="A4">
        <v>259</v>
      </c>
      <c r="B4" t="s">
        <v>2336</v>
      </c>
    </row>
    <row r="5" spans="1:3" x14ac:dyDescent="0.45">
      <c r="A5">
        <v>138</v>
      </c>
      <c r="B5" t="s">
        <v>2337</v>
      </c>
    </row>
    <row r="6" spans="1:3" x14ac:dyDescent="0.45">
      <c r="A6" s="30">
        <f>A5/A4</f>
        <v>0.53281853281853286</v>
      </c>
      <c r="B6" t="s">
        <v>2340</v>
      </c>
      <c r="C6" s="30"/>
    </row>
    <row r="7" spans="1:3" x14ac:dyDescent="0.45">
      <c r="A7">
        <v>249</v>
      </c>
      <c r="B7" t="s">
        <v>2339</v>
      </c>
    </row>
    <row r="8" spans="1:3" x14ac:dyDescent="0.45">
      <c r="A8">
        <v>133</v>
      </c>
      <c r="B8" t="s">
        <v>2338</v>
      </c>
    </row>
    <row r="9" spans="1:3" x14ac:dyDescent="0.45">
      <c r="A9" s="30">
        <f>A8/A7</f>
        <v>0.53413654618473894</v>
      </c>
      <c r="B9" t="s">
        <v>2340</v>
      </c>
      <c r="C9" s="30"/>
    </row>
    <row r="16" spans="1:3" x14ac:dyDescent="0.45">
      <c r="A16" s="20" t="s">
        <v>2332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2334</v>
      </c>
      <c r="C28" s="29" t="s">
        <v>2317</v>
      </c>
    </row>
    <row r="29" spans="1:4" x14ac:dyDescent="0.45">
      <c r="A29" s="36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36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2335</v>
      </c>
    </row>
    <row r="34" spans="1:3" x14ac:dyDescent="0.45">
      <c r="C34" s="29" t="s">
        <v>2317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2314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s="20" t="s">
        <v>2449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s="20" t="s">
        <v>2450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s="20" t="s">
        <v>2451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s="20" t="s">
        <v>2452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2448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2341</v>
      </c>
    </row>
    <row r="45" spans="1:3" x14ac:dyDescent="0.45">
      <c r="C45" s="29" t="s">
        <v>2317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2346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2317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2317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2314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s="20" t="s">
        <v>2449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s="20" t="s">
        <v>2450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s="20" t="s">
        <v>2451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s="20" t="s">
        <v>2452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2448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2320</v>
      </c>
      <c r="B86" s="29" t="s">
        <v>2319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2318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2327</v>
      </c>
      <c r="B119" s="29" t="s">
        <v>2326</v>
      </c>
      <c r="C119" s="29" t="s">
        <v>2333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2321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2323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2322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2347</v>
      </c>
      <c r="C133" t="s">
        <v>2348</v>
      </c>
      <c r="E133" s="20" t="s">
        <v>2362</v>
      </c>
      <c r="F133" s="20" t="s">
        <v>2363</v>
      </c>
      <c r="G133" s="20" t="s">
        <v>2430</v>
      </c>
      <c r="H133" s="20" t="s">
        <v>2418</v>
      </c>
      <c r="I133" s="20" t="s">
        <v>2419</v>
      </c>
      <c r="J133" s="20" t="s">
        <v>2420</v>
      </c>
      <c r="K133" s="20" t="s">
        <v>2421</v>
      </c>
      <c r="L133" s="20" t="s">
        <v>2422</v>
      </c>
      <c r="M133" s="20" t="s">
        <v>2423</v>
      </c>
      <c r="N133" s="20" t="s">
        <v>2424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37">
        <f>(A134-$D$142)^2</f>
        <v>3.719387755102042</v>
      </c>
      <c r="F134">
        <f>PRODUCT(C134,E134)</f>
        <v>11.158163265306126</v>
      </c>
      <c r="G134" s="37">
        <f>VLOOKUP(A134,TabeleGrup!$C$45:$D$51,2,0)</f>
        <v>6.9999999999999991</v>
      </c>
      <c r="H134" s="37">
        <f>(G134-$D$142)/$F$143</f>
        <v>1.2928374110570016</v>
      </c>
      <c r="I134" s="37">
        <f>NORMDIST(H134,0,1,1)</f>
        <v>0.90196635083798715</v>
      </c>
      <c r="J134" s="37">
        <f t="shared" ref="J134:J138" si="7">I134-I135</f>
        <v>0.13827008338087898</v>
      </c>
      <c r="K134" s="37">
        <f t="shared" ref="K134:K139" si="8">$C$143*J134</f>
        <v>1.9357811673323058</v>
      </c>
      <c r="L134" s="37">
        <f t="shared" ref="L134:L140" si="9">C134-K134</f>
        <v>1.0642188326676942</v>
      </c>
      <c r="M134" s="37">
        <f>L134^2</f>
        <v>1.1325617238045897</v>
      </c>
      <c r="N134" s="37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37">
        <f t="shared" ref="E135:E140" si="10">(A135-$D$142)^2</f>
        <v>0.86224489795918413</v>
      </c>
      <c r="F135">
        <f t="shared" ref="F135:F140" si="11">PRODUCT(C135,E135)</f>
        <v>1.7244897959183683</v>
      </c>
      <c r="G135" s="37">
        <f>VLOOKUP(A135,TabeleGrup!C46:D52,2,0)</f>
        <v>6.1428571428571423</v>
      </c>
      <c r="H135" s="37">
        <f t="shared" ref="H135:H140" si="12">(G135-$D$142)/$F$143</f>
        <v>0.71824300614277869</v>
      </c>
      <c r="I135" s="37">
        <f t="shared" ref="I135:I140" si="13">NORMDIST(H135,0,1,1)</f>
        <v>0.76369626745710817</v>
      </c>
      <c r="J135" s="37">
        <f t="shared" si="7"/>
        <v>0.20658524765142972</v>
      </c>
      <c r="K135" s="37">
        <f t="shared" si="8"/>
        <v>2.8921934671200162</v>
      </c>
      <c r="L135" s="37">
        <f t="shared" si="9"/>
        <v>-0.89219346712001624</v>
      </c>
      <c r="M135" s="37">
        <f t="shared" ref="M135:M140" si="14">L135^2</f>
        <v>0.79600918277163546</v>
      </c>
      <c r="N135" s="37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37">
        <f t="shared" si="10"/>
        <v>5.1020408163264946E-3</v>
      </c>
      <c r="F136">
        <f t="shared" si="11"/>
        <v>2.5510204081632473E-2</v>
      </c>
      <c r="G136" s="37">
        <f>VLOOKUP(A136,TabeleGrup!C47:D53,2,0)</f>
        <v>5.2857142857142856</v>
      </c>
      <c r="H136" s="37">
        <f t="shared" si="12"/>
        <v>0.14364860122855586</v>
      </c>
      <c r="I136" s="37">
        <f t="shared" si="13"/>
        <v>0.55711101980567845</v>
      </c>
      <c r="J136" s="37">
        <f t="shared" si="7"/>
        <v>0.22385713088021286</v>
      </c>
      <c r="K136" s="37">
        <f t="shared" si="8"/>
        <v>3.1339998323229801</v>
      </c>
      <c r="L136" s="37">
        <f t="shared" si="9"/>
        <v>1.8660001676770199</v>
      </c>
      <c r="M136" s="37">
        <f t="shared" si="14"/>
        <v>3.4819566257706667</v>
      </c>
      <c r="N136" s="37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37">
        <f t="shared" si="10"/>
        <v>1.1479591836734688</v>
      </c>
      <c r="F137">
        <f t="shared" si="11"/>
        <v>2.2959183673469377</v>
      </c>
      <c r="G137" s="37">
        <f>VLOOKUP(A137,TabeleGrup!C48:D54,2,0)</f>
        <v>4.4285714285714288</v>
      </c>
      <c r="H137" s="37">
        <f t="shared" si="12"/>
        <v>-0.43094580368566698</v>
      </c>
      <c r="I137" s="37">
        <f t="shared" si="13"/>
        <v>0.33325388892546559</v>
      </c>
      <c r="J137" s="37">
        <f t="shared" si="7"/>
        <v>0.17593548978790563</v>
      </c>
      <c r="K137" s="37">
        <f t="shared" si="8"/>
        <v>2.4630968570306786</v>
      </c>
      <c r="L137" s="37">
        <f t="shared" si="9"/>
        <v>-0.4630968570306786</v>
      </c>
      <c r="M137" s="37">
        <f t="shared" si="14"/>
        <v>0.21445869899169279</v>
      </c>
      <c r="N137" s="37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37">
        <f t="shared" si="10"/>
        <v>4.290816326530611</v>
      </c>
      <c r="F138">
        <f t="shared" si="11"/>
        <v>4.290816326530611</v>
      </c>
      <c r="G138" s="37">
        <f>VLOOKUP(A138,TabeleGrup!C49:D55,2,0)</f>
        <v>3.5714285714285716</v>
      </c>
      <c r="H138" s="37">
        <f t="shared" si="12"/>
        <v>-1.0055402085998901</v>
      </c>
      <c r="I138" s="37">
        <f t="shared" si="13"/>
        <v>0.15731839913755996</v>
      </c>
      <c r="J138" s="37">
        <f t="shared" si="7"/>
        <v>0.1002803781542356</v>
      </c>
      <c r="K138" s="37">
        <f t="shared" si="8"/>
        <v>1.4039252941592983</v>
      </c>
      <c r="L138" s="37">
        <f t="shared" si="9"/>
        <v>-0.40392529415929834</v>
      </c>
      <c r="M138" s="37">
        <f t="shared" si="14"/>
        <v>0.1631556432616757</v>
      </c>
      <c r="N138" s="37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37">
        <f t="shared" si="10"/>
        <v>9.4336734693877542</v>
      </c>
      <c r="F139">
        <f t="shared" si="11"/>
        <v>9.4336734693877542</v>
      </c>
      <c r="G139" s="37">
        <f>VLOOKUP(A139,TabeleGrup!C50:D56,2,0)</f>
        <v>2.7142857142857144</v>
      </c>
      <c r="H139" s="37">
        <f t="shared" si="12"/>
        <v>-1.5801346135141132</v>
      </c>
      <c r="I139" s="37">
        <f t="shared" si="13"/>
        <v>5.7038020983324354E-2</v>
      </c>
      <c r="J139" s="37">
        <f>I139-I140</f>
        <v>4.1446498172139162E-2</v>
      </c>
      <c r="K139" s="37">
        <f t="shared" si="8"/>
        <v>0.58025097440994822</v>
      </c>
      <c r="L139" s="37">
        <f t="shared" si="9"/>
        <v>0.41974902559005178</v>
      </c>
      <c r="M139" s="37">
        <f t="shared" si="14"/>
        <v>0.17618924448379794</v>
      </c>
      <c r="N139" s="37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37">
        <f t="shared" si="10"/>
        <v>16.576530612244895</v>
      </c>
      <c r="F140">
        <f t="shared" si="11"/>
        <v>0</v>
      </c>
      <c r="G140" s="37">
        <f>VLOOKUP(A140,TabeleGrup!C51:D57,2,0)</f>
        <v>1.8571428571428572</v>
      </c>
      <c r="H140" s="37">
        <f t="shared" si="12"/>
        <v>-2.1547290184283363</v>
      </c>
      <c r="I140" s="37">
        <f t="shared" si="13"/>
        <v>1.5591522811185194E-2</v>
      </c>
      <c r="J140" s="37">
        <f>I140</f>
        <v>1.5591522811185194E-2</v>
      </c>
      <c r="K140" s="37">
        <f>$C$143*J140</f>
        <v>0.2182813193565927</v>
      </c>
      <c r="L140" s="37">
        <f t="shared" si="9"/>
        <v>-0.2182813193565927</v>
      </c>
      <c r="M140" s="37">
        <f t="shared" si="14"/>
        <v>4.764673438005481E-2</v>
      </c>
      <c r="N140" s="37">
        <f t="shared" si="15"/>
        <v>0.2182813193565927</v>
      </c>
      <c r="O140" s="20" t="s">
        <v>2425</v>
      </c>
    </row>
    <row r="141" spans="1:15" x14ac:dyDescent="0.45">
      <c r="A141" t="s">
        <v>2329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0">
        <f>SUM(J134:J140)</f>
        <v>0.90196635083798715</v>
      </c>
      <c r="K141" s="40">
        <f>SUM(K134:K140)</f>
        <v>12.627528911731819</v>
      </c>
      <c r="M141" s="20" t="s">
        <v>2426</v>
      </c>
      <c r="N141" s="41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2351</v>
      </c>
      <c r="C142" s="29">
        <f>SUM(C134:C141)</f>
        <v>14</v>
      </c>
      <c r="D142" s="37">
        <f>SUM(D134:D141)/C143</f>
        <v>5.0714285714285712</v>
      </c>
      <c r="E142" s="20" t="s">
        <v>2353</v>
      </c>
      <c r="F142" s="37">
        <f>SUM(F134:F141)/(C143-1)</f>
        <v>2.2252747252747254</v>
      </c>
      <c r="H142" s="20" t="s">
        <v>2405</v>
      </c>
      <c r="N142" s="20" t="s">
        <v>2427</v>
      </c>
    </row>
    <row r="143" spans="1:15" x14ac:dyDescent="0.45">
      <c r="B143" s="20" t="s">
        <v>2352</v>
      </c>
      <c r="C143">
        <f>C142-C141</f>
        <v>14</v>
      </c>
      <c r="D143" s="33">
        <f>D142/7</f>
        <v>0.72448979591836726</v>
      </c>
      <c r="F143" s="37">
        <f>F142^(1/2)</f>
        <v>1.4917354742965407</v>
      </c>
      <c r="G143" t="s">
        <v>2406</v>
      </c>
    </row>
    <row r="144" spans="1:15" x14ac:dyDescent="0.45">
      <c r="B144" s="20"/>
      <c r="D144" s="45" t="str">
        <f>VLOOKUP(D142,InterpretacjaŚredniej[],2,1)</f>
        <v>raczej się zgadzam</v>
      </c>
      <c r="E144">
        <f>D142-(K144*F143/SQRT(C143))</f>
        <v>4.210126151331119</v>
      </c>
      <c r="F144" s="38" t="str">
        <f>"&lt; m &lt;"</f>
        <v>&lt; m &lt;</v>
      </c>
      <c r="G144">
        <f>D142+(K144*F143/SQRT(C143))</f>
        <v>5.9327309915260233</v>
      </c>
      <c r="H144" t="s">
        <v>2407</v>
      </c>
      <c r="I144">
        <v>0.05</v>
      </c>
      <c r="J144" s="20" t="s">
        <v>2417</v>
      </c>
      <c r="K144">
        <f>VLOOKUP($C$143-1,Tabl_tStudenta[],5,0)</f>
        <v>2.1603686564627926</v>
      </c>
    </row>
    <row r="145" spans="1:7" x14ac:dyDescent="0.45">
      <c r="G145" s="35">
        <f>G144-E144</f>
        <v>1.7226048401949043</v>
      </c>
    </row>
    <row r="146" spans="1:7" x14ac:dyDescent="0.45">
      <c r="A146" s="29" t="s">
        <v>2360</v>
      </c>
      <c r="C146" t="s">
        <v>2348</v>
      </c>
      <c r="E146" s="20" t="s">
        <v>2362</v>
      </c>
      <c r="F146" s="20" t="s">
        <v>2363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37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37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37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37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37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37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37">
        <f t="shared" si="17"/>
        <v>14.331632653061224</v>
      </c>
      <c r="F153">
        <f t="shared" si="18"/>
        <v>14.331632653061224</v>
      </c>
    </row>
    <row r="154" spans="1:7" x14ac:dyDescent="0.45">
      <c r="A154" t="s">
        <v>2329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2351</v>
      </c>
      <c r="C155" s="29">
        <f>SUM(C147:C154)</f>
        <v>14</v>
      </c>
      <c r="D155" s="37">
        <f>SUM(D147:D153)/C156</f>
        <v>4.7857142857142856</v>
      </c>
      <c r="E155" s="20" t="s">
        <v>2353</v>
      </c>
      <c r="F155" s="37">
        <f>SUM(F147:F154)/(C156-1)</f>
        <v>2.9505494505494507</v>
      </c>
      <c r="G155" s="20" t="s">
        <v>2349</v>
      </c>
    </row>
    <row r="156" spans="1:7" x14ac:dyDescent="0.45">
      <c r="B156" s="20" t="s">
        <v>2352</v>
      </c>
      <c r="C156">
        <f>C155-C154</f>
        <v>14</v>
      </c>
      <c r="D156" s="33">
        <f>D155/7</f>
        <v>0.68367346938775508</v>
      </c>
      <c r="F156" s="37">
        <f>F155^(1/2)</f>
        <v>1.7177163475234933</v>
      </c>
      <c r="G156" t="s">
        <v>2404</v>
      </c>
    </row>
    <row r="158" spans="1:7" x14ac:dyDescent="0.45">
      <c r="A158" s="29" t="s">
        <v>2361</v>
      </c>
      <c r="C158" t="s">
        <v>2348</v>
      </c>
      <c r="E158" s="20" t="s">
        <v>2362</v>
      </c>
      <c r="F158" s="20" t="s">
        <v>2363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37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37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37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37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37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37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37">
        <f t="shared" si="20"/>
        <v>12.755102040816325</v>
      </c>
      <c r="F165">
        <f t="shared" si="21"/>
        <v>0</v>
      </c>
    </row>
    <row r="166" spans="1:14" x14ac:dyDescent="0.45">
      <c r="A166" t="s">
        <v>2329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2351</v>
      </c>
      <c r="C167" s="29">
        <f>SUM(C159:C166)</f>
        <v>14</v>
      </c>
      <c r="D167" s="37">
        <f>SUM(D159:D166)/C168</f>
        <v>4.5714285714285712</v>
      </c>
      <c r="E167" s="20" t="s">
        <v>2353</v>
      </c>
      <c r="F167" s="37">
        <f>SUM(F159:F166)/(C168-1)</f>
        <v>2.5714285714285712</v>
      </c>
      <c r="G167" s="20" t="s">
        <v>2349</v>
      </c>
    </row>
    <row r="168" spans="1:14" x14ac:dyDescent="0.45">
      <c r="B168" s="20" t="s">
        <v>2352</v>
      </c>
      <c r="C168">
        <f>C167-C166</f>
        <v>14</v>
      </c>
      <c r="D168" s="33">
        <f>D167/7</f>
        <v>0.65306122448979587</v>
      </c>
      <c r="F168" s="37">
        <f>F167^(1/2)</f>
        <v>1.6035674514745462</v>
      </c>
      <c r="G168" t="s">
        <v>2404</v>
      </c>
    </row>
    <row r="172" spans="1:14" x14ac:dyDescent="0.45">
      <c r="A172" s="29" t="s">
        <v>2350</v>
      </c>
      <c r="C172" t="s">
        <v>2348</v>
      </c>
      <c r="E172" s="20" t="s">
        <v>2362</v>
      </c>
      <c r="F172" s="20" t="s">
        <v>2363</v>
      </c>
      <c r="G172" s="20" t="s">
        <v>2430</v>
      </c>
      <c r="H172" s="20" t="s">
        <v>2418</v>
      </c>
      <c r="I172" s="20" t="s">
        <v>2419</v>
      </c>
      <c r="J172" s="20" t="s">
        <v>2420</v>
      </c>
      <c r="K172" s="20" t="s">
        <v>2421</v>
      </c>
      <c r="L172" s="20" t="s">
        <v>2422</v>
      </c>
      <c r="M172" s="20" t="s">
        <v>2423</v>
      </c>
      <c r="N172" s="20" t="s">
        <v>2424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37">
        <f>(A173-$D$181)^2</f>
        <v>3.2642468752206759</v>
      </c>
      <c r="F173">
        <f>PRODUCT(C173,E173)</f>
        <v>55.492196878751493</v>
      </c>
      <c r="G173" s="37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37">
        <f t="shared" ref="E174:E179" si="23">(A174-$D$181)^2</f>
        <v>0.6508014970694157</v>
      </c>
      <c r="F174">
        <f t="shared" ref="F174:F179" si="24">PRODUCT(C174,E174)</f>
        <v>27.984464373984874</v>
      </c>
      <c r="G174" s="37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37">
        <f t="shared" si="23"/>
        <v>3.7356118918155573E-2</v>
      </c>
      <c r="F175">
        <f t="shared" si="24"/>
        <v>1.1953958053809783</v>
      </c>
      <c r="G175" s="37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37">
        <f t="shared" si="23"/>
        <v>1.4239107407668954</v>
      </c>
      <c r="F176">
        <f t="shared" si="24"/>
        <v>11.391285926135163</v>
      </c>
      <c r="G176" s="37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37">
        <f t="shared" si="23"/>
        <v>4.8104653626156351</v>
      </c>
      <c r="F177">
        <f t="shared" si="24"/>
        <v>57.725584351387624</v>
      </c>
      <c r="G177" s="37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37">
        <f t="shared" si="23"/>
        <v>10.197019984464376</v>
      </c>
      <c r="F178">
        <f t="shared" si="24"/>
        <v>61.182119906786255</v>
      </c>
      <c r="G178" s="37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37">
        <f t="shared" si="23"/>
        <v>17.583574606313114</v>
      </c>
      <c r="F179">
        <f t="shared" si="24"/>
        <v>17.583574606313114</v>
      </c>
      <c r="G179" s="37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2425</v>
      </c>
    </row>
    <row r="180" spans="1:15" x14ac:dyDescent="0.45">
      <c r="A180" t="s">
        <v>2329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0">
        <f>SUM(J173:J179)</f>
        <v>0.9009484493777038</v>
      </c>
      <c r="K180" s="40">
        <f>SUM(K173:K179)</f>
        <v>107.21286547594676</v>
      </c>
      <c r="M180" s="20" t="s">
        <v>2426</v>
      </c>
      <c r="N180" s="41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2351</v>
      </c>
      <c r="C181" s="29">
        <f>SUM(C173:C180)</f>
        <v>120</v>
      </c>
      <c r="D181" s="37">
        <f>SUM(D173:D179)/C182</f>
        <v>5.1932773109243699</v>
      </c>
      <c r="E181" s="20" t="s">
        <v>2353</v>
      </c>
      <c r="F181" s="37">
        <f>SUM(F173:F180)/(C182-1)</f>
        <v>1.9708018800740637</v>
      </c>
      <c r="G181" s="20" t="s">
        <v>2349</v>
      </c>
      <c r="N181" s="20" t="s">
        <v>2428</v>
      </c>
    </row>
    <row r="182" spans="1:15" x14ac:dyDescent="0.45">
      <c r="B182" s="20" t="s">
        <v>2352</v>
      </c>
      <c r="C182">
        <f>C181-C180</f>
        <v>119</v>
      </c>
      <c r="D182" s="33">
        <f>D181/7</f>
        <v>0.74189675870348137</v>
      </c>
      <c r="F182" s="37">
        <f>F181^(1/2)</f>
        <v>1.4038525136473787</v>
      </c>
      <c r="G182" t="s">
        <v>2404</v>
      </c>
    </row>
    <row r="183" spans="1:15" x14ac:dyDescent="0.45">
      <c r="B183" s="20"/>
      <c r="D183" s="45" t="str">
        <f>VLOOKUP(D181,InterpretacjaŚredniej[],2,1)</f>
        <v>raczej się zgadzam</v>
      </c>
      <c r="E183">
        <f>D181-(K183*F182/SQRT(C182))</f>
        <v>4.9384341960237395</v>
      </c>
      <c r="F183" s="38" t="str">
        <f>"&lt; m &lt;"</f>
        <v>&lt; m &lt;</v>
      </c>
      <c r="G183">
        <f>D181+(K183*F182/SQRT(C182))</f>
        <v>5.4481204258250004</v>
      </c>
      <c r="H183" t="s">
        <v>2407</v>
      </c>
      <c r="I183">
        <v>0.05</v>
      </c>
      <c r="J183" s="20" t="s">
        <v>2417</v>
      </c>
      <c r="K183">
        <f>VLOOKUP($C$182-1,Tabl_tStudenta[],5,0)</f>
        <v>1.9802722492729716</v>
      </c>
    </row>
    <row r="184" spans="1:15" x14ac:dyDescent="0.45">
      <c r="B184" s="20"/>
      <c r="D184" s="33"/>
      <c r="G184" s="35">
        <f>G183-E183</f>
        <v>0.50968622980126099</v>
      </c>
    </row>
    <row r="185" spans="1:15" x14ac:dyDescent="0.45">
      <c r="A185" s="29" t="s">
        <v>2364</v>
      </c>
      <c r="C185" t="s">
        <v>2348</v>
      </c>
      <c r="E185" s="20" t="s">
        <v>2362</v>
      </c>
      <c r="F185" s="20" t="s">
        <v>2363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37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37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37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37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37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37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37">
        <f t="shared" si="33"/>
        <v>16.885883765270812</v>
      </c>
      <c r="F192">
        <f t="shared" si="34"/>
        <v>33.771767530541624</v>
      </c>
    </row>
    <row r="193" spans="1:7" x14ac:dyDescent="0.45">
      <c r="A193" t="s">
        <v>2329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2351</v>
      </c>
      <c r="C194" s="29">
        <f>SUM(C186:C193)</f>
        <v>120</v>
      </c>
      <c r="D194" s="37">
        <f>SUM(D186:D192)/C195</f>
        <v>5.1092436974789912</v>
      </c>
      <c r="E194" s="20" t="s">
        <v>2353</v>
      </c>
      <c r="F194" s="37">
        <f>SUM(F186:F193)/(C195-1)</f>
        <v>2.0303375587523145</v>
      </c>
      <c r="G194" s="20" t="s">
        <v>2349</v>
      </c>
    </row>
    <row r="195" spans="1:7" x14ac:dyDescent="0.45">
      <c r="B195" s="20" t="s">
        <v>2352</v>
      </c>
      <c r="C195">
        <f>C194-C193</f>
        <v>119</v>
      </c>
      <c r="D195" s="33">
        <f>D194/7</f>
        <v>0.72989195678271301</v>
      </c>
      <c r="F195" s="37">
        <f>F194^(1/2)</f>
        <v>1.424899139852472</v>
      </c>
      <c r="G195" t="s">
        <v>2404</v>
      </c>
    </row>
    <row r="196" spans="1:7" x14ac:dyDescent="0.45">
      <c r="B196" s="20"/>
      <c r="D196" s="33"/>
    </row>
    <row r="197" spans="1:7" x14ac:dyDescent="0.45">
      <c r="A197" s="29" t="s">
        <v>2365</v>
      </c>
      <c r="C197" t="s">
        <v>2348</v>
      </c>
      <c r="E197" s="20" t="s">
        <v>2362</v>
      </c>
      <c r="F197" s="20" t="s">
        <v>2363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37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37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37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37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37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37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37">
        <f t="shared" si="36"/>
        <v>15.665630958265661</v>
      </c>
      <c r="F204">
        <f t="shared" si="37"/>
        <v>125.32504766612529</v>
      </c>
    </row>
    <row r="205" spans="1:7" x14ac:dyDescent="0.45">
      <c r="A205" t="s">
        <v>2329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2351</v>
      </c>
      <c r="C206" s="29">
        <f>SUM(C198:C205)</f>
        <v>120</v>
      </c>
      <c r="D206" s="37">
        <f>SUM(D198:D204)/C207</f>
        <v>4.9579831932773111</v>
      </c>
      <c r="E206" s="20" t="s">
        <v>2353</v>
      </c>
      <c r="F206" s="37">
        <f>SUM(F198:F205)/(C207-1)</f>
        <v>3.1422874234439537</v>
      </c>
      <c r="G206" s="20" t="s">
        <v>2349</v>
      </c>
    </row>
    <row r="207" spans="1:7" x14ac:dyDescent="0.45">
      <c r="B207" s="20" t="s">
        <v>2352</v>
      </c>
      <c r="C207">
        <f>C206-C205</f>
        <v>119</v>
      </c>
      <c r="D207" s="33">
        <f>D206/7</f>
        <v>0.70828331332533012</v>
      </c>
      <c r="F207" s="37">
        <f>F206^(1/2)</f>
        <v>1.7726498310281007</v>
      </c>
      <c r="G207" t="s">
        <v>2404</v>
      </c>
    </row>
    <row r="208" spans="1:7" x14ac:dyDescent="0.45">
      <c r="B208" s="20"/>
      <c r="D208" s="33"/>
    </row>
    <row r="209" spans="1:21" x14ac:dyDescent="0.45">
      <c r="A209" s="29" t="s">
        <v>2354</v>
      </c>
      <c r="C209" t="s">
        <v>2367</v>
      </c>
      <c r="D209" t="s">
        <v>2368</v>
      </c>
      <c r="E209" t="s">
        <v>2369</v>
      </c>
      <c r="F209" s="20" t="s">
        <v>2374</v>
      </c>
      <c r="G209" s="20" t="s">
        <v>2370</v>
      </c>
      <c r="H209" s="20" t="s">
        <v>2371</v>
      </c>
      <c r="I209" s="20" t="s">
        <v>2372</v>
      </c>
      <c r="J209" s="20" t="s">
        <v>2373</v>
      </c>
      <c r="K209" s="20" t="s">
        <v>2362</v>
      </c>
      <c r="L209" s="20" t="s">
        <v>2363</v>
      </c>
      <c r="M209" s="20" t="s">
        <v>2430</v>
      </c>
      <c r="N209" s="20" t="s">
        <v>2418</v>
      </c>
      <c r="O209" s="20" t="s">
        <v>2419</v>
      </c>
      <c r="P209" s="20" t="s">
        <v>2420</v>
      </c>
      <c r="Q209" s="20" t="s">
        <v>2421</v>
      </c>
      <c r="R209" s="20" t="s">
        <v>2422</v>
      </c>
      <c r="S209" s="20" t="s">
        <v>2423</v>
      </c>
      <c r="T209" s="20" t="s">
        <v>2424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37">
        <f>(A210-$J$218)^2</f>
        <v>1.7013232514177683</v>
      </c>
      <c r="L210">
        <f>PRODUCT(F210,K210)</f>
        <v>13.610586011342146</v>
      </c>
      <c r="M210" s="37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37">
        <f t="shared" ref="K211:K216" si="44">(A211-$J$218)^2</f>
        <v>9.2627599243856079E-2</v>
      </c>
      <c r="L211">
        <f t="shared" ref="L211:L216" si="45">PRODUCT(F211,K211)</f>
        <v>0.64839319470699253</v>
      </c>
      <c r="M211" s="37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37">
        <f t="shared" si="44"/>
        <v>0.48393194706994386</v>
      </c>
      <c r="L212">
        <f t="shared" si="45"/>
        <v>1.4517958412098315</v>
      </c>
      <c r="M212" s="37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37">
        <f t="shared" si="44"/>
        <v>2.8752362948960317</v>
      </c>
      <c r="L213">
        <f t="shared" si="45"/>
        <v>11.500945179584127</v>
      </c>
      <c r="M213" s="37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37">
        <f t="shared" si="44"/>
        <v>7.2665406427221191</v>
      </c>
      <c r="L214">
        <f t="shared" si="45"/>
        <v>0</v>
      </c>
      <c r="M214" s="37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37">
        <f t="shared" si="44"/>
        <v>13.657844990548208</v>
      </c>
      <c r="L215">
        <f t="shared" si="45"/>
        <v>13.657844990548208</v>
      </c>
      <c r="M215" s="37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37">
        <f t="shared" si="44"/>
        <v>22.049149338374296</v>
      </c>
      <c r="L216">
        <f t="shared" si="45"/>
        <v>0</v>
      </c>
      <c r="M216" s="37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2425</v>
      </c>
    </row>
    <row r="217" spans="1:21" x14ac:dyDescent="0.45">
      <c r="A217" t="s">
        <v>2329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0">
        <f>SUM(P210:P216)</f>
        <v>0.83071237545739829</v>
      </c>
      <c r="Q217" s="40">
        <f>SUM(Q210:Q216)</f>
        <v>13.291398007318373</v>
      </c>
      <c r="S217" s="20" t="s">
        <v>2426</v>
      </c>
      <c r="T217" s="41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2351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37">
        <f>SUM(G210:G217)/$C219</f>
        <v>5.8125</v>
      </c>
      <c r="H218" s="37">
        <f t="shared" ref="H218:I218" si="53">SUM(H210:H217)/$C219</f>
        <v>1.75</v>
      </c>
      <c r="I218" s="37">
        <f t="shared" si="53"/>
        <v>0.6875</v>
      </c>
      <c r="J218" s="37">
        <f>SUM(J210:J216)/$F219</f>
        <v>5.6956521739130439</v>
      </c>
      <c r="K218" s="20" t="s">
        <v>2353</v>
      </c>
      <c r="L218" s="37">
        <f>SUM(L210:L217)/(F219-1)</f>
        <v>1.8577075098814229</v>
      </c>
      <c r="M218" s="20" t="s">
        <v>2349</v>
      </c>
      <c r="T218" s="20" t="s">
        <v>2427</v>
      </c>
    </row>
    <row r="219" spans="1:21" x14ac:dyDescent="0.45">
      <c r="B219" s="20" t="s">
        <v>2352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44" t="str">
        <f>VLOOKUP(J218,InterpretacjaŚredniej[],2,1)</f>
        <v>zgadzam się</v>
      </c>
      <c r="L219" s="37">
        <f>L218^(1/2)</f>
        <v>1.3629774429099781</v>
      </c>
      <c r="M219" t="s">
        <v>2404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38" t="str">
        <f>"&lt; m &lt;"</f>
        <v>&lt; m &lt;</v>
      </c>
      <c r="M220">
        <f>J218+(Q220*L219/SQRT(C219))</f>
        <v>6.4219315867377178</v>
      </c>
      <c r="N220" t="s">
        <v>2407</v>
      </c>
      <c r="O220">
        <v>0.05</v>
      </c>
      <c r="P220" s="20" t="s">
        <v>2417</v>
      </c>
      <c r="Q220">
        <f>VLOOKUP($C$219-1,Tabl_tStudenta[],5,0)</f>
        <v>2.1314495455597742</v>
      </c>
    </row>
    <row r="221" spans="1:21" x14ac:dyDescent="0.45">
      <c r="B221" s="20"/>
      <c r="D221" s="33"/>
      <c r="F221" s="37"/>
      <c r="M221" s="35">
        <f>M220-K220</f>
        <v>1.4525588256493478</v>
      </c>
    </row>
    <row r="222" spans="1:21" x14ac:dyDescent="0.45">
      <c r="A222" s="29" t="s">
        <v>2366</v>
      </c>
      <c r="C222" t="s">
        <v>2367</v>
      </c>
      <c r="D222" t="s">
        <v>2368</v>
      </c>
      <c r="E222" t="s">
        <v>2369</v>
      </c>
      <c r="F222" s="20" t="s">
        <v>2374</v>
      </c>
      <c r="G222" s="20" t="s">
        <v>2370</v>
      </c>
      <c r="H222" s="20" t="s">
        <v>2371</v>
      </c>
      <c r="I222" s="20" t="s">
        <v>2372</v>
      </c>
      <c r="J222" s="20" t="s">
        <v>2373</v>
      </c>
      <c r="K222" s="20" t="s">
        <v>2362</v>
      </c>
      <c r="L222" s="20" t="s">
        <v>2363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37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37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37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37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37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37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37">
        <f t="shared" si="59"/>
        <v>23.712665406427224</v>
      </c>
      <c r="L229">
        <f t="shared" si="60"/>
        <v>0</v>
      </c>
    </row>
    <row r="230" spans="1:13" x14ac:dyDescent="0.45">
      <c r="A230" t="s">
        <v>2329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2351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37">
        <f>SUM(G223:G230)/$C232</f>
        <v>5.9375</v>
      </c>
      <c r="H231" s="37">
        <f t="shared" ref="H231" si="61">SUM(H223:H230)/$C232</f>
        <v>1.8125</v>
      </c>
      <c r="I231" s="37">
        <f t="shared" ref="I231" si="62">SUM(I223:I230)/$C232</f>
        <v>0.75</v>
      </c>
      <c r="J231" s="37">
        <f>SUM(J223:J229)/$F232</f>
        <v>5.8695652173913047</v>
      </c>
      <c r="K231" s="20" t="s">
        <v>2353</v>
      </c>
      <c r="L231" s="37">
        <f>SUM(L223:L230)/(F232-1)</f>
        <v>1.6640316205533594</v>
      </c>
      <c r="M231" s="20" t="s">
        <v>2349</v>
      </c>
    </row>
    <row r="232" spans="1:13" x14ac:dyDescent="0.45">
      <c r="B232" s="20" t="s">
        <v>2352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37">
        <f>L231^(1/2)</f>
        <v>1.2899734960662406</v>
      </c>
      <c r="M232" t="s">
        <v>2404</v>
      </c>
    </row>
    <row r="233" spans="1:13" x14ac:dyDescent="0.45">
      <c r="B233" s="20"/>
      <c r="D233" s="33"/>
      <c r="F233" s="37"/>
    </row>
    <row r="234" spans="1:13" x14ac:dyDescent="0.45">
      <c r="A234" s="29" t="s">
        <v>2375</v>
      </c>
      <c r="C234" t="s">
        <v>2367</v>
      </c>
      <c r="D234" t="s">
        <v>2368</v>
      </c>
      <c r="E234" t="s">
        <v>2369</v>
      </c>
      <c r="F234" s="20" t="s">
        <v>2374</v>
      </c>
      <c r="G234" s="20" t="s">
        <v>2370</v>
      </c>
      <c r="H234" s="20" t="s">
        <v>2371</v>
      </c>
      <c r="I234" s="20" t="s">
        <v>2372</v>
      </c>
      <c r="J234" s="20" t="s">
        <v>2373</v>
      </c>
      <c r="K234" s="20" t="s">
        <v>2362</v>
      </c>
      <c r="L234" s="20" t="s">
        <v>2363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37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37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37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37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37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37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37">
        <f t="shared" si="68"/>
        <v>20.054820415879021</v>
      </c>
      <c r="L241">
        <f t="shared" si="69"/>
        <v>0</v>
      </c>
    </row>
    <row r="242" spans="1:13" x14ac:dyDescent="0.45">
      <c r="A242" t="s">
        <v>2329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2351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37">
        <f>SUM(G235:G242)/$C244</f>
        <v>5.5</v>
      </c>
      <c r="H243" s="37">
        <f t="shared" ref="H243" si="70">SUM(H235:H242)/$C244</f>
        <v>1.625</v>
      </c>
      <c r="I243" s="37">
        <f t="shared" ref="I243" si="71">SUM(I235:I242)/$C244</f>
        <v>0.8125</v>
      </c>
      <c r="J243" s="37">
        <f>SUM(J235:J241)/$F244</f>
        <v>5.4782608695652177</v>
      </c>
      <c r="K243" s="20" t="s">
        <v>2353</v>
      </c>
      <c r="L243" s="37">
        <f>SUM(L235:L242)/(F244-1)</f>
        <v>3.1699604743082999</v>
      </c>
      <c r="M243" s="20" t="s">
        <v>2349</v>
      </c>
    </row>
    <row r="244" spans="1:13" x14ac:dyDescent="0.45">
      <c r="B244" s="20" t="s">
        <v>2352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37">
        <f>L243^(1/2)</f>
        <v>1.7804382815217998</v>
      </c>
      <c r="M244" t="s">
        <v>2404</v>
      </c>
    </row>
    <row r="245" spans="1:13" x14ac:dyDescent="0.45">
      <c r="B245" s="20"/>
      <c r="D245" s="33"/>
      <c r="F245" s="37"/>
    </row>
    <row r="246" spans="1:13" x14ac:dyDescent="0.45">
      <c r="B246" s="20"/>
      <c r="D246" s="33"/>
      <c r="F246" s="37"/>
    </row>
    <row r="247" spans="1:13" x14ac:dyDescent="0.45">
      <c r="B247" s="20"/>
      <c r="D247" s="33"/>
      <c r="F247" s="37"/>
    </row>
    <row r="249" spans="1:13" x14ac:dyDescent="0.45">
      <c r="A249" s="29" t="s">
        <v>2355</v>
      </c>
      <c r="C249" t="s">
        <v>2348</v>
      </c>
      <c r="E249" s="20" t="s">
        <v>2362</v>
      </c>
      <c r="F249" s="20" t="s">
        <v>2363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37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37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37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37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37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37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37">
        <f t="shared" si="73"/>
        <v>33.0625</v>
      </c>
      <c r="F256">
        <f t="shared" si="74"/>
        <v>0</v>
      </c>
    </row>
    <row r="257" spans="1:11" x14ac:dyDescent="0.45">
      <c r="A257" t="s">
        <v>2329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2351</v>
      </c>
      <c r="C258" s="29">
        <f>SUM(C250:C257)</f>
        <v>4</v>
      </c>
      <c r="D258" s="37">
        <f>SUM(D250:D256)/C259</f>
        <v>6.75</v>
      </c>
      <c r="E258" s="20" t="s">
        <v>2353</v>
      </c>
      <c r="F258" s="37">
        <f>SUM(F250:F257)/(C259-1)</f>
        <v>0.25</v>
      </c>
      <c r="G258" s="20" t="s">
        <v>2349</v>
      </c>
    </row>
    <row r="259" spans="1:11" x14ac:dyDescent="0.45">
      <c r="B259" s="20" t="s">
        <v>2352</v>
      </c>
      <c r="C259">
        <f>C258-C257</f>
        <v>4</v>
      </c>
      <c r="D259" s="33">
        <f>D258/7</f>
        <v>0.9642857142857143</v>
      </c>
      <c r="F259" s="37">
        <f>F258^(1/2)</f>
        <v>0.5</v>
      </c>
      <c r="G259" t="s">
        <v>2404</v>
      </c>
    </row>
    <row r="260" spans="1:11" x14ac:dyDescent="0.45">
      <c r="B260" s="20"/>
      <c r="D260" s="45" t="str">
        <f>VLOOKUP(D258,InterpretacjaŚredniej[],2,1)</f>
        <v>zdecydowanie się zgadzam</v>
      </c>
      <c r="E260">
        <f>D258-(K260*F259/SQRT(C259))</f>
        <v>5.954388423679073</v>
      </c>
      <c r="F260" s="38" t="str">
        <f>"&lt; m &lt;"</f>
        <v>&lt; m &lt;</v>
      </c>
      <c r="G260">
        <f>D258+(K260*F259/SQRT(C259))</f>
        <v>7.545611576320927</v>
      </c>
      <c r="H260" t="s">
        <v>2407</v>
      </c>
      <c r="I260">
        <v>0.05</v>
      </c>
      <c r="J260" s="20" t="s">
        <v>2417</v>
      </c>
      <c r="K260">
        <f>VLOOKUP($C$259-1,Tabl_tStudenta[],5,0)</f>
        <v>3.1824463052837091</v>
      </c>
    </row>
    <row r="261" spans="1:11" x14ac:dyDescent="0.45">
      <c r="B261" s="20"/>
      <c r="D261" s="33"/>
      <c r="F261" s="37"/>
      <c r="G261" s="35">
        <f>G260-E260</f>
        <v>1.5912231526418541</v>
      </c>
    </row>
    <row r="262" spans="1:11" x14ac:dyDescent="0.45">
      <c r="A262" s="29" t="s">
        <v>2376</v>
      </c>
      <c r="C262" t="s">
        <v>2348</v>
      </c>
      <c r="E262" s="20" t="s">
        <v>2362</v>
      </c>
      <c r="F262" s="20" t="s">
        <v>2363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37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37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37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37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37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37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37">
        <f t="shared" si="76"/>
        <v>27.5625</v>
      </c>
      <c r="F269">
        <f t="shared" si="77"/>
        <v>0</v>
      </c>
    </row>
    <row r="270" spans="1:11" x14ac:dyDescent="0.45">
      <c r="A270" t="s">
        <v>2329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2351</v>
      </c>
      <c r="C271" s="29">
        <f>SUM(C263:C270)</f>
        <v>4</v>
      </c>
      <c r="D271" s="37">
        <f>SUM(D263:D269)/C272</f>
        <v>6.25</v>
      </c>
      <c r="E271" s="20" t="s">
        <v>2353</v>
      </c>
      <c r="F271" s="37">
        <f>SUM(F263:F270)/(C272-1)</f>
        <v>0.91666666666666663</v>
      </c>
      <c r="G271" s="20" t="s">
        <v>2349</v>
      </c>
    </row>
    <row r="272" spans="1:11" x14ac:dyDescent="0.45">
      <c r="B272" s="20" t="s">
        <v>2352</v>
      </c>
      <c r="C272">
        <f>C271-C270</f>
        <v>4</v>
      </c>
      <c r="D272" s="33">
        <f>D271/7</f>
        <v>0.8928571428571429</v>
      </c>
      <c r="F272" s="37">
        <f>F271^(1/2)</f>
        <v>0.9574271077563381</v>
      </c>
      <c r="G272" t="s">
        <v>2404</v>
      </c>
    </row>
    <row r="273" spans="1:7" x14ac:dyDescent="0.45">
      <c r="B273" s="20"/>
      <c r="D273" s="33"/>
      <c r="F273" s="37"/>
    </row>
    <row r="274" spans="1:7" x14ac:dyDescent="0.45">
      <c r="A274" s="29" t="s">
        <v>2377</v>
      </c>
      <c r="C274" t="s">
        <v>2348</v>
      </c>
      <c r="E274" s="20" t="s">
        <v>2362</v>
      </c>
      <c r="F274" s="20" t="s">
        <v>2363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37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37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37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37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37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37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37">
        <f t="shared" si="79"/>
        <v>25</v>
      </c>
      <c r="F281">
        <f t="shared" si="80"/>
        <v>0</v>
      </c>
    </row>
    <row r="282" spans="1:7" x14ac:dyDescent="0.45">
      <c r="A282" t="s">
        <v>2329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2351</v>
      </c>
      <c r="C283" s="29">
        <f>SUM(C275:C282)</f>
        <v>4</v>
      </c>
      <c r="D283" s="37">
        <f>SUM(D275:D281)/C284</f>
        <v>6</v>
      </c>
      <c r="E283" s="20" t="s">
        <v>2353</v>
      </c>
      <c r="F283" s="37">
        <f>SUM(F275:F282)/(C284-1)</f>
        <v>4</v>
      </c>
      <c r="G283" s="20" t="s">
        <v>2349</v>
      </c>
    </row>
    <row r="284" spans="1:7" x14ac:dyDescent="0.45">
      <c r="B284" s="20" t="s">
        <v>2352</v>
      </c>
      <c r="C284">
        <f>C283-C282</f>
        <v>4</v>
      </c>
      <c r="D284" s="33">
        <f>D283/7</f>
        <v>0.8571428571428571</v>
      </c>
      <c r="F284" s="37">
        <f>F283^(1/2)</f>
        <v>2</v>
      </c>
      <c r="G284" t="s">
        <v>2404</v>
      </c>
    </row>
    <row r="285" spans="1:7" x14ac:dyDescent="0.45">
      <c r="B285" s="20"/>
      <c r="D285" s="33"/>
      <c r="F285" s="37"/>
    </row>
    <row r="286" spans="1:7" x14ac:dyDescent="0.45">
      <c r="A286" s="29" t="s">
        <v>2378</v>
      </c>
      <c r="C286" t="s">
        <v>2348</v>
      </c>
      <c r="E286" s="20" t="s">
        <v>2362</v>
      </c>
      <c r="F286" s="20" t="s">
        <v>2363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37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37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37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37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37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37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37">
        <f t="shared" si="82"/>
        <v>33.0625</v>
      </c>
      <c r="F293">
        <f t="shared" si="83"/>
        <v>0</v>
      </c>
    </row>
    <row r="294" spans="1:7" x14ac:dyDescent="0.45">
      <c r="A294" t="s">
        <v>2329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2351</v>
      </c>
      <c r="C295" s="29">
        <f>SUM(C287:C294)</f>
        <v>4</v>
      </c>
      <c r="D295" s="37">
        <f>SUM(D287:D293)/C296</f>
        <v>6.75</v>
      </c>
      <c r="E295" s="20" t="s">
        <v>2353</v>
      </c>
      <c r="F295" s="37">
        <f>SUM(F287:F294)/(C296-1)</f>
        <v>0.25</v>
      </c>
      <c r="G295" s="20" t="s">
        <v>2349</v>
      </c>
    </row>
    <row r="296" spans="1:7" x14ac:dyDescent="0.45">
      <c r="B296" s="20" t="s">
        <v>2352</v>
      </c>
      <c r="C296">
        <f>C295-C294</f>
        <v>4</v>
      </c>
      <c r="D296" s="33">
        <f>D295/7</f>
        <v>0.9642857142857143</v>
      </c>
      <c r="F296" s="37">
        <f>F295^(1/2)</f>
        <v>0.5</v>
      </c>
      <c r="G296" t="s">
        <v>2404</v>
      </c>
    </row>
    <row r="297" spans="1:7" x14ac:dyDescent="0.45">
      <c r="B297" s="20"/>
      <c r="D297" s="33"/>
      <c r="F297" s="37"/>
    </row>
    <row r="298" spans="1:7" x14ac:dyDescent="0.45">
      <c r="A298" s="29" t="s">
        <v>2378</v>
      </c>
      <c r="C298" t="s">
        <v>2348</v>
      </c>
      <c r="E298" s="20" t="s">
        <v>2362</v>
      </c>
      <c r="F298" s="20" t="s">
        <v>2363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37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37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37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37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37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37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37">
        <f t="shared" si="85"/>
        <v>30.25</v>
      </c>
      <c r="F305">
        <f t="shared" si="86"/>
        <v>0</v>
      </c>
    </row>
    <row r="306" spans="1:7" x14ac:dyDescent="0.45">
      <c r="A306" t="s">
        <v>2329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2351</v>
      </c>
      <c r="C307" s="29">
        <f>SUM(C299:C306)</f>
        <v>4</v>
      </c>
      <c r="D307" s="37">
        <f>SUM(D299:D305)/C308</f>
        <v>6.5</v>
      </c>
      <c r="E307" s="20" t="s">
        <v>2353</v>
      </c>
      <c r="F307" s="37">
        <f>SUM(F299:F306)/(C308-1)</f>
        <v>0.33333333333333331</v>
      </c>
      <c r="G307" s="20" t="s">
        <v>2349</v>
      </c>
    </row>
    <row r="308" spans="1:7" x14ac:dyDescent="0.45">
      <c r="B308" s="20" t="s">
        <v>2352</v>
      </c>
      <c r="C308">
        <f>C307-C306</f>
        <v>4</v>
      </c>
      <c r="D308" s="33">
        <f>D307/7</f>
        <v>0.9285714285714286</v>
      </c>
      <c r="F308" s="37">
        <f>F307^(1/2)</f>
        <v>0.57735026918962573</v>
      </c>
      <c r="G308" t="s">
        <v>2404</v>
      </c>
    </row>
    <row r="309" spans="1:7" x14ac:dyDescent="0.45">
      <c r="B309" s="20"/>
      <c r="D309" s="33"/>
      <c r="F309" s="37"/>
    </row>
    <row r="310" spans="1:7" x14ac:dyDescent="0.45">
      <c r="A310" s="29" t="s">
        <v>2378</v>
      </c>
      <c r="C310" t="s">
        <v>2348</v>
      </c>
      <c r="E310" s="20" t="s">
        <v>2362</v>
      </c>
      <c r="F310" s="20" t="s">
        <v>2363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37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37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37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37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37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37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37">
        <f t="shared" si="88"/>
        <v>30.25</v>
      </c>
      <c r="F317">
        <f t="shared" si="89"/>
        <v>0</v>
      </c>
    </row>
    <row r="318" spans="1:7" x14ac:dyDescent="0.45">
      <c r="A318" t="s">
        <v>2329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2351</v>
      </c>
      <c r="C319" s="29">
        <f>SUM(C311:C318)</f>
        <v>4</v>
      </c>
      <c r="D319" s="37">
        <f>SUM(D311:D317)/C320</f>
        <v>6.5</v>
      </c>
      <c r="E319" s="20" t="s">
        <v>2353</v>
      </c>
      <c r="F319" s="37">
        <f>SUM(F311:F318)/(C320-1)</f>
        <v>0.33333333333333331</v>
      </c>
      <c r="G319" s="20" t="s">
        <v>2349</v>
      </c>
    </row>
    <row r="320" spans="1:7" x14ac:dyDescent="0.45">
      <c r="B320" s="20" t="s">
        <v>2352</v>
      </c>
      <c r="C320">
        <f>C319-C318</f>
        <v>4</v>
      </c>
      <c r="D320" s="33">
        <f>D319/7</f>
        <v>0.9285714285714286</v>
      </c>
      <c r="F320" s="37">
        <f>F319^(1/2)</f>
        <v>0.57735026918962573</v>
      </c>
      <c r="G320" t="s">
        <v>2404</v>
      </c>
    </row>
    <row r="322" spans="1:15" x14ac:dyDescent="0.45">
      <c r="A322" s="29" t="s">
        <v>2356</v>
      </c>
      <c r="C322" t="s">
        <v>2348</v>
      </c>
      <c r="E322" s="20" t="s">
        <v>2362</v>
      </c>
      <c r="F322" s="20" t="s">
        <v>2363</v>
      </c>
      <c r="G322" s="20" t="s">
        <v>2430</v>
      </c>
      <c r="H322" s="20" t="s">
        <v>2418</v>
      </c>
      <c r="I322" s="20" t="s">
        <v>2419</v>
      </c>
      <c r="J322" s="20" t="s">
        <v>2420</v>
      </c>
      <c r="K322" s="20" t="s">
        <v>2421</v>
      </c>
      <c r="L322" s="20" t="s">
        <v>2422</v>
      </c>
      <c r="M322" s="20" t="s">
        <v>2423</v>
      </c>
      <c r="N322" s="20" t="s">
        <v>2424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37">
        <f>(A323-$D$331)^2</f>
        <v>1</v>
      </c>
      <c r="F323">
        <f>PRODUCT(C323,E323)</f>
        <v>7</v>
      </c>
      <c r="G323" s="37">
        <f>VLOOKUP(A323,TabeleGrup!$C$45:$D$51,2,0)</f>
        <v>6.9999999999999991</v>
      </c>
      <c r="H323" s="37">
        <f>(G323-$D$331)/$F$332</f>
        <v>0.66421116415507087</v>
      </c>
      <c r="I323" s="37">
        <f>NORMDIST(H323,0,1,1)</f>
        <v>0.74672241547547968</v>
      </c>
      <c r="J323" s="37">
        <f>I323-I324</f>
        <v>0.20892458390242186</v>
      </c>
      <c r="K323" s="37">
        <f>$C$332*J323</f>
        <v>3.3427933424387497</v>
      </c>
      <c r="L323" s="37">
        <f>C323-K323</f>
        <v>3.6572066575612503</v>
      </c>
      <c r="M323" s="37">
        <f>L323^2</f>
        <v>13.375160536110332</v>
      </c>
      <c r="N323" s="37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37">
        <f t="shared" ref="E324:E329" si="91">(A324-$D$331)^2</f>
        <v>0</v>
      </c>
      <c r="F324">
        <f t="shared" ref="F324:F329" si="92">PRODUCT(C324,E324)</f>
        <v>0</v>
      </c>
      <c r="G324" s="37">
        <f>VLOOKUP(A324,TabeleGrup!$C$45:$D$51,2,0)</f>
        <v>6.1428571428571423</v>
      </c>
      <c r="H324" s="37">
        <f t="shared" ref="H324:H329" si="93">(G324-$D$331)/$F$332</f>
        <v>9.488730916500987E-2</v>
      </c>
      <c r="I324" s="37">
        <f t="shared" ref="I324:I329" si="94">NORMDIST(H324,0,1,1)</f>
        <v>0.53779783157305783</v>
      </c>
      <c r="J324" s="37">
        <f t="shared" ref="J324:J329" si="95">I324-I325</f>
        <v>0.22020351293028306</v>
      </c>
      <c r="K324" s="37">
        <f t="shared" ref="K324:K329" si="96">$C$332*J324</f>
        <v>3.523256206884529</v>
      </c>
      <c r="L324" s="37">
        <f t="shared" ref="L324:L329" si="97">C324-K324</f>
        <v>2.476743793115471</v>
      </c>
      <c r="M324" s="37">
        <f t="shared" ref="M324:M329" si="98">L324^2</f>
        <v>6.1342598167360114</v>
      </c>
      <c r="N324" s="37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37">
        <f t="shared" si="91"/>
        <v>1</v>
      </c>
      <c r="F325">
        <f t="shared" si="92"/>
        <v>2</v>
      </c>
      <c r="G325" s="37">
        <f>VLOOKUP(A325,TabeleGrup!$C$45:$D$51,2,0)</f>
        <v>5.2857142857142856</v>
      </c>
      <c r="H325" s="37">
        <f t="shared" si="93"/>
        <v>-0.47443654582505113</v>
      </c>
      <c r="I325" s="37">
        <f t="shared" si="94"/>
        <v>0.31759431864277476</v>
      </c>
      <c r="J325" s="37">
        <f t="shared" si="95"/>
        <v>0.16929619022200773</v>
      </c>
      <c r="K325" s="37">
        <f t="shared" si="96"/>
        <v>2.7087390435521237</v>
      </c>
      <c r="L325" s="37">
        <f t="shared" si="97"/>
        <v>-0.70873904355212369</v>
      </c>
      <c r="M325" s="37">
        <f t="shared" si="98"/>
        <v>0.50231103185517911</v>
      </c>
      <c r="N325" s="37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37">
        <f t="shared" si="91"/>
        <v>4</v>
      </c>
      <c r="F326">
        <f t="shared" si="92"/>
        <v>0</v>
      </c>
      <c r="G326" s="37">
        <f>VLOOKUP(A326,TabeleGrup!$C$45:$D$51,2,0)</f>
        <v>4.4285714285714288</v>
      </c>
      <c r="H326" s="37">
        <f t="shared" si="93"/>
        <v>-1.0437604008151122</v>
      </c>
      <c r="I326" s="37">
        <f t="shared" si="94"/>
        <v>0.14829812842076703</v>
      </c>
      <c r="J326" s="37">
        <f t="shared" si="95"/>
        <v>9.4935026471882566E-2</v>
      </c>
      <c r="K326" s="37">
        <f t="shared" si="96"/>
        <v>1.5189604235501211</v>
      </c>
      <c r="L326" s="37">
        <f t="shared" si="97"/>
        <v>-1.5189604235501211</v>
      </c>
      <c r="M326" s="37">
        <f t="shared" si="98"/>
        <v>2.307240768311563</v>
      </c>
      <c r="N326" s="37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37">
        <f t="shared" si="91"/>
        <v>9</v>
      </c>
      <c r="F327">
        <f t="shared" si="92"/>
        <v>0</v>
      </c>
      <c r="G327" s="37">
        <f>VLOOKUP(A327,TabeleGrup!$C$45:$D$51,2,0)</f>
        <v>3.5714285714285716</v>
      </c>
      <c r="H327" s="37">
        <f t="shared" si="93"/>
        <v>-1.6130842558051735</v>
      </c>
      <c r="I327" s="37">
        <f t="shared" si="94"/>
        <v>5.3363101948884467E-2</v>
      </c>
      <c r="J327" s="37">
        <f t="shared" si="95"/>
        <v>3.8823388819432314E-2</v>
      </c>
      <c r="K327" s="37">
        <f t="shared" si="96"/>
        <v>0.62117422111091702</v>
      </c>
      <c r="L327" s="37">
        <f t="shared" si="97"/>
        <v>-0.62117422111091702</v>
      </c>
      <c r="M327" s="37">
        <f t="shared" si="98"/>
        <v>0.38585741297275444</v>
      </c>
      <c r="N327" s="37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37">
        <f t="shared" si="91"/>
        <v>16</v>
      </c>
      <c r="F328">
        <f t="shared" si="92"/>
        <v>0</v>
      </c>
      <c r="G328" s="37">
        <f>VLOOKUP(A328,TabeleGrup!$C$45:$D$51,2,0)</f>
        <v>2.7142857142857144</v>
      </c>
      <c r="H328" s="37">
        <f t="shared" si="93"/>
        <v>-2.1824081107952349</v>
      </c>
      <c r="I328" s="37">
        <f t="shared" si="94"/>
        <v>1.4539713129452157E-2</v>
      </c>
      <c r="J328" s="37">
        <f t="shared" si="95"/>
        <v>1.157566217788504E-2</v>
      </c>
      <c r="K328" s="37">
        <f t="shared" si="96"/>
        <v>0.18521059484616065</v>
      </c>
      <c r="L328" s="37">
        <f t="shared" si="97"/>
        <v>-0.18521059484616065</v>
      </c>
      <c r="M328" s="37">
        <f t="shared" si="98"/>
        <v>3.430296444326867E-2</v>
      </c>
      <c r="N328" s="37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37">
        <f t="shared" si="91"/>
        <v>25</v>
      </c>
      <c r="F329">
        <f t="shared" si="92"/>
        <v>25</v>
      </c>
      <c r="G329" s="37">
        <f>VLOOKUP(A329,TabeleGrup!$C$45:$D$51,2,0)</f>
        <v>1.8571428571428572</v>
      </c>
      <c r="H329" s="37">
        <f t="shared" si="93"/>
        <v>-2.7517319657852957</v>
      </c>
      <c r="I329" s="37">
        <f t="shared" si="94"/>
        <v>2.9640509515671165E-3</v>
      </c>
      <c r="J329" s="37">
        <f t="shared" si="95"/>
        <v>2.9640509515671165E-3</v>
      </c>
      <c r="K329" s="37">
        <f t="shared" si="96"/>
        <v>4.7424815225073864E-2</v>
      </c>
      <c r="L329" s="37">
        <f t="shared" si="97"/>
        <v>0.95257518477492609</v>
      </c>
      <c r="M329" s="37">
        <f t="shared" si="98"/>
        <v>0.90739948264898462</v>
      </c>
      <c r="N329" s="37">
        <f t="shared" si="99"/>
        <v>19.133432114443654</v>
      </c>
      <c r="O329" s="20" t="s">
        <v>2425</v>
      </c>
    </row>
    <row r="330" spans="1:15" x14ac:dyDescent="0.45">
      <c r="A330" t="s">
        <v>2329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0">
        <f>SUM(J323:J329)</f>
        <v>0.74672241547547968</v>
      </c>
      <c r="K330" s="40">
        <f>SUM(K323:K329)</f>
        <v>11.947558647607675</v>
      </c>
      <c r="M330" s="20" t="s">
        <v>2426</v>
      </c>
      <c r="N330" s="41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2351</v>
      </c>
      <c r="C331" s="29">
        <f>SUM(C323:C330)</f>
        <v>16</v>
      </c>
      <c r="D331" s="37">
        <f>SUM(D323:D329)/C332</f>
        <v>6</v>
      </c>
      <c r="E331" s="20" t="s">
        <v>2353</v>
      </c>
      <c r="F331" s="37">
        <f>SUM(F323:F330)/(C332-1)</f>
        <v>2.2666666666666666</v>
      </c>
      <c r="H331" s="20" t="s">
        <v>2405</v>
      </c>
      <c r="N331" s="20" t="s">
        <v>2428</v>
      </c>
    </row>
    <row r="332" spans="1:15" x14ac:dyDescent="0.45">
      <c r="B332" s="20" t="s">
        <v>2352</v>
      </c>
      <c r="C332">
        <f>C331-C330</f>
        <v>16</v>
      </c>
      <c r="D332" s="33">
        <f>D331/7</f>
        <v>0.8571428571428571</v>
      </c>
      <c r="F332" s="37">
        <f>F331^(1/2)</f>
        <v>1.505545305418162</v>
      </c>
      <c r="G332" t="s">
        <v>2404</v>
      </c>
    </row>
    <row r="333" spans="1:15" x14ac:dyDescent="0.45">
      <c r="B333" s="20"/>
      <c r="D333" s="44" t="str">
        <f>VLOOKUP(D331,InterpretacjaŚredniej[],2,1)</f>
        <v>zgadzam się</v>
      </c>
      <c r="E333">
        <f>D331-(K333*F332/SQRT(C332))</f>
        <v>5.1977515357367015</v>
      </c>
      <c r="F333" s="38" t="str">
        <f>"&lt; m &lt;"</f>
        <v>&lt; m &lt;</v>
      </c>
      <c r="G333">
        <f>D331+(K333*F332/SQRT(C332))</f>
        <v>6.8022484642632985</v>
      </c>
      <c r="H333" t="s">
        <v>2407</v>
      </c>
      <c r="I333">
        <v>0.05</v>
      </c>
      <c r="J333" s="20" t="s">
        <v>2417</v>
      </c>
      <c r="K333">
        <f>VLOOKUP($C$332-1,Tabl_tStudenta[],5,0)</f>
        <v>2.1314495455597742</v>
      </c>
    </row>
    <row r="334" spans="1:15" x14ac:dyDescent="0.45">
      <c r="G334" s="35">
        <f>G333-E333</f>
        <v>1.6044969285265971</v>
      </c>
    </row>
    <row r="335" spans="1:15" x14ac:dyDescent="0.45">
      <c r="A335" s="29" t="s">
        <v>2379</v>
      </c>
      <c r="C335" t="s">
        <v>2348</v>
      </c>
      <c r="E335" s="20" t="s">
        <v>2362</v>
      </c>
      <c r="F335" s="20" t="s">
        <v>2363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37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37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37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37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37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37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37">
        <f t="shared" si="101"/>
        <v>25.62890625</v>
      </c>
      <c r="F342">
        <f t="shared" si="102"/>
        <v>0</v>
      </c>
    </row>
    <row r="343" spans="1:7" x14ac:dyDescent="0.45">
      <c r="A343" t="s">
        <v>2329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2351</v>
      </c>
      <c r="C344" s="29">
        <f>SUM(C336:C343)</f>
        <v>16</v>
      </c>
      <c r="D344" s="37">
        <f>SUM(D336:D342)/C345</f>
        <v>6.0625</v>
      </c>
      <c r="E344" s="20" t="s">
        <v>2353</v>
      </c>
      <c r="F344" s="37">
        <f>SUM(F336:F343)/(C345-1)</f>
        <v>0.59583333333333333</v>
      </c>
      <c r="G344" s="20" t="s">
        <v>2349</v>
      </c>
    </row>
    <row r="345" spans="1:7" x14ac:dyDescent="0.45">
      <c r="B345" s="20" t="s">
        <v>2352</v>
      </c>
      <c r="C345">
        <f>C344-C343</f>
        <v>16</v>
      </c>
      <c r="D345" s="33">
        <f>D344/7</f>
        <v>0.8660714285714286</v>
      </c>
      <c r="F345" s="37">
        <f>F344^(1/2)</f>
        <v>0.77190241179396069</v>
      </c>
      <c r="G345" t="s">
        <v>2404</v>
      </c>
    </row>
    <row r="347" spans="1:7" x14ac:dyDescent="0.45">
      <c r="A347" s="29" t="s">
        <v>2380</v>
      </c>
      <c r="C347" t="s">
        <v>2348</v>
      </c>
      <c r="E347" s="20" t="s">
        <v>2362</v>
      </c>
      <c r="F347" s="20" t="s">
        <v>2363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37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37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37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37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37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37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37">
        <f t="shared" si="104"/>
        <v>19.69140625</v>
      </c>
      <c r="F354">
        <f t="shared" si="105"/>
        <v>19.69140625</v>
      </c>
    </row>
    <row r="355" spans="1:7" x14ac:dyDescent="0.45">
      <c r="A355" t="s">
        <v>2329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2351</v>
      </c>
      <c r="C356" s="29">
        <f>SUM(C348:C355)</f>
        <v>16</v>
      </c>
      <c r="D356" s="37">
        <f>SUM(D348:D354)/C357</f>
        <v>5.4375</v>
      </c>
      <c r="E356" s="20" t="s">
        <v>2353</v>
      </c>
      <c r="F356" s="37">
        <f>SUM(F348:F355)/(C357-1)</f>
        <v>2.9291666666666667</v>
      </c>
      <c r="G356" s="20" t="s">
        <v>2349</v>
      </c>
    </row>
    <row r="357" spans="1:7" x14ac:dyDescent="0.45">
      <c r="B357" s="20" t="s">
        <v>2352</v>
      </c>
      <c r="C357">
        <f>C356-C355</f>
        <v>16</v>
      </c>
      <c r="D357" s="33">
        <f>D356/7</f>
        <v>0.7767857142857143</v>
      </c>
      <c r="F357" s="37">
        <f>F356^(1/2)</f>
        <v>1.7114808402861736</v>
      </c>
      <c r="G357" t="s">
        <v>2404</v>
      </c>
    </row>
    <row r="358" spans="1:7" x14ac:dyDescent="0.45">
      <c r="B358" s="20"/>
      <c r="D358" s="33"/>
      <c r="F358" s="37"/>
    </row>
    <row r="359" spans="1:7" x14ac:dyDescent="0.45">
      <c r="A359" s="29" t="s">
        <v>2381</v>
      </c>
      <c r="C359" t="s">
        <v>2348</v>
      </c>
      <c r="E359" s="20" t="s">
        <v>2362</v>
      </c>
      <c r="F359" s="20" t="s">
        <v>2363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37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37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37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37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37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37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37">
        <f t="shared" si="107"/>
        <v>23.765625</v>
      </c>
      <c r="F366">
        <f t="shared" si="108"/>
        <v>0</v>
      </c>
    </row>
    <row r="367" spans="1:7" x14ac:dyDescent="0.45">
      <c r="A367" t="s">
        <v>2329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2351</v>
      </c>
      <c r="C368" s="29">
        <f>SUM(C360:C367)</f>
        <v>16</v>
      </c>
      <c r="D368" s="37">
        <f>SUM(D360:D366)/C369</f>
        <v>5.875</v>
      </c>
      <c r="E368" s="20" t="s">
        <v>2353</v>
      </c>
      <c r="F368" s="37">
        <f>SUM(F360:F367)/(C369-1)</f>
        <v>1.7166666666666666</v>
      </c>
      <c r="G368" s="20" t="s">
        <v>2349</v>
      </c>
    </row>
    <row r="369" spans="1:7" x14ac:dyDescent="0.45">
      <c r="B369" s="20" t="s">
        <v>2352</v>
      </c>
      <c r="C369">
        <f>C368-C367</f>
        <v>16</v>
      </c>
      <c r="D369" s="33">
        <f>D368/7</f>
        <v>0.8392857142857143</v>
      </c>
      <c r="F369" s="37">
        <f>F368^(1/2)</f>
        <v>1.3102162671355697</v>
      </c>
      <c r="G369" t="s">
        <v>2404</v>
      </c>
    </row>
    <row r="370" spans="1:7" x14ac:dyDescent="0.45">
      <c r="B370" s="20"/>
      <c r="D370" s="33"/>
      <c r="F370" s="37"/>
    </row>
    <row r="371" spans="1:7" x14ac:dyDescent="0.45">
      <c r="A371" s="29" t="s">
        <v>2382</v>
      </c>
      <c r="C371" t="s">
        <v>2348</v>
      </c>
      <c r="E371" s="20" t="s">
        <v>2362</v>
      </c>
      <c r="F371" s="20" t="s">
        <v>2363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37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37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37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37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37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37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37">
        <f t="shared" si="110"/>
        <v>21.97265625</v>
      </c>
      <c r="F378">
        <f t="shared" si="111"/>
        <v>0</v>
      </c>
    </row>
    <row r="379" spans="1:7" x14ac:dyDescent="0.45">
      <c r="A379" t="s">
        <v>2329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2351</v>
      </c>
      <c r="C380" s="29">
        <f>SUM(C372:C379)</f>
        <v>16</v>
      </c>
      <c r="D380" s="37">
        <f>SUM(D372:D378)/C381</f>
        <v>5.6875</v>
      </c>
      <c r="E380" s="20" t="s">
        <v>2353</v>
      </c>
      <c r="F380" s="37">
        <f>SUM(F372:F379)/(C381-1)</f>
        <v>1.6958333333333333</v>
      </c>
      <c r="G380" s="20" t="s">
        <v>2349</v>
      </c>
    </row>
    <row r="381" spans="1:7" x14ac:dyDescent="0.45">
      <c r="B381" s="20" t="s">
        <v>2352</v>
      </c>
      <c r="C381">
        <f>C380-C379</f>
        <v>16</v>
      </c>
      <c r="D381" s="33">
        <f>D380/7</f>
        <v>0.8125</v>
      </c>
      <c r="F381" s="37">
        <f>F380^(1/2)</f>
        <v>1.3022416570411703</v>
      </c>
      <c r="G381" t="s">
        <v>2404</v>
      </c>
    </row>
    <row r="382" spans="1:7" x14ac:dyDescent="0.45">
      <c r="B382" s="20"/>
      <c r="D382" s="33"/>
      <c r="F382" s="37"/>
    </row>
    <row r="383" spans="1:7" x14ac:dyDescent="0.45">
      <c r="A383" s="29" t="s">
        <v>2383</v>
      </c>
      <c r="C383" t="s">
        <v>2348</v>
      </c>
      <c r="E383" s="20" t="s">
        <v>2362</v>
      </c>
      <c r="F383" s="20" t="s">
        <v>2363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37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37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37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37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37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37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37">
        <f t="shared" si="113"/>
        <v>19.69140625</v>
      </c>
      <c r="F390">
        <f t="shared" si="114"/>
        <v>0</v>
      </c>
    </row>
    <row r="391" spans="1:7" x14ac:dyDescent="0.45">
      <c r="A391" t="s">
        <v>2329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2351</v>
      </c>
      <c r="C392" s="29">
        <f>SUM(C384:C391)</f>
        <v>16</v>
      </c>
      <c r="D392" s="37">
        <f>SUM(D384:D390)/C393</f>
        <v>5.4375</v>
      </c>
      <c r="E392" s="20" t="s">
        <v>2353</v>
      </c>
      <c r="F392" s="37">
        <f>SUM(F384:F391)/(C393-1)</f>
        <v>1.7291666666666667</v>
      </c>
      <c r="G392" s="20" t="s">
        <v>2349</v>
      </c>
    </row>
    <row r="393" spans="1:7" x14ac:dyDescent="0.45">
      <c r="B393" s="20" t="s">
        <v>2352</v>
      </c>
      <c r="C393">
        <f>C392-C391</f>
        <v>16</v>
      </c>
      <c r="D393" s="33">
        <f>D392/7</f>
        <v>0.7767857142857143</v>
      </c>
      <c r="F393" s="37">
        <f>F392^(1/2)</f>
        <v>1.3149778198382918</v>
      </c>
      <c r="G393" t="s">
        <v>2404</v>
      </c>
    </row>
    <row r="394" spans="1:7" x14ac:dyDescent="0.45">
      <c r="B394" s="20"/>
      <c r="D394" s="33"/>
      <c r="F394" s="37"/>
    </row>
    <row r="395" spans="1:7" x14ac:dyDescent="0.45">
      <c r="A395" s="29" t="s">
        <v>2384</v>
      </c>
      <c r="C395" t="s">
        <v>2348</v>
      </c>
      <c r="E395" s="20" t="s">
        <v>2362</v>
      </c>
      <c r="F395" s="20" t="s">
        <v>2363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37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37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37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37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37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37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37">
        <f t="shared" si="116"/>
        <v>23.04</v>
      </c>
      <c r="F402">
        <f t="shared" si="117"/>
        <v>0</v>
      </c>
    </row>
    <row r="403" spans="1:11" x14ac:dyDescent="0.45">
      <c r="A403" t="s">
        <v>2329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2351</v>
      </c>
      <c r="C404" s="29">
        <f>SUM(C396:C403)</f>
        <v>5</v>
      </c>
      <c r="D404" s="37">
        <f>SUM(D396:D402)/C405</f>
        <v>5.8</v>
      </c>
      <c r="E404" s="20" t="s">
        <v>2353</v>
      </c>
      <c r="F404" s="37">
        <f>SUM(F396:F403)/(C405-1)</f>
        <v>0.7</v>
      </c>
      <c r="G404" s="20" t="s">
        <v>2349</v>
      </c>
    </row>
    <row r="405" spans="1:11" x14ac:dyDescent="0.45">
      <c r="B405" s="20" t="s">
        <v>2352</v>
      </c>
      <c r="C405">
        <f>C404-C403</f>
        <v>5</v>
      </c>
      <c r="D405" s="33">
        <f>D404/7</f>
        <v>0.82857142857142851</v>
      </c>
      <c r="F405" s="37">
        <f>F404^(1/2)</f>
        <v>0.83666002653407556</v>
      </c>
      <c r="G405" t="s">
        <v>2404</v>
      </c>
    </row>
    <row r="406" spans="1:11" x14ac:dyDescent="0.45">
      <c r="B406" s="20"/>
      <c r="D406" s="44" t="str">
        <f>VLOOKUP(D404,InterpretacjaŚredniej[],2,1)</f>
        <v>zgadzam się</v>
      </c>
      <c r="E406">
        <f>D404-(K406*F405/SQRT(C405))</f>
        <v>4.7611493663164319</v>
      </c>
      <c r="F406" s="38" t="str">
        <f>"&lt; m &lt;"</f>
        <v>&lt; m &lt;</v>
      </c>
      <c r="G406">
        <f>D404+(K406*F405/SQRT(C405))</f>
        <v>6.8388506336835677</v>
      </c>
      <c r="H406" t="s">
        <v>2407</v>
      </c>
      <c r="I406">
        <v>0.05</v>
      </c>
      <c r="J406" s="20" t="s">
        <v>2417</v>
      </c>
      <c r="K406">
        <f>VLOOKUP($C$405-1,Tabl_tStudenta[],5,0)</f>
        <v>2.7764451051977934</v>
      </c>
    </row>
    <row r="407" spans="1:11" x14ac:dyDescent="0.45">
      <c r="B407" s="20"/>
      <c r="D407" s="33"/>
      <c r="F407" s="37"/>
      <c r="G407" s="35">
        <f>G406-E406</f>
        <v>2.0777012673671358</v>
      </c>
    </row>
    <row r="408" spans="1:11" x14ac:dyDescent="0.45">
      <c r="A408" s="29" t="s">
        <v>2357</v>
      </c>
      <c r="C408" t="s">
        <v>2348</v>
      </c>
      <c r="E408" s="20" t="s">
        <v>2362</v>
      </c>
      <c r="F408" s="20" t="s">
        <v>2363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37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37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37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37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37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37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37">
        <f t="shared" si="119"/>
        <v>23.04</v>
      </c>
      <c r="F415">
        <f t="shared" si="120"/>
        <v>0</v>
      </c>
    </row>
    <row r="416" spans="1:11" x14ac:dyDescent="0.45">
      <c r="A416" t="s">
        <v>2329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2351</v>
      </c>
      <c r="C417" s="29">
        <f>SUM(C409:C416)</f>
        <v>5</v>
      </c>
      <c r="D417" s="37">
        <f>SUM(D409:D415)/C418</f>
        <v>5.8</v>
      </c>
      <c r="E417" s="20" t="s">
        <v>2353</v>
      </c>
      <c r="F417" s="37">
        <f>SUM(F409:F416)/(C418-1)</f>
        <v>0.7</v>
      </c>
      <c r="G417" s="20" t="s">
        <v>2349</v>
      </c>
    </row>
    <row r="418" spans="1:7" x14ac:dyDescent="0.45">
      <c r="B418" s="20" t="s">
        <v>2352</v>
      </c>
      <c r="C418">
        <f>C417-C416</f>
        <v>5</v>
      </c>
      <c r="D418" s="33">
        <f>D417/7</f>
        <v>0.82857142857142851</v>
      </c>
      <c r="F418" s="37">
        <f>F417^(1/2)</f>
        <v>0.83666002653407556</v>
      </c>
      <c r="G418" t="s">
        <v>2404</v>
      </c>
    </row>
    <row r="419" spans="1:7" x14ac:dyDescent="0.45">
      <c r="B419" s="20"/>
      <c r="D419" s="33"/>
      <c r="F419" s="37"/>
    </row>
    <row r="420" spans="1:7" x14ac:dyDescent="0.45">
      <c r="A420" s="29" t="s">
        <v>2385</v>
      </c>
      <c r="C420" t="s">
        <v>2348</v>
      </c>
      <c r="E420" s="20" t="s">
        <v>2362</v>
      </c>
      <c r="F420" s="20" t="s">
        <v>2363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37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37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37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37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37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37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37">
        <f t="shared" si="122"/>
        <v>25</v>
      </c>
      <c r="F427">
        <f t="shared" si="123"/>
        <v>0</v>
      </c>
    </row>
    <row r="428" spans="1:7" x14ac:dyDescent="0.45">
      <c r="A428" t="s">
        <v>2329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2351</v>
      </c>
      <c r="C429" s="29">
        <f>SUM(C421:C428)</f>
        <v>5</v>
      </c>
      <c r="D429" s="37">
        <f>SUM(D421:D427)/C430</f>
        <v>6</v>
      </c>
      <c r="E429" s="20" t="s">
        <v>2353</v>
      </c>
      <c r="F429" s="37">
        <f>SUM(F421:F428)/(C430-1)</f>
        <v>0.5</v>
      </c>
      <c r="G429" s="20" t="s">
        <v>2349</v>
      </c>
    </row>
    <row r="430" spans="1:7" x14ac:dyDescent="0.45">
      <c r="B430" s="20" t="s">
        <v>2352</v>
      </c>
      <c r="C430">
        <f>C429-C428</f>
        <v>5</v>
      </c>
      <c r="D430" s="33">
        <f>D429/7</f>
        <v>0.8571428571428571</v>
      </c>
      <c r="F430" s="37">
        <f>F429^(1/2)</f>
        <v>0.70710678118654757</v>
      </c>
      <c r="G430" t="s">
        <v>2404</v>
      </c>
    </row>
    <row r="431" spans="1:7" x14ac:dyDescent="0.45">
      <c r="B431" s="20"/>
      <c r="D431" s="33"/>
      <c r="F431" s="37"/>
    </row>
    <row r="432" spans="1:7" x14ac:dyDescent="0.45">
      <c r="A432" s="29" t="s">
        <v>2386</v>
      </c>
      <c r="C432" t="s">
        <v>2348</v>
      </c>
      <c r="E432" s="20" t="s">
        <v>2362</v>
      </c>
      <c r="F432" s="20" t="s">
        <v>2363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37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37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37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37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37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37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37">
        <f t="shared" si="125"/>
        <v>21.159999999999997</v>
      </c>
      <c r="F439">
        <f t="shared" si="126"/>
        <v>0</v>
      </c>
    </row>
    <row r="440" spans="1:7" x14ac:dyDescent="0.45">
      <c r="A440" t="s">
        <v>2329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2351</v>
      </c>
      <c r="C441" s="29">
        <f>SUM(C433:C440)</f>
        <v>5</v>
      </c>
      <c r="D441" s="37">
        <f>SUM(D433:D439)/C442</f>
        <v>5.6</v>
      </c>
      <c r="E441" s="20" t="s">
        <v>2353</v>
      </c>
      <c r="F441" s="37">
        <f>SUM(F433:F440)/(C442-1)</f>
        <v>1.2999999999999998</v>
      </c>
      <c r="G441" s="20" t="s">
        <v>2349</v>
      </c>
    </row>
    <row r="442" spans="1:7" x14ac:dyDescent="0.45">
      <c r="B442" s="20" t="s">
        <v>2352</v>
      </c>
      <c r="C442">
        <f>C441-C440</f>
        <v>5</v>
      </c>
      <c r="D442" s="33">
        <f>D441/7</f>
        <v>0.79999999999999993</v>
      </c>
      <c r="F442" s="37">
        <f>F441^(1/2)</f>
        <v>1.1401754250991378</v>
      </c>
      <c r="G442" t="s">
        <v>2404</v>
      </c>
    </row>
    <row r="443" spans="1:7" x14ac:dyDescent="0.45">
      <c r="B443" s="20"/>
      <c r="D443" s="33"/>
      <c r="F443" s="37"/>
    </row>
    <row r="444" spans="1:7" x14ac:dyDescent="0.45">
      <c r="A444" s="29" t="s">
        <v>2387</v>
      </c>
      <c r="C444" t="s">
        <v>2348</v>
      </c>
      <c r="E444" s="20" t="s">
        <v>2362</v>
      </c>
      <c r="F444" s="20" t="s">
        <v>2363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37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37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37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37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37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37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37">
        <f t="shared" si="128"/>
        <v>22.5625</v>
      </c>
      <c r="F451">
        <f t="shared" si="129"/>
        <v>0</v>
      </c>
    </row>
    <row r="452" spans="1:7" x14ac:dyDescent="0.45">
      <c r="A452" t="s">
        <v>2329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2351</v>
      </c>
      <c r="C453" s="29">
        <f>SUM(C445:C452)</f>
        <v>5</v>
      </c>
      <c r="D453" s="37">
        <f>SUM(D445:D451)/C454</f>
        <v>5.75</v>
      </c>
      <c r="E453" s="20" t="s">
        <v>2353</v>
      </c>
      <c r="F453" s="37">
        <f>SUM(F445:F452)/(C454-1)</f>
        <v>1.5833333333333333</v>
      </c>
      <c r="G453" s="20" t="s">
        <v>2349</v>
      </c>
    </row>
    <row r="454" spans="1:7" x14ac:dyDescent="0.45">
      <c r="B454" s="20" t="s">
        <v>2352</v>
      </c>
      <c r="C454">
        <f>C453-C452</f>
        <v>4</v>
      </c>
      <c r="D454" s="33">
        <f>D453/7</f>
        <v>0.8214285714285714</v>
      </c>
      <c r="F454" s="37">
        <f>F453^(1/2)</f>
        <v>1.2583057392117916</v>
      </c>
      <c r="G454" t="s">
        <v>2404</v>
      </c>
    </row>
    <row r="455" spans="1:7" x14ac:dyDescent="0.45">
      <c r="B455" s="20"/>
      <c r="D455" s="33"/>
      <c r="F455" s="37"/>
    </row>
    <row r="456" spans="1:7" x14ac:dyDescent="0.45">
      <c r="A456" s="29" t="s">
        <v>2388</v>
      </c>
      <c r="C456" t="s">
        <v>2348</v>
      </c>
      <c r="E456" s="20" t="s">
        <v>2362</v>
      </c>
      <c r="F456" s="20" t="s">
        <v>2363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37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37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37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37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37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37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37">
        <f t="shared" si="131"/>
        <v>22.5625</v>
      </c>
      <c r="F463">
        <f t="shared" si="132"/>
        <v>0</v>
      </c>
    </row>
    <row r="464" spans="1:7" x14ac:dyDescent="0.45">
      <c r="A464" t="s">
        <v>2329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2351</v>
      </c>
      <c r="C465" s="29">
        <f>SUM(C457:C464)</f>
        <v>5</v>
      </c>
      <c r="D465" s="37">
        <f>SUM(D457:D463)/C466</f>
        <v>5.75</v>
      </c>
      <c r="E465" s="20" t="s">
        <v>2353</v>
      </c>
      <c r="F465" s="37">
        <f>SUM(F457:F464)/(C466-1)</f>
        <v>0.91666666666666663</v>
      </c>
      <c r="G465" s="20" t="s">
        <v>2349</v>
      </c>
    </row>
    <row r="466" spans="1:7" x14ac:dyDescent="0.45">
      <c r="B466" s="20" t="s">
        <v>2352</v>
      </c>
      <c r="C466">
        <f>C465-C464</f>
        <v>4</v>
      </c>
      <c r="D466" s="33">
        <f>D465/7</f>
        <v>0.8214285714285714</v>
      </c>
      <c r="F466" s="37">
        <f>F465^(1/2)</f>
        <v>0.9574271077563381</v>
      </c>
      <c r="G466" t="s">
        <v>2404</v>
      </c>
    </row>
    <row r="467" spans="1:7" x14ac:dyDescent="0.45">
      <c r="B467" s="20"/>
      <c r="D467" s="33"/>
      <c r="F467" s="37"/>
    </row>
    <row r="468" spans="1:7" x14ac:dyDescent="0.45">
      <c r="A468" s="29" t="s">
        <v>2389</v>
      </c>
      <c r="C468" t="s">
        <v>2348</v>
      </c>
      <c r="E468" s="20" t="s">
        <v>2362</v>
      </c>
      <c r="F468" s="20" t="s">
        <v>2363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37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37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37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37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37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37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37">
        <f t="shared" si="134"/>
        <v>25</v>
      </c>
      <c r="F475">
        <f t="shared" si="135"/>
        <v>0</v>
      </c>
    </row>
    <row r="476" spans="1:7" x14ac:dyDescent="0.45">
      <c r="A476" t="s">
        <v>2329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2351</v>
      </c>
      <c r="C477" s="29">
        <f>SUM(C469:C476)</f>
        <v>5</v>
      </c>
      <c r="D477" s="37">
        <f>SUM(D469:D475)/C478</f>
        <v>6</v>
      </c>
      <c r="E477" s="20" t="s">
        <v>2353</v>
      </c>
      <c r="F477" s="37">
        <f>SUM(F469:F476)/(C478-1)</f>
        <v>1.3333333333333333</v>
      </c>
      <c r="G477" s="20" t="s">
        <v>2349</v>
      </c>
    </row>
    <row r="478" spans="1:7" x14ac:dyDescent="0.45">
      <c r="B478" s="20" t="s">
        <v>2352</v>
      </c>
      <c r="C478">
        <f>C477-C476</f>
        <v>4</v>
      </c>
      <c r="D478" s="33">
        <f>D477/7</f>
        <v>0.8571428571428571</v>
      </c>
      <c r="F478" s="37">
        <f>F477^(1/2)</f>
        <v>1.1547005383792515</v>
      </c>
      <c r="G478" t="s">
        <v>2404</v>
      </c>
    </row>
    <row r="479" spans="1:7" x14ac:dyDescent="0.45">
      <c r="B479" s="20"/>
      <c r="D479" s="33"/>
      <c r="F479" s="37"/>
    </row>
    <row r="480" spans="1:7" x14ac:dyDescent="0.45">
      <c r="A480" s="29" t="s">
        <v>2358</v>
      </c>
      <c r="C480" t="s">
        <v>2348</v>
      </c>
      <c r="E480" s="20" t="s">
        <v>2362</v>
      </c>
      <c r="F480" s="20" t="s">
        <v>2363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37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37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37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37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37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37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37">
        <f t="shared" si="137"/>
        <v>16.955017301038058</v>
      </c>
      <c r="F487">
        <f t="shared" si="138"/>
        <v>0</v>
      </c>
    </row>
    <row r="488" spans="1:20" x14ac:dyDescent="0.45">
      <c r="A488" t="s">
        <v>2329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2351</v>
      </c>
      <c r="C489" s="29">
        <f>SUM(C481:C488)</f>
        <v>18</v>
      </c>
      <c r="D489" s="37">
        <f>SUM(D481:D487)/C490</f>
        <v>5.117647058823529</v>
      </c>
      <c r="E489" s="20" t="s">
        <v>2353</v>
      </c>
      <c r="F489" s="37">
        <f>SUM(F481:F488)/(C490-1)</f>
        <v>3.2352941176470589</v>
      </c>
      <c r="G489" s="20" t="s">
        <v>2349</v>
      </c>
    </row>
    <row r="490" spans="1:20" x14ac:dyDescent="0.45">
      <c r="B490" s="20" t="s">
        <v>2352</v>
      </c>
      <c r="C490">
        <f>C489-C488</f>
        <v>17</v>
      </c>
      <c r="D490" s="33">
        <f>D489/7</f>
        <v>0.73109243697478987</v>
      </c>
      <c r="F490" s="37">
        <f>F489^(1/2)</f>
        <v>1.7986923354612536</v>
      </c>
      <c r="G490" t="s">
        <v>2404</v>
      </c>
    </row>
    <row r="491" spans="1:20" x14ac:dyDescent="0.45">
      <c r="B491" s="20"/>
      <c r="D491" s="33"/>
      <c r="F491" s="37"/>
    </row>
    <row r="492" spans="1:20" x14ac:dyDescent="0.45">
      <c r="A492" s="29" t="s">
        <v>2358</v>
      </c>
      <c r="C492" s="20" t="s">
        <v>2390</v>
      </c>
      <c r="D492" s="20" t="s">
        <v>2391</v>
      </c>
      <c r="E492" s="20" t="s">
        <v>2392</v>
      </c>
      <c r="F492" s="20" t="s">
        <v>2374</v>
      </c>
      <c r="G492" s="20" t="s">
        <v>2393</v>
      </c>
      <c r="H492" s="20" t="s">
        <v>2394</v>
      </c>
      <c r="I492" s="20" t="s">
        <v>2395</v>
      </c>
      <c r="J492" s="20" t="s">
        <v>2373</v>
      </c>
      <c r="K492" s="20" t="s">
        <v>2362</v>
      </c>
      <c r="L492" s="20" t="s">
        <v>2363</v>
      </c>
      <c r="M492" s="20" t="s">
        <v>2430</v>
      </c>
      <c r="N492" s="20" t="s">
        <v>2418</v>
      </c>
      <c r="O492" s="20" t="s">
        <v>2419</v>
      </c>
      <c r="P492" s="20" t="s">
        <v>2420</v>
      </c>
      <c r="Q492" s="20" t="s">
        <v>2421</v>
      </c>
      <c r="R492" s="20" t="s">
        <v>2422</v>
      </c>
      <c r="S492" s="20" t="s">
        <v>2423</v>
      </c>
      <c r="T492" s="20" t="s">
        <v>2424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37">
        <f>(A493-$J$501)^2</f>
        <v>4.8400000000000007</v>
      </c>
      <c r="L493">
        <f>PRODUCT(F493,K493)</f>
        <v>24.200000000000003</v>
      </c>
      <c r="M493" s="37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37">
        <f t="shared" ref="K494:K499" si="142">(A494-$J$501)^2</f>
        <v>1.4400000000000004</v>
      </c>
      <c r="L494">
        <f t="shared" ref="L494:L499" si="143">PRODUCT(F494,K494)</f>
        <v>4.3200000000000012</v>
      </c>
      <c r="M494" s="37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37">
        <f t="shared" si="142"/>
        <v>4.000000000000007E-2</v>
      </c>
      <c r="L495">
        <f t="shared" si="143"/>
        <v>0.20000000000000034</v>
      </c>
      <c r="M495" s="37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37">
        <f t="shared" si="142"/>
        <v>0.63999999999999968</v>
      </c>
      <c r="L496">
        <f t="shared" si="143"/>
        <v>1.2799999999999994</v>
      </c>
      <c r="M496" s="37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37">
        <f t="shared" si="142"/>
        <v>3.2399999999999993</v>
      </c>
      <c r="L497">
        <f t="shared" si="143"/>
        <v>3.2399999999999993</v>
      </c>
      <c r="M497" s="37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37">
        <f t="shared" si="142"/>
        <v>7.839999999999999</v>
      </c>
      <c r="L498">
        <f t="shared" si="143"/>
        <v>23.519999999999996</v>
      </c>
      <c r="M498" s="37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37">
        <f t="shared" si="142"/>
        <v>14.44</v>
      </c>
      <c r="L499">
        <f t="shared" si="143"/>
        <v>14.44</v>
      </c>
      <c r="M499" s="37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2425</v>
      </c>
    </row>
    <row r="500" spans="1:21" x14ac:dyDescent="0.45">
      <c r="A500" t="s">
        <v>2329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0">
        <f>SUM(P493:P499)</f>
        <v>0.8721208685699996</v>
      </c>
      <c r="Q500" s="40">
        <f>SUM(Q493:Q499)</f>
        <v>14.826054765689991</v>
      </c>
      <c r="S500" s="20" t="s">
        <v>2426</v>
      </c>
      <c r="T500" s="41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2351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37">
        <f>SUM(G493:G500)/$C502</f>
        <v>5.1764705882352944</v>
      </c>
      <c r="H501" s="37">
        <f>SUM(H493:H500)/$C502</f>
        <v>0.52941176470588236</v>
      </c>
      <c r="I501" s="37">
        <f>SUM(I493:I500)/$C502</f>
        <v>0</v>
      </c>
      <c r="J501" s="37">
        <f>SUM(J493:J499)/$F502</f>
        <v>4.8</v>
      </c>
      <c r="K501" s="20" t="s">
        <v>2353</v>
      </c>
      <c r="L501" s="37">
        <f>SUM(L493:L500)/(F502-1)</f>
        <v>3.7473684210526317</v>
      </c>
      <c r="M501" s="20" t="s">
        <v>2349</v>
      </c>
      <c r="T501" s="20" t="s">
        <v>2428</v>
      </c>
    </row>
    <row r="502" spans="1:21" x14ac:dyDescent="0.45">
      <c r="B502" s="20" t="s">
        <v>2352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44" t="str">
        <f>VLOOKUP(J501,InterpretacjaŚredniej[],2,1)</f>
        <v>raczej się zgadzam</v>
      </c>
      <c r="L502" s="37">
        <f>L501^(1/2)</f>
        <v>1.9358120830939742</v>
      </c>
      <c r="M502" t="s">
        <v>2404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38" t="str">
        <f>"&lt; m &lt;"</f>
        <v>&lt; m &lt;</v>
      </c>
      <c r="M503">
        <f>J501+(Q503*L502/SQRT(C502))</f>
        <v>5.795302731938305</v>
      </c>
      <c r="N503" t="s">
        <v>2407</v>
      </c>
      <c r="O503">
        <v>0.05</v>
      </c>
      <c r="P503" s="20" t="s">
        <v>2417</v>
      </c>
      <c r="Q503">
        <f>VLOOKUP($C$502-1,Tabl_tStudenta[],5,0)</f>
        <v>2.119905299221255</v>
      </c>
    </row>
    <row r="504" spans="1:21" x14ac:dyDescent="0.45">
      <c r="B504" s="20"/>
      <c r="D504" s="33"/>
      <c r="F504" s="37"/>
      <c r="M504" s="35">
        <f>M503-K503</f>
        <v>1.9906054638766104</v>
      </c>
    </row>
    <row r="505" spans="1:21" x14ac:dyDescent="0.45">
      <c r="A505" s="29" t="s">
        <v>2396</v>
      </c>
      <c r="C505" s="20" t="s">
        <v>2390</v>
      </c>
      <c r="D505" s="20" t="s">
        <v>2391</v>
      </c>
      <c r="E505" s="20" t="s">
        <v>2392</v>
      </c>
      <c r="F505" s="20" t="s">
        <v>2374</v>
      </c>
      <c r="G505" s="20" t="s">
        <v>2393</v>
      </c>
      <c r="H505" s="20" t="s">
        <v>2394</v>
      </c>
      <c r="I505" s="20" t="s">
        <v>2395</v>
      </c>
      <c r="J505" s="20" t="s">
        <v>2373</v>
      </c>
      <c r="K505" s="20" t="s">
        <v>2362</v>
      </c>
      <c r="L505" s="20" t="s">
        <v>2363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37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37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37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37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37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37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37">
        <f t="shared" si="154"/>
        <v>14.0625</v>
      </c>
      <c r="L512">
        <f t="shared" si="155"/>
        <v>14.0625</v>
      </c>
    </row>
    <row r="513" spans="1:13" x14ac:dyDescent="0.45">
      <c r="A513" t="s">
        <v>2329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2351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37">
        <f>SUM(G506:G513)/$C515</f>
        <v>5.1764705882352944</v>
      </c>
      <c r="H514" s="37">
        <f>SUM(H506:H513)/$C515</f>
        <v>0.47058823529411764</v>
      </c>
      <c r="I514" s="37">
        <f>SUM(I506:I513)/$C515</f>
        <v>0</v>
      </c>
      <c r="J514" s="37">
        <f>SUM(J506:J512)/$F515</f>
        <v>4.75</v>
      </c>
      <c r="K514" s="20" t="s">
        <v>2353</v>
      </c>
      <c r="L514" s="37">
        <f>SUM(L506:L513)/(F515-1)</f>
        <v>3.986842105263158</v>
      </c>
      <c r="M514" s="20" t="s">
        <v>2349</v>
      </c>
    </row>
    <row r="515" spans="1:13" x14ac:dyDescent="0.45">
      <c r="B515" s="20" t="s">
        <v>2352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37">
        <f>L514^(1/2)</f>
        <v>1.9967078166980661</v>
      </c>
      <c r="M515" t="s">
        <v>2404</v>
      </c>
    </row>
    <row r="516" spans="1:13" x14ac:dyDescent="0.45">
      <c r="B516" s="20"/>
      <c r="D516" s="33"/>
      <c r="F516" s="37"/>
    </row>
    <row r="517" spans="1:13" x14ac:dyDescent="0.45">
      <c r="A517" s="29" t="s">
        <v>2397</v>
      </c>
      <c r="C517" s="20" t="s">
        <v>2390</v>
      </c>
      <c r="D517" s="20" t="s">
        <v>2391</v>
      </c>
      <c r="E517" s="20" t="s">
        <v>2392</v>
      </c>
      <c r="F517" s="20" t="s">
        <v>2374</v>
      </c>
      <c r="G517" s="20" t="s">
        <v>2393</v>
      </c>
      <c r="H517" s="20" t="s">
        <v>2394</v>
      </c>
      <c r="I517" s="20" t="s">
        <v>2395</v>
      </c>
      <c r="J517" s="20" t="s">
        <v>2373</v>
      </c>
      <c r="K517" s="20" t="s">
        <v>2362</v>
      </c>
      <c r="L517" s="20" t="s">
        <v>2363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37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37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37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37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37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37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37">
        <f t="shared" si="159"/>
        <v>7.0225</v>
      </c>
      <c r="L524">
        <f t="shared" si="160"/>
        <v>7.0225</v>
      </c>
    </row>
    <row r="525" spans="1:13" x14ac:dyDescent="0.45">
      <c r="A525" t="s">
        <v>2329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2351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37">
        <f>SUM(G518:G525)/$C527</f>
        <v>3.9411764705882355</v>
      </c>
      <c r="H526" s="37">
        <f>SUM(H518:H525)/$C527</f>
        <v>0.41176470588235292</v>
      </c>
      <c r="I526" s="37">
        <f>SUM(I518:I525)/$C527</f>
        <v>0</v>
      </c>
      <c r="J526" s="37">
        <f>SUM(J518:J524)/$F527</f>
        <v>3.65</v>
      </c>
      <c r="K526" s="20" t="s">
        <v>2353</v>
      </c>
      <c r="L526" s="37">
        <f>SUM(L518:L525)/(F527-1)</f>
        <v>2.344736842105263</v>
      </c>
      <c r="M526" s="20" t="s">
        <v>2349</v>
      </c>
    </row>
    <row r="527" spans="1:13" x14ac:dyDescent="0.45">
      <c r="B527" s="20" t="s">
        <v>2352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37">
        <f>L526^(1/2)</f>
        <v>1.5312533566021211</v>
      </c>
      <c r="M527" t="s">
        <v>2404</v>
      </c>
    </row>
    <row r="528" spans="1:13" x14ac:dyDescent="0.45">
      <c r="B528" s="20"/>
      <c r="D528" s="33"/>
      <c r="F528" s="37"/>
    </row>
    <row r="529" spans="1:11" x14ac:dyDescent="0.45">
      <c r="A529" s="29" t="s">
        <v>2403</v>
      </c>
      <c r="C529" t="s">
        <v>2348</v>
      </c>
      <c r="E529" s="20" t="s">
        <v>2362</v>
      </c>
      <c r="F529" s="20" t="s">
        <v>2363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37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37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37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37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37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37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37">
        <f t="shared" si="161"/>
        <v>30.25</v>
      </c>
      <c r="F536">
        <f t="shared" si="163"/>
        <v>0</v>
      </c>
    </row>
    <row r="537" spans="1:11" x14ac:dyDescent="0.45">
      <c r="A537" t="s">
        <v>2329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2351</v>
      </c>
      <c r="C538" s="29">
        <f>SUM(C530:C537)</f>
        <v>2</v>
      </c>
      <c r="D538" s="37">
        <f>SUM(D530:D536)/C539</f>
        <v>6.5</v>
      </c>
      <c r="E538" s="20" t="s">
        <v>2353</v>
      </c>
      <c r="F538" s="37">
        <f>SUM(F530:F537)/(C539-1)</f>
        <v>0.5</v>
      </c>
      <c r="G538" s="20" t="s">
        <v>2349</v>
      </c>
    </row>
    <row r="539" spans="1:11" x14ac:dyDescent="0.45">
      <c r="B539" s="20" t="s">
        <v>2352</v>
      </c>
      <c r="C539">
        <f>C538-C537</f>
        <v>2</v>
      </c>
      <c r="D539" s="33">
        <f>D538/7</f>
        <v>0.9285714285714286</v>
      </c>
      <c r="F539" s="37">
        <f>F538^(1/2)</f>
        <v>0.70710678118654757</v>
      </c>
      <c r="G539" t="s">
        <v>2404</v>
      </c>
    </row>
    <row r="540" spans="1:11" x14ac:dyDescent="0.45">
      <c r="B540" s="20"/>
      <c r="D540" s="44" t="str">
        <f>VLOOKUP(D538,InterpretacjaŚredniej[],2,1)</f>
        <v>zdecydowanie się zgadzam</v>
      </c>
      <c r="E540">
        <f>D538-(K540*F539/SQRT(C539))</f>
        <v>0.14689763191264671</v>
      </c>
      <c r="F540" s="38" t="str">
        <f>"&lt; m &lt;"</f>
        <v>&lt; m &lt;</v>
      </c>
      <c r="G540">
        <f>D538+(K540*F539/SQRT(C539))</f>
        <v>12.853102368087352</v>
      </c>
      <c r="H540" t="s">
        <v>2407</v>
      </c>
      <c r="I540">
        <v>0.05</v>
      </c>
      <c r="J540" s="20" t="s">
        <v>2417</v>
      </c>
      <c r="K540">
        <f>VLOOKUP($C$539-1,Tabl_tStudenta[],5,0)</f>
        <v>12.706204736174707</v>
      </c>
    </row>
    <row r="541" spans="1:11" x14ac:dyDescent="0.45">
      <c r="B541" s="20"/>
      <c r="D541" s="33"/>
      <c r="F541" s="37"/>
    </row>
    <row r="543" spans="1:11" x14ac:dyDescent="0.45">
      <c r="A543" s="29" t="s">
        <v>2359</v>
      </c>
      <c r="C543" t="s">
        <v>2348</v>
      </c>
      <c r="E543" s="20" t="s">
        <v>2362</v>
      </c>
      <c r="F543" s="20" t="s">
        <v>2363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37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37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37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37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37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37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37">
        <f t="shared" si="165"/>
        <v>25</v>
      </c>
      <c r="F550">
        <f t="shared" si="166"/>
        <v>0</v>
      </c>
    </row>
    <row r="551" spans="1:7" x14ac:dyDescent="0.45">
      <c r="A551" t="s">
        <v>2329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2351</v>
      </c>
      <c r="C552" s="29">
        <f>SUM(C544:C551)</f>
        <v>2</v>
      </c>
      <c r="D552" s="37">
        <f>SUM(D544:D550)/C553</f>
        <v>6</v>
      </c>
      <c r="E552" s="20" t="s">
        <v>2353</v>
      </c>
      <c r="F552" s="37">
        <f>SUM(F544:F551)/(C553-1)</f>
        <v>0</v>
      </c>
      <c r="G552" s="20" t="s">
        <v>2349</v>
      </c>
    </row>
    <row r="553" spans="1:7" x14ac:dyDescent="0.45">
      <c r="B553" s="20" t="s">
        <v>2352</v>
      </c>
      <c r="C553">
        <f>C552-C551</f>
        <v>2</v>
      </c>
      <c r="D553" s="33">
        <f>D552/7</f>
        <v>0.8571428571428571</v>
      </c>
      <c r="F553" s="37">
        <f>F552^(1/2)</f>
        <v>0</v>
      </c>
      <c r="G553" t="s">
        <v>2404</v>
      </c>
    </row>
    <row r="555" spans="1:7" x14ac:dyDescent="0.45">
      <c r="A555" s="29" t="s">
        <v>2398</v>
      </c>
      <c r="C555" t="s">
        <v>2348</v>
      </c>
      <c r="E555" s="20" t="s">
        <v>2362</v>
      </c>
      <c r="F555" s="20" t="s">
        <v>2363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37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37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37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37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37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37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37">
        <f t="shared" si="168"/>
        <v>25</v>
      </c>
      <c r="F562">
        <f t="shared" si="169"/>
        <v>0</v>
      </c>
    </row>
    <row r="563" spans="1:7" x14ac:dyDescent="0.45">
      <c r="A563" t="s">
        <v>2329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2351</v>
      </c>
      <c r="C564" s="29">
        <f>SUM(C556:C563)</f>
        <v>2</v>
      </c>
      <c r="D564" s="37">
        <f>SUM(D556:D562)/C565</f>
        <v>6</v>
      </c>
      <c r="E564" s="20" t="s">
        <v>2353</v>
      </c>
      <c r="F564" s="37">
        <f>SUM(F556:F563)/(C565-1)</f>
        <v>0</v>
      </c>
      <c r="G564" s="20" t="s">
        <v>2349</v>
      </c>
    </row>
    <row r="565" spans="1:7" x14ac:dyDescent="0.45">
      <c r="B565" s="20" t="s">
        <v>2352</v>
      </c>
      <c r="C565">
        <f>C564-C563</f>
        <v>2</v>
      </c>
      <c r="D565" s="33">
        <f>D564/7</f>
        <v>0.8571428571428571</v>
      </c>
      <c r="F565" s="37">
        <f>F564^(1/2)</f>
        <v>0</v>
      </c>
      <c r="G565" t="s">
        <v>2404</v>
      </c>
    </row>
    <row r="567" spans="1:7" x14ac:dyDescent="0.45">
      <c r="A567" s="29" t="s">
        <v>2399</v>
      </c>
      <c r="C567" t="s">
        <v>2348</v>
      </c>
      <c r="E567" s="20" t="s">
        <v>2362</v>
      </c>
      <c r="F567" s="20" t="s">
        <v>2363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37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37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37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37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37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37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37">
        <f t="shared" si="171"/>
        <v>30.25</v>
      </c>
      <c r="F574">
        <f t="shared" si="172"/>
        <v>0</v>
      </c>
    </row>
    <row r="575" spans="1:7" x14ac:dyDescent="0.45">
      <c r="A575" t="s">
        <v>2329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2351</v>
      </c>
      <c r="C576" s="29">
        <f>SUM(C568:C575)</f>
        <v>2</v>
      </c>
      <c r="D576" s="37">
        <f>SUM(D568:D574)/C577</f>
        <v>6.5</v>
      </c>
      <c r="E576" s="20" t="s">
        <v>2353</v>
      </c>
      <c r="F576" s="37">
        <f>SUM(F568:F575)/(C577-1)</f>
        <v>0.5</v>
      </c>
      <c r="G576" s="20" t="s">
        <v>2349</v>
      </c>
    </row>
    <row r="577" spans="1:7" x14ac:dyDescent="0.45">
      <c r="B577" s="20" t="s">
        <v>2352</v>
      </c>
      <c r="C577">
        <f>C576-C575</f>
        <v>2</v>
      </c>
      <c r="D577" s="33">
        <f>D576/7</f>
        <v>0.9285714285714286</v>
      </c>
      <c r="F577" s="37">
        <f>F576^(1/2)</f>
        <v>0.70710678118654757</v>
      </c>
      <c r="G577" t="s">
        <v>2404</v>
      </c>
    </row>
    <row r="579" spans="1:7" x14ac:dyDescent="0.45">
      <c r="A579" s="29" t="s">
        <v>2400</v>
      </c>
      <c r="C579" t="s">
        <v>2348</v>
      </c>
      <c r="E579" s="20" t="s">
        <v>2362</v>
      </c>
      <c r="F579" s="20" t="s">
        <v>2363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37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37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37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37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37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37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37">
        <f t="shared" si="174"/>
        <v>30.25</v>
      </c>
      <c r="F586">
        <f t="shared" si="175"/>
        <v>0</v>
      </c>
    </row>
    <row r="587" spans="1:7" x14ac:dyDescent="0.45">
      <c r="A587" t="s">
        <v>2329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2351</v>
      </c>
      <c r="C588" s="29">
        <f>SUM(C580:C587)</f>
        <v>2</v>
      </c>
      <c r="D588" s="37">
        <f>SUM(D580:D586)/C589</f>
        <v>6.5</v>
      </c>
      <c r="E588" s="20" t="s">
        <v>2353</v>
      </c>
      <c r="F588" s="37">
        <f>SUM(F580:F587)/(C589-1)</f>
        <v>0.5</v>
      </c>
      <c r="G588" s="20" t="s">
        <v>2349</v>
      </c>
    </row>
    <row r="589" spans="1:7" x14ac:dyDescent="0.45">
      <c r="B589" s="20" t="s">
        <v>2352</v>
      </c>
      <c r="C589">
        <f>C588-C587</f>
        <v>2</v>
      </c>
      <c r="D589" s="33">
        <f>D588/7</f>
        <v>0.9285714285714286</v>
      </c>
      <c r="F589" s="37">
        <f>F588^(1/2)</f>
        <v>0.70710678118654757</v>
      </c>
      <c r="G589" t="s">
        <v>2404</v>
      </c>
    </row>
    <row r="591" spans="1:7" x14ac:dyDescent="0.45">
      <c r="A591" s="29" t="s">
        <v>2401</v>
      </c>
      <c r="C591" t="s">
        <v>2348</v>
      </c>
      <c r="E591" s="20" t="s">
        <v>2362</v>
      </c>
      <c r="F591" s="20" t="s">
        <v>2363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37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37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37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37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37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37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37">
        <f t="shared" si="177"/>
        <v>25</v>
      </c>
      <c r="F598">
        <f t="shared" si="178"/>
        <v>0</v>
      </c>
    </row>
    <row r="599" spans="1:7" x14ac:dyDescent="0.45">
      <c r="A599" t="s">
        <v>2329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2351</v>
      </c>
      <c r="C600" s="29">
        <f>SUM(C592:C599)</f>
        <v>2</v>
      </c>
      <c r="D600" s="37">
        <f>SUM(D592:D598)/C601</f>
        <v>6</v>
      </c>
      <c r="E600" s="20" t="s">
        <v>2353</v>
      </c>
      <c r="F600" s="37" t="e">
        <f>SUM(F592:F599)/(C601-1)</f>
        <v>#DIV/0!</v>
      </c>
      <c r="G600" s="20" t="s">
        <v>2349</v>
      </c>
    </row>
    <row r="601" spans="1:7" x14ac:dyDescent="0.45">
      <c r="B601" s="20" t="s">
        <v>2352</v>
      </c>
      <c r="C601">
        <f>C600-C599</f>
        <v>1</v>
      </c>
      <c r="D601" s="33">
        <f>D600/7</f>
        <v>0.8571428571428571</v>
      </c>
      <c r="F601" s="37" t="e">
        <f>F600^(1/2)</f>
        <v>#DIV/0!</v>
      </c>
      <c r="G601" t="s">
        <v>2404</v>
      </c>
    </row>
    <row r="603" spans="1:7" x14ac:dyDescent="0.45">
      <c r="A603" s="29" t="s">
        <v>2402</v>
      </c>
      <c r="C603" t="s">
        <v>2348</v>
      </c>
      <c r="E603" s="20" t="s">
        <v>2362</v>
      </c>
      <c r="F603" s="20" t="s">
        <v>2363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37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37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37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37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37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37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37">
        <f t="shared" si="180"/>
        <v>25</v>
      </c>
      <c r="F610">
        <f t="shared" si="181"/>
        <v>0</v>
      </c>
    </row>
    <row r="611" spans="1:7" x14ac:dyDescent="0.45">
      <c r="A611" t="s">
        <v>2329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2351</v>
      </c>
      <c r="C612" s="29">
        <f>SUM(C604:C611)</f>
        <v>2</v>
      </c>
      <c r="D612" s="37">
        <f>SUM(D604:D610)/C613</f>
        <v>6</v>
      </c>
      <c r="E612" s="20" t="s">
        <v>2353</v>
      </c>
      <c r="F612" s="37" t="e">
        <f>SUM(F604:F611)/(C613-1)</f>
        <v>#DIV/0!</v>
      </c>
      <c r="G612" s="20" t="s">
        <v>2349</v>
      </c>
    </row>
    <row r="613" spans="1:7" x14ac:dyDescent="0.45">
      <c r="B613" s="20" t="s">
        <v>2352</v>
      </c>
      <c r="C613">
        <f>C612-C611</f>
        <v>1</v>
      </c>
      <c r="D613" s="33">
        <f>D612/7</f>
        <v>0.8571428571428571</v>
      </c>
      <c r="F613" s="37" t="e">
        <f>F612^(1/2)</f>
        <v>#DIV/0!</v>
      </c>
      <c r="G613" t="s">
        <v>2404</v>
      </c>
    </row>
    <row r="618" spans="1:7" x14ac:dyDescent="0.45">
      <c r="B618" s="20" t="s">
        <v>2434</v>
      </c>
      <c r="C618" s="46">
        <v>5.0709999999999997</v>
      </c>
    </row>
    <row r="619" spans="1:7" x14ac:dyDescent="0.45">
      <c r="B619" s="20" t="s">
        <v>2435</v>
      </c>
      <c r="C619" s="46">
        <v>5.1929999999999996</v>
      </c>
    </row>
    <row r="620" spans="1:7" x14ac:dyDescent="0.45">
      <c r="B620" s="20" t="s">
        <v>2436</v>
      </c>
      <c r="C620" s="46">
        <v>5.6959999999999997</v>
      </c>
    </row>
    <row r="621" spans="1:7" x14ac:dyDescent="0.45">
      <c r="B621" s="20" t="s">
        <v>2437</v>
      </c>
      <c r="C621" s="46">
        <v>6.75</v>
      </c>
    </row>
    <row r="622" spans="1:7" x14ac:dyDescent="0.45">
      <c r="B622" s="20" t="s">
        <v>2438</v>
      </c>
      <c r="C622" s="46">
        <v>6</v>
      </c>
    </row>
    <row r="623" spans="1:7" x14ac:dyDescent="0.45">
      <c r="B623" s="20" t="s">
        <v>2439</v>
      </c>
      <c r="C623" s="46">
        <v>5.8</v>
      </c>
    </row>
    <row r="624" spans="1:7" x14ac:dyDescent="0.45">
      <c r="B624" s="20" t="s">
        <v>2440</v>
      </c>
      <c r="C624" s="46">
        <v>4.8</v>
      </c>
    </row>
    <row r="625" spans="1:16" x14ac:dyDescent="0.45">
      <c r="B625" s="20" t="s">
        <v>2441</v>
      </c>
      <c r="C625" s="46">
        <v>6.5</v>
      </c>
    </row>
    <row r="628" spans="1:16" x14ac:dyDescent="0.45">
      <c r="B628" s="20" t="s">
        <v>2433</v>
      </c>
      <c r="C628" s="37">
        <f>AVERAGE(C618:C625)</f>
        <v>5.7262499999999994</v>
      </c>
    </row>
    <row r="631" spans="1:16" x14ac:dyDescent="0.45">
      <c r="A631" t="s">
        <v>2442</v>
      </c>
    </row>
    <row r="633" spans="1:16" x14ac:dyDescent="0.45">
      <c r="A633" s="48" t="s">
        <v>53</v>
      </c>
      <c r="I633" s="48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2443</v>
      </c>
      <c r="B637" t="s">
        <v>2444</v>
      </c>
      <c r="F637" s="20" t="s">
        <v>2445</v>
      </c>
    </row>
    <row r="638" spans="1:16" x14ac:dyDescent="0.45">
      <c r="A638" s="20" t="s">
        <v>2296</v>
      </c>
      <c r="B638" s="30">
        <v>0.22</v>
      </c>
      <c r="D638" s="20" t="s">
        <v>2434</v>
      </c>
      <c r="E638" s="46">
        <v>5.0709999999999997</v>
      </c>
      <c r="F638" s="37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2435</v>
      </c>
      <c r="E639" s="46">
        <v>5.1929999999999996</v>
      </c>
      <c r="F639" s="37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2436</v>
      </c>
      <c r="E640" s="46">
        <v>5.6959999999999997</v>
      </c>
      <c r="F640" s="37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2437</v>
      </c>
      <c r="E641" s="46">
        <v>6.75</v>
      </c>
      <c r="F641" s="37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2438</v>
      </c>
      <c r="E642" s="46">
        <v>6</v>
      </c>
      <c r="F642" s="37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2439</v>
      </c>
      <c r="E643" s="46">
        <v>5.8</v>
      </c>
      <c r="F643" s="37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2440</v>
      </c>
      <c r="E644" s="46">
        <v>4.8</v>
      </c>
      <c r="F644" s="37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2441</v>
      </c>
      <c r="E645" s="46">
        <v>6.5</v>
      </c>
      <c r="F645" s="37">
        <f t="shared" si="182"/>
        <v>0.65</v>
      </c>
    </row>
    <row r="646" spans="1:7" x14ac:dyDescent="0.45">
      <c r="F646" s="47">
        <f>SUM(F638:F645)</f>
        <v>5.572724</v>
      </c>
    </row>
    <row r="647" spans="1:7" ht="28.5" x14ac:dyDescent="0.45">
      <c r="A647" s="28" t="s">
        <v>2446</v>
      </c>
      <c r="B647" t="s">
        <v>2444</v>
      </c>
      <c r="F647" s="20" t="s">
        <v>2445</v>
      </c>
    </row>
    <row r="648" spans="1:7" x14ac:dyDescent="0.45">
      <c r="A648" s="20" t="s">
        <v>2296</v>
      </c>
      <c r="B648" s="30">
        <v>0.18</v>
      </c>
      <c r="D648" s="20" t="s">
        <v>2434</v>
      </c>
      <c r="E648" s="46">
        <v>5.0709999999999997</v>
      </c>
      <c r="F648" s="37">
        <f t="shared" ref="F648:F655" si="183">B648*E648</f>
        <v>0.91277999999999992</v>
      </c>
      <c r="G648" s="37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2435</v>
      </c>
      <c r="E649" s="46">
        <v>5.1929999999999996</v>
      </c>
      <c r="F649" s="37">
        <f t="shared" si="183"/>
        <v>1.1943900000000001</v>
      </c>
      <c r="G649" s="37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2436</v>
      </c>
      <c r="E650" s="46">
        <v>5.6959999999999997</v>
      </c>
      <c r="F650" s="37">
        <f t="shared" si="183"/>
        <v>1.1391999999999999E-2</v>
      </c>
      <c r="G650" s="37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2437</v>
      </c>
      <c r="E651" s="46">
        <v>6.75</v>
      </c>
      <c r="F651" s="37">
        <f t="shared" si="183"/>
        <v>0.66149999999999998</v>
      </c>
      <c r="G651" s="37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2438</v>
      </c>
      <c r="E652" s="46">
        <v>6</v>
      </c>
      <c r="F652" s="37">
        <f t="shared" si="183"/>
        <v>1.5</v>
      </c>
      <c r="G652" s="37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2439</v>
      </c>
      <c r="E653" s="46">
        <v>5.8</v>
      </c>
      <c r="F653" s="37">
        <f t="shared" si="183"/>
        <v>0</v>
      </c>
      <c r="G653" s="37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2440</v>
      </c>
      <c r="E654" s="46">
        <v>4.8</v>
      </c>
      <c r="F654" s="37">
        <f t="shared" si="183"/>
        <v>0.57599999999999996</v>
      </c>
      <c r="G654" s="37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2441</v>
      </c>
      <c r="E655" s="46">
        <v>6.5</v>
      </c>
      <c r="F655" s="37">
        <f t="shared" si="183"/>
        <v>0.78</v>
      </c>
      <c r="G655" s="37">
        <f t="shared" si="184"/>
        <v>0.13</v>
      </c>
    </row>
    <row r="656" spans="1:7" x14ac:dyDescent="0.45">
      <c r="F656" s="47">
        <f>SUM(F648:F655)</f>
        <v>5.6360619999999999</v>
      </c>
    </row>
    <row r="661" spans="2:12" x14ac:dyDescent="0.45">
      <c r="B661" s="29" t="s">
        <v>2479</v>
      </c>
      <c r="C661" s="29">
        <f>CORREL(AbsDoKorelacji[CzyTechnicznaWartości],AbsDoKorelacji[Zatrudnienie w 1 roku])</f>
        <v>-0.14111319761359137</v>
      </c>
      <c r="D661" s="29">
        <f>CORREL(AbsDoKorelacji[CzyTechnicznaWartości],AbsDoKorelacji[Zatrudnienie w 3 lata])</f>
        <v>-0.10802520588259766</v>
      </c>
      <c r="E661" s="29"/>
      <c r="F661" s="29"/>
      <c r="G661" s="56">
        <f>CORREL(AbsDoKorelacji[CzyTechnicznaWartości],AbsDoKorelacji[Wartości_po1roku])</f>
        <v>0.18515986505656057</v>
      </c>
      <c r="H661" s="56">
        <f>CORREL(AbsDoKorelacji[CzyTechnicznaWartości],AbsDoKorelacji[Wartości_po3latach])</f>
        <v>0.29768449183774587</v>
      </c>
      <c r="I661" s="29"/>
      <c r="J661" s="29">
        <f>CORREL(AbsDoKorelacji[CzyTechnicznaWartości],AbsDoKorelacji[Satysfakcja_wartości])</f>
        <v>7.2103810425918458E-2</v>
      </c>
      <c r="K661" s="29"/>
      <c r="L661" s="29">
        <f>CORREL(AbsDoKorelacji[CzyTechnicznaWartości],AbsDoKorelacji[Wartość usługi_wartość])</f>
        <v>2.7693088924681118E-2</v>
      </c>
    </row>
    <row r="662" spans="2:12" x14ac:dyDescent="0.45">
      <c r="B662" s="20" t="s">
        <v>2491</v>
      </c>
      <c r="C662">
        <f>COUNTA(AbsDoKorelacji[CzyUczelniaTechniczna])</f>
        <v>120</v>
      </c>
      <c r="I662" s="29" t="s">
        <v>2480</v>
      </c>
      <c r="J662" s="29">
        <f>CORREL(AbsDoKorelacji[Zatrudnienie w 1 roku],AbsDoKorelacji[Satysfakcja_wartości])</f>
        <v>-2.3086026230158343E-2</v>
      </c>
      <c r="K662" s="29"/>
      <c r="L662" s="29">
        <f>CORREL(AbsDoKorelacji[Zatrudnienie w 1 roku],AbsDoKorelacji[Wartość usługi_wartość])</f>
        <v>4.4807712238976047E-2</v>
      </c>
    </row>
    <row r="663" spans="2:12" ht="199.5" x14ac:dyDescent="0.45">
      <c r="B663" t="s">
        <v>2464</v>
      </c>
      <c r="C663" s="20" t="s">
        <v>2473</v>
      </c>
      <c r="D663" s="20" t="s">
        <v>2474</v>
      </c>
      <c r="E663" t="s">
        <v>29</v>
      </c>
      <c r="F663" s="20" t="s">
        <v>2472</v>
      </c>
      <c r="G663" t="s">
        <v>2470</v>
      </c>
      <c r="H663" s="20" t="s">
        <v>2471</v>
      </c>
      <c r="I663" s="28" t="s">
        <v>86</v>
      </c>
      <c r="J663" s="49" t="s">
        <v>2477</v>
      </c>
      <c r="K663" s="28" t="s">
        <v>2071</v>
      </c>
      <c r="L663" s="20" t="s">
        <v>2478</v>
      </c>
    </row>
    <row r="664" spans="2:12" x14ac:dyDescent="0.45">
      <c r="B664" t="s">
        <v>2463</v>
      </c>
      <c r="C664">
        <v>1</v>
      </c>
      <c r="D664">
        <v>1</v>
      </c>
      <c r="E664">
        <v>0</v>
      </c>
      <c r="F664">
        <f>IF(AbsDoKorelacji[[#This Row],[CzyUczelniaTechniczna]]="Techniczna",1,0)</f>
        <v>0</v>
      </c>
      <c r="G664">
        <v>500</v>
      </c>
      <c r="H664">
        <v>500</v>
      </c>
      <c r="I664" t="s">
        <v>169</v>
      </c>
      <c r="J664">
        <f>VLOOKUP(AbsDoKorelacji[[#This Row],[Moja satysfakcja z (efektów) usług edukacyjnych ocenianej uczelni jest wysoka.]],SkalaLikerta[],2,0)</f>
        <v>7</v>
      </c>
      <c r="K664" t="s">
        <v>169</v>
      </c>
      <c r="L664">
        <f>VLOOKUP(AbsDoKorelacji[[#This Row],[Usługi edukacyjne ocenianej uczelni mają wysoką wartość (okazja / szansa rozwoju własnego lub kariery).3]],SkalaLikerta[],2,0)</f>
        <v>7</v>
      </c>
    </row>
    <row r="665" spans="2:12" x14ac:dyDescent="0.45">
      <c r="B665" t="s">
        <v>2463</v>
      </c>
      <c r="C665">
        <v>1</v>
      </c>
      <c r="D665">
        <v>1</v>
      </c>
      <c r="E665">
        <v>0</v>
      </c>
      <c r="F665">
        <f>IF(AbsDoKorelacji[[#This Row],[CzyUczelniaTechniczna]]="Techniczna",1,0)</f>
        <v>0</v>
      </c>
      <c r="G665">
        <v>3500</v>
      </c>
      <c r="H665" t="s">
        <v>2329</v>
      </c>
      <c r="I665" t="s">
        <v>162</v>
      </c>
      <c r="J665">
        <f>VLOOKUP(AbsDoKorelacji[[#This Row],[Moja satysfakcja z (efektów) usług edukacyjnych ocenianej uczelni jest wysoka.]],SkalaLikerta[],2,0)</f>
        <v>5</v>
      </c>
      <c r="K665" t="s">
        <v>162</v>
      </c>
      <c r="L665">
        <f>VLOOKUP(AbsDoKorelacji[[#This Row],[Usługi edukacyjne ocenianej uczelni mają wysoką wartość (okazja / szansa rozwoju własnego lub kariery).3]],SkalaLikerta[],2,0)</f>
        <v>5</v>
      </c>
    </row>
    <row r="666" spans="2:12" x14ac:dyDescent="0.45">
      <c r="B666" t="s">
        <v>2463</v>
      </c>
      <c r="C666">
        <v>1</v>
      </c>
      <c r="D666">
        <v>1</v>
      </c>
      <c r="E666">
        <v>0</v>
      </c>
      <c r="F666">
        <f>IF(AbsDoKorelacji[[#This Row],[CzyUczelniaTechniczna]]="Techniczna",1,0)</f>
        <v>0</v>
      </c>
      <c r="G666">
        <v>1500</v>
      </c>
      <c r="H666">
        <v>1500</v>
      </c>
      <c r="I666" t="s">
        <v>128</v>
      </c>
      <c r="J666">
        <f>VLOOKUP(AbsDoKorelacji[[#This Row],[Moja satysfakcja z (efektów) usług edukacyjnych ocenianej uczelni jest wysoka.]],SkalaLikerta[],2,0)</f>
        <v>3</v>
      </c>
      <c r="K666" t="s">
        <v>151</v>
      </c>
      <c r="L666">
        <f>VLOOKUP(AbsDoKorelacji[[#This Row],[Usługi edukacyjne ocenianej uczelni mają wysoką wartość (okazja / szansa rozwoju własnego lub kariery).3]],SkalaLikerta[],2,0)</f>
        <v>4</v>
      </c>
    </row>
    <row r="667" spans="2:12" x14ac:dyDescent="0.45">
      <c r="B667" t="s">
        <v>2462</v>
      </c>
      <c r="C667">
        <v>1</v>
      </c>
      <c r="D667">
        <v>1</v>
      </c>
      <c r="E667">
        <v>0</v>
      </c>
      <c r="F667">
        <f>IF(AbsDoKorelacji[[#This Row],[CzyUczelniaTechniczna]]="Techniczna",1,0)</f>
        <v>1</v>
      </c>
      <c r="G667">
        <v>3500</v>
      </c>
      <c r="H667">
        <v>4500</v>
      </c>
      <c r="I667" t="s">
        <v>151</v>
      </c>
      <c r="J667">
        <f>VLOOKUP(AbsDoKorelacji[[#This Row],[Moja satysfakcja z (efektów) usług edukacyjnych ocenianej uczelni jest wysoka.]],SkalaLikerta[],2,0)</f>
        <v>4</v>
      </c>
      <c r="K667" t="s">
        <v>151</v>
      </c>
      <c r="L667">
        <f>VLOOKUP(AbsDoKorelacji[[#This Row],[Usługi edukacyjne ocenianej uczelni mają wysoką wartość (okazja / szansa rozwoju własnego lub kariery).3]],SkalaLikerta[],2,0)</f>
        <v>4</v>
      </c>
    </row>
    <row r="668" spans="2:12" x14ac:dyDescent="0.45">
      <c r="B668" t="s">
        <v>2463</v>
      </c>
      <c r="C668">
        <v>1</v>
      </c>
      <c r="D668">
        <v>1</v>
      </c>
      <c r="E668">
        <v>0</v>
      </c>
      <c r="F668">
        <f>IF(AbsDoKorelacji[[#This Row],[CzyUczelniaTechniczna]]="Techniczna",1,0)</f>
        <v>0</v>
      </c>
      <c r="G668">
        <v>1500</v>
      </c>
      <c r="H668">
        <v>2500</v>
      </c>
      <c r="I668" t="s">
        <v>162</v>
      </c>
      <c r="J668">
        <f>VLOOKUP(AbsDoKorelacji[[#This Row],[Moja satysfakcja z (efektów) usług edukacyjnych ocenianej uczelni jest wysoka.]],SkalaLikerta[],2,0)</f>
        <v>5</v>
      </c>
      <c r="K668" t="s">
        <v>151</v>
      </c>
      <c r="L668">
        <f>VLOOKUP(AbsDoKorelacji[[#This Row],[Usługi edukacyjne ocenianej uczelni mają wysoką wartość (okazja / szansa rozwoju własnego lub kariery).3]],SkalaLikerta[],2,0)</f>
        <v>4</v>
      </c>
    </row>
    <row r="669" spans="2:12" x14ac:dyDescent="0.45">
      <c r="B669" t="s">
        <v>2463</v>
      </c>
      <c r="C669">
        <v>1</v>
      </c>
      <c r="D669">
        <v>1</v>
      </c>
      <c r="E669">
        <v>0</v>
      </c>
      <c r="F669">
        <f>IF(AbsDoKorelacji[[#This Row],[CzyUczelniaTechniczna]]="Techniczna",1,0)</f>
        <v>0</v>
      </c>
      <c r="G669">
        <v>500</v>
      </c>
      <c r="H669">
        <v>500</v>
      </c>
      <c r="I669" t="s">
        <v>150</v>
      </c>
      <c r="J669">
        <f>VLOOKUP(AbsDoKorelacji[[#This Row],[Moja satysfakcja z (efektów) usług edukacyjnych ocenianej uczelni jest wysoka.]],SkalaLikerta[],2,0)</f>
        <v>6</v>
      </c>
      <c r="K669" t="s">
        <v>150</v>
      </c>
      <c r="L669">
        <f>VLOOKUP(AbsDoKorelacji[[#This Row],[Usługi edukacyjne ocenianej uczelni mają wysoką wartość (okazja / szansa rozwoju własnego lub kariery).3]],SkalaLikerta[],2,0)</f>
        <v>6</v>
      </c>
    </row>
    <row r="670" spans="2:12" x14ac:dyDescent="0.45">
      <c r="B670" t="s">
        <v>2462</v>
      </c>
      <c r="C670">
        <v>1</v>
      </c>
      <c r="D670">
        <v>1</v>
      </c>
      <c r="E670">
        <v>0</v>
      </c>
      <c r="F670">
        <f>IF(AbsDoKorelacji[[#This Row],[CzyUczelniaTechniczna]]="Techniczna",1,0)</f>
        <v>1</v>
      </c>
      <c r="G670">
        <v>3500</v>
      </c>
      <c r="H670">
        <v>5500</v>
      </c>
      <c r="I670" t="s">
        <v>169</v>
      </c>
      <c r="J670">
        <f>VLOOKUP(AbsDoKorelacji[[#This Row],[Moja satysfakcja z (efektów) usług edukacyjnych ocenianej uczelni jest wysoka.]],SkalaLikerta[],2,0)</f>
        <v>7</v>
      </c>
      <c r="K670" t="s">
        <v>169</v>
      </c>
      <c r="L670">
        <f>VLOOKUP(AbsDoKorelacji[[#This Row],[Usługi edukacyjne ocenianej uczelni mają wysoką wartość (okazja / szansa rozwoju własnego lub kariery).3]],SkalaLikerta[],2,0)</f>
        <v>7</v>
      </c>
    </row>
    <row r="671" spans="2:12" x14ac:dyDescent="0.45">
      <c r="B671" t="s">
        <v>2462</v>
      </c>
      <c r="C671">
        <v>1</v>
      </c>
      <c r="D671">
        <v>1</v>
      </c>
      <c r="E671">
        <v>0</v>
      </c>
      <c r="F671">
        <f>IF(AbsDoKorelacji[[#This Row],[CzyUczelniaTechniczna]]="Techniczna",1,0)</f>
        <v>1</v>
      </c>
      <c r="G671">
        <v>4500</v>
      </c>
      <c r="H671">
        <v>4500</v>
      </c>
      <c r="I671" t="s">
        <v>150</v>
      </c>
      <c r="J671">
        <f>VLOOKUP(AbsDoKorelacji[[#This Row],[Moja satysfakcja z (efektów) usług edukacyjnych ocenianej uczelni jest wysoka.]],SkalaLikerta[],2,0)</f>
        <v>6</v>
      </c>
      <c r="K671" t="s">
        <v>150</v>
      </c>
      <c r="L671">
        <f>VLOOKUP(AbsDoKorelacji[[#This Row],[Usługi edukacyjne ocenianej uczelni mają wysoką wartość (okazja / szansa rozwoju własnego lub kariery).3]],SkalaLikerta[],2,0)</f>
        <v>6</v>
      </c>
    </row>
    <row r="672" spans="2:12" x14ac:dyDescent="0.45">
      <c r="B672" t="s">
        <v>2463</v>
      </c>
      <c r="C672">
        <v>1</v>
      </c>
      <c r="D672">
        <v>1</v>
      </c>
      <c r="E672">
        <v>0</v>
      </c>
      <c r="F672">
        <f>IF(AbsDoKorelacji[[#This Row],[CzyUczelniaTechniczna]]="Techniczna",1,0)</f>
        <v>0</v>
      </c>
      <c r="G672">
        <v>1500</v>
      </c>
      <c r="H672">
        <v>2500</v>
      </c>
      <c r="I672" t="s">
        <v>150</v>
      </c>
      <c r="J672">
        <f>VLOOKUP(AbsDoKorelacji[[#This Row],[Moja satysfakcja z (efektów) usług edukacyjnych ocenianej uczelni jest wysoka.]],SkalaLikerta[],2,0)</f>
        <v>6</v>
      </c>
      <c r="K672" t="s">
        <v>169</v>
      </c>
      <c r="L672">
        <f>VLOOKUP(AbsDoKorelacji[[#This Row],[Usługi edukacyjne ocenianej uczelni mają wysoką wartość (okazja / szansa rozwoju własnego lub kariery).3]],SkalaLikerta[],2,0)</f>
        <v>7</v>
      </c>
    </row>
    <row r="673" spans="2:12" x14ac:dyDescent="0.45">
      <c r="B673" t="s">
        <v>2462</v>
      </c>
      <c r="C673">
        <v>1</v>
      </c>
      <c r="D673">
        <v>1</v>
      </c>
      <c r="E673">
        <v>1</v>
      </c>
      <c r="F673">
        <f>IF(AbsDoKorelacji[[#This Row],[CzyUczelniaTechniczna]]="Techniczna",1,0)</f>
        <v>1</v>
      </c>
      <c r="G673">
        <v>1500</v>
      </c>
      <c r="H673">
        <v>3500</v>
      </c>
      <c r="I673" t="s">
        <v>150</v>
      </c>
      <c r="J673">
        <f>VLOOKUP(AbsDoKorelacji[[#This Row],[Moja satysfakcja z (efektów) usług edukacyjnych ocenianej uczelni jest wysoka.]],SkalaLikerta[],2,0)</f>
        <v>6</v>
      </c>
      <c r="K673" t="s">
        <v>150</v>
      </c>
      <c r="L673">
        <f>VLOOKUP(AbsDoKorelacji[[#This Row],[Usługi edukacyjne ocenianej uczelni mają wysoką wartość (okazja / szansa rozwoju własnego lub kariery).3]],SkalaLikerta[],2,0)</f>
        <v>6</v>
      </c>
    </row>
    <row r="674" spans="2:12" x14ac:dyDescent="0.45">
      <c r="B674" t="s">
        <v>2463</v>
      </c>
      <c r="C674">
        <v>1</v>
      </c>
      <c r="D674">
        <v>1</v>
      </c>
      <c r="E674">
        <v>1</v>
      </c>
      <c r="F674">
        <f>IF(AbsDoKorelacji[[#This Row],[CzyUczelniaTechniczna]]="Techniczna",1,0)</f>
        <v>0</v>
      </c>
      <c r="G674">
        <v>1500</v>
      </c>
      <c r="H674">
        <v>3500</v>
      </c>
      <c r="I674" t="s">
        <v>150</v>
      </c>
      <c r="J674">
        <f>VLOOKUP(AbsDoKorelacji[[#This Row],[Moja satysfakcja z (efektów) usług edukacyjnych ocenianej uczelni jest wysoka.]],SkalaLikerta[],2,0)</f>
        <v>6</v>
      </c>
      <c r="K674" t="s">
        <v>150</v>
      </c>
      <c r="L674">
        <f>VLOOKUP(AbsDoKorelacji[[#This Row],[Usługi edukacyjne ocenianej uczelni mają wysoką wartość (okazja / szansa rozwoju własnego lub kariery).3]],SkalaLikerta[],2,0)</f>
        <v>6</v>
      </c>
    </row>
    <row r="675" spans="2:12" x14ac:dyDescent="0.45">
      <c r="B675" t="s">
        <v>2462</v>
      </c>
      <c r="C675">
        <v>1</v>
      </c>
      <c r="D675">
        <v>1</v>
      </c>
      <c r="E675">
        <v>1</v>
      </c>
      <c r="F675">
        <f>IF(AbsDoKorelacji[[#This Row],[CzyUczelniaTechniczna]]="Techniczna",1,0)</f>
        <v>1</v>
      </c>
      <c r="G675">
        <v>3500</v>
      </c>
      <c r="H675" t="s">
        <v>2329</v>
      </c>
      <c r="I675" t="s">
        <v>150</v>
      </c>
      <c r="J675">
        <f>VLOOKUP(AbsDoKorelacji[[#This Row],[Moja satysfakcja z (efektów) usług edukacyjnych ocenianej uczelni jest wysoka.]],SkalaLikerta[],2,0)</f>
        <v>6</v>
      </c>
      <c r="K675" t="s">
        <v>151</v>
      </c>
      <c r="L675">
        <f>VLOOKUP(AbsDoKorelacji[[#This Row],[Usługi edukacyjne ocenianej uczelni mają wysoką wartość (okazja / szansa rozwoju własnego lub kariery).3]],SkalaLikerta[],2,0)</f>
        <v>4</v>
      </c>
    </row>
    <row r="676" spans="2:12" x14ac:dyDescent="0.45">
      <c r="B676" t="s">
        <v>2462</v>
      </c>
      <c r="C676">
        <v>1</v>
      </c>
      <c r="D676">
        <v>1</v>
      </c>
      <c r="E676">
        <v>1</v>
      </c>
      <c r="F676">
        <f>IF(AbsDoKorelacji[[#This Row],[CzyUczelniaTechniczna]]="Techniczna",1,0)</f>
        <v>1</v>
      </c>
      <c r="G676">
        <v>2500</v>
      </c>
      <c r="H676">
        <v>4500</v>
      </c>
      <c r="I676" t="s">
        <v>128</v>
      </c>
      <c r="J676">
        <f>VLOOKUP(AbsDoKorelacji[[#This Row],[Moja satysfakcja z (efektów) usług edukacyjnych ocenianej uczelni jest wysoka.]],SkalaLikerta[],2,0)</f>
        <v>3</v>
      </c>
      <c r="K676" t="s">
        <v>151</v>
      </c>
      <c r="L676">
        <f>VLOOKUP(AbsDoKorelacji[[#This Row],[Usługi edukacyjne ocenianej uczelni mają wysoką wartość (okazja / szansa rozwoju własnego lub kariery).3]],SkalaLikerta[],2,0)</f>
        <v>4</v>
      </c>
    </row>
    <row r="677" spans="2:12" x14ac:dyDescent="0.45">
      <c r="B677" t="s">
        <v>2463</v>
      </c>
      <c r="C677">
        <v>1</v>
      </c>
      <c r="D677">
        <v>1</v>
      </c>
      <c r="E677">
        <v>1</v>
      </c>
      <c r="F677">
        <f>IF(AbsDoKorelacji[[#This Row],[CzyUczelniaTechniczna]]="Techniczna",1,0)</f>
        <v>0</v>
      </c>
      <c r="G677">
        <v>1500</v>
      </c>
      <c r="H677">
        <v>1500</v>
      </c>
      <c r="I677" t="s">
        <v>128</v>
      </c>
      <c r="J677">
        <f>VLOOKUP(AbsDoKorelacji[[#This Row],[Moja satysfakcja z (efektów) usług edukacyjnych ocenianej uczelni jest wysoka.]],SkalaLikerta[],2,0)</f>
        <v>3</v>
      </c>
      <c r="K677" t="s">
        <v>128</v>
      </c>
      <c r="L677">
        <f>VLOOKUP(AbsDoKorelacji[[#This Row],[Usługi edukacyjne ocenianej uczelni mają wysoką wartość (okazja / szansa rozwoju własnego lub kariery).3]],SkalaLikerta[],2,0)</f>
        <v>3</v>
      </c>
    </row>
    <row r="678" spans="2:12" x14ac:dyDescent="0.45">
      <c r="B678" t="s">
        <v>2462</v>
      </c>
      <c r="C678">
        <v>1</v>
      </c>
      <c r="D678">
        <v>1</v>
      </c>
      <c r="E678">
        <v>1</v>
      </c>
      <c r="F678">
        <f>IF(AbsDoKorelacji[[#This Row],[CzyUczelniaTechniczna]]="Techniczna",1,0)</f>
        <v>1</v>
      </c>
      <c r="G678">
        <v>2500</v>
      </c>
      <c r="H678">
        <v>4500</v>
      </c>
      <c r="I678" t="s">
        <v>150</v>
      </c>
      <c r="J678">
        <f>VLOOKUP(AbsDoKorelacji[[#This Row],[Moja satysfakcja z (efektów) usług edukacyjnych ocenianej uczelni jest wysoka.]],SkalaLikerta[],2,0)</f>
        <v>6</v>
      </c>
      <c r="K678" t="s">
        <v>150</v>
      </c>
      <c r="L678">
        <f>VLOOKUP(AbsDoKorelacji[[#This Row],[Usługi edukacyjne ocenianej uczelni mają wysoką wartość (okazja / szansa rozwoju własnego lub kariery).3]],SkalaLikerta[],2,0)</f>
        <v>6</v>
      </c>
    </row>
    <row r="679" spans="2:12" x14ac:dyDescent="0.45">
      <c r="B679" t="s">
        <v>2462</v>
      </c>
      <c r="C679">
        <v>1</v>
      </c>
      <c r="D679">
        <v>1</v>
      </c>
      <c r="E679">
        <v>1</v>
      </c>
      <c r="F679">
        <f>IF(AbsDoKorelacji[[#This Row],[CzyUczelniaTechniczna]]="Techniczna",1,0)</f>
        <v>1</v>
      </c>
      <c r="G679">
        <v>1500</v>
      </c>
      <c r="H679">
        <v>2500</v>
      </c>
      <c r="I679" t="s">
        <v>236</v>
      </c>
      <c r="J679">
        <f>VLOOKUP(AbsDoKorelacji[[#This Row],[Moja satysfakcja z (efektów) usług edukacyjnych ocenianej uczelni jest wysoka.]],SkalaLikerta[],2,0)</f>
        <v>2</v>
      </c>
      <c r="K679" t="s">
        <v>236</v>
      </c>
      <c r="L679">
        <f>VLOOKUP(AbsDoKorelacji[[#This Row],[Usługi edukacyjne ocenianej uczelni mają wysoką wartość (okazja / szansa rozwoju własnego lub kariery).3]],SkalaLikerta[],2,0)</f>
        <v>2</v>
      </c>
    </row>
    <row r="680" spans="2:12" x14ac:dyDescent="0.45">
      <c r="B680" t="s">
        <v>2462</v>
      </c>
      <c r="C680">
        <v>1</v>
      </c>
      <c r="D680">
        <v>1</v>
      </c>
      <c r="E680">
        <v>1</v>
      </c>
      <c r="F680">
        <f>IF(AbsDoKorelacji[[#This Row],[CzyUczelniaTechniczna]]="Techniczna",1,0)</f>
        <v>1</v>
      </c>
      <c r="G680">
        <v>1500</v>
      </c>
      <c r="H680">
        <v>3500</v>
      </c>
      <c r="I680" t="s">
        <v>162</v>
      </c>
      <c r="J680">
        <f>VLOOKUP(AbsDoKorelacji[[#This Row],[Moja satysfakcja z (efektów) usług edukacyjnych ocenianej uczelni jest wysoka.]],SkalaLikerta[],2,0)</f>
        <v>5</v>
      </c>
      <c r="K680" t="s">
        <v>150</v>
      </c>
      <c r="L680">
        <f>VLOOKUP(AbsDoKorelacji[[#This Row],[Usługi edukacyjne ocenianej uczelni mają wysoką wartość (okazja / szansa rozwoju własnego lub kariery).3]],SkalaLikerta[],2,0)</f>
        <v>6</v>
      </c>
    </row>
    <row r="681" spans="2:12" x14ac:dyDescent="0.45">
      <c r="B681" t="s">
        <v>2462</v>
      </c>
      <c r="C681">
        <v>1</v>
      </c>
      <c r="D681">
        <v>1</v>
      </c>
      <c r="E681">
        <v>2</v>
      </c>
      <c r="F681">
        <f>IF(AbsDoKorelacji[[#This Row],[CzyUczelniaTechniczna]]="Techniczna",1,0)</f>
        <v>1</v>
      </c>
      <c r="G681">
        <v>2500</v>
      </c>
      <c r="H681">
        <v>3500</v>
      </c>
      <c r="I681" t="s">
        <v>150</v>
      </c>
      <c r="J681">
        <f>VLOOKUP(AbsDoKorelacji[[#This Row],[Moja satysfakcja z (efektów) usług edukacyjnych ocenianej uczelni jest wysoka.]],SkalaLikerta[],2,0)</f>
        <v>6</v>
      </c>
      <c r="K681" t="s">
        <v>150</v>
      </c>
      <c r="L681">
        <f>VLOOKUP(AbsDoKorelacji[[#This Row],[Usługi edukacyjne ocenianej uczelni mają wysoką wartość (okazja / szansa rozwoju własnego lub kariery).3]],SkalaLikerta[],2,0)</f>
        <v>6</v>
      </c>
    </row>
    <row r="682" spans="2:12" x14ac:dyDescent="0.45">
      <c r="B682" t="s">
        <v>2463</v>
      </c>
      <c r="C682">
        <v>1</v>
      </c>
      <c r="D682">
        <v>1</v>
      </c>
      <c r="E682">
        <v>2</v>
      </c>
      <c r="F682">
        <f>IF(AbsDoKorelacji[[#This Row],[CzyUczelniaTechniczna]]="Techniczna",1,0)</f>
        <v>0</v>
      </c>
      <c r="G682">
        <v>1500</v>
      </c>
      <c r="H682">
        <v>2500</v>
      </c>
      <c r="I682" t="s">
        <v>162</v>
      </c>
      <c r="J682">
        <f>VLOOKUP(AbsDoKorelacji[[#This Row],[Moja satysfakcja z (efektów) usług edukacyjnych ocenianej uczelni jest wysoka.]],SkalaLikerta[],2,0)</f>
        <v>5</v>
      </c>
      <c r="K682" t="s">
        <v>162</v>
      </c>
      <c r="L682">
        <f>VLOOKUP(AbsDoKorelacji[[#This Row],[Usługi edukacyjne ocenianej uczelni mają wysoką wartość (okazja / szansa rozwoju własnego lub kariery).3]],SkalaLikerta[],2,0)</f>
        <v>5</v>
      </c>
    </row>
    <row r="683" spans="2:12" x14ac:dyDescent="0.45">
      <c r="B683" t="s">
        <v>2463</v>
      </c>
      <c r="C683">
        <v>1</v>
      </c>
      <c r="D683">
        <v>1</v>
      </c>
      <c r="E683">
        <v>2</v>
      </c>
      <c r="F683">
        <f>IF(AbsDoKorelacji[[#This Row],[CzyUczelniaTechniczna]]="Techniczna",1,0)</f>
        <v>0</v>
      </c>
      <c r="G683">
        <v>1500</v>
      </c>
      <c r="H683">
        <v>3500</v>
      </c>
      <c r="I683" t="s">
        <v>162</v>
      </c>
      <c r="J683">
        <f>VLOOKUP(AbsDoKorelacji[[#This Row],[Moja satysfakcja z (efektów) usług edukacyjnych ocenianej uczelni jest wysoka.]],SkalaLikerta[],2,0)</f>
        <v>5</v>
      </c>
      <c r="K683" t="s">
        <v>162</v>
      </c>
      <c r="L683">
        <f>VLOOKUP(AbsDoKorelacji[[#This Row],[Usługi edukacyjne ocenianej uczelni mają wysoką wartość (okazja / szansa rozwoju własnego lub kariery).3]],SkalaLikerta[],2,0)</f>
        <v>5</v>
      </c>
    </row>
    <row r="684" spans="2:12" x14ac:dyDescent="0.45">
      <c r="B684" t="s">
        <v>2462</v>
      </c>
      <c r="C684">
        <v>1</v>
      </c>
      <c r="D684">
        <v>1</v>
      </c>
      <c r="E684">
        <v>2</v>
      </c>
      <c r="F684">
        <f>IF(AbsDoKorelacji[[#This Row],[CzyUczelniaTechniczna]]="Techniczna",1,0)</f>
        <v>1</v>
      </c>
      <c r="G684">
        <v>2500</v>
      </c>
      <c r="H684">
        <v>4500</v>
      </c>
      <c r="I684" t="s">
        <v>169</v>
      </c>
      <c r="J684">
        <f>VLOOKUP(AbsDoKorelacji[[#This Row],[Moja satysfakcja z (efektów) usług edukacyjnych ocenianej uczelni jest wysoka.]],SkalaLikerta[],2,0)</f>
        <v>7</v>
      </c>
      <c r="K684" t="s">
        <v>169</v>
      </c>
      <c r="L684">
        <f>VLOOKUP(AbsDoKorelacji[[#This Row],[Usługi edukacyjne ocenianej uczelni mają wysoką wartość (okazja / szansa rozwoju własnego lub kariery).3]],SkalaLikerta[],2,0)</f>
        <v>7</v>
      </c>
    </row>
    <row r="685" spans="2:12" x14ac:dyDescent="0.45">
      <c r="B685" t="s">
        <v>2463</v>
      </c>
      <c r="C685">
        <v>1</v>
      </c>
      <c r="D685">
        <v>1</v>
      </c>
      <c r="E685">
        <v>2</v>
      </c>
      <c r="F685">
        <f>IF(AbsDoKorelacji[[#This Row],[CzyUczelniaTechniczna]]="Techniczna",1,0)</f>
        <v>0</v>
      </c>
      <c r="G685">
        <v>1500</v>
      </c>
      <c r="H685">
        <v>3500</v>
      </c>
      <c r="I685" t="s">
        <v>150</v>
      </c>
      <c r="J685">
        <f>VLOOKUP(AbsDoKorelacji[[#This Row],[Moja satysfakcja z (efektów) usług edukacyjnych ocenianej uczelni jest wysoka.]],SkalaLikerta[],2,0)</f>
        <v>6</v>
      </c>
      <c r="K685" t="s">
        <v>162</v>
      </c>
      <c r="L685">
        <f>VLOOKUP(AbsDoKorelacji[[#This Row],[Usługi edukacyjne ocenianej uczelni mają wysoką wartość (okazja / szansa rozwoju własnego lub kariery).3]],SkalaLikerta[],2,0)</f>
        <v>5</v>
      </c>
    </row>
    <row r="686" spans="2:12" x14ac:dyDescent="0.45">
      <c r="B686" t="s">
        <v>2463</v>
      </c>
      <c r="C686">
        <v>1</v>
      </c>
      <c r="D686">
        <v>1</v>
      </c>
      <c r="E686">
        <v>2</v>
      </c>
      <c r="F686">
        <f>IF(AbsDoKorelacji[[#This Row],[CzyUczelniaTechniczna]]="Techniczna",1,0)</f>
        <v>0</v>
      </c>
      <c r="G686">
        <v>2500</v>
      </c>
      <c r="H686">
        <v>2500</v>
      </c>
      <c r="I686" t="s">
        <v>162</v>
      </c>
      <c r="J686">
        <f>VLOOKUP(AbsDoKorelacji[[#This Row],[Moja satysfakcja z (efektów) usług edukacyjnych ocenianej uczelni jest wysoka.]],SkalaLikerta[],2,0)</f>
        <v>5</v>
      </c>
      <c r="K686" t="s">
        <v>151</v>
      </c>
      <c r="L686">
        <f>VLOOKUP(AbsDoKorelacji[[#This Row],[Usługi edukacyjne ocenianej uczelni mają wysoką wartość (okazja / szansa rozwoju własnego lub kariery).3]],SkalaLikerta[],2,0)</f>
        <v>4</v>
      </c>
    </row>
    <row r="687" spans="2:12" x14ac:dyDescent="0.45">
      <c r="B687" t="s">
        <v>2463</v>
      </c>
      <c r="C687">
        <v>1</v>
      </c>
      <c r="D687">
        <v>1</v>
      </c>
      <c r="E687">
        <v>2</v>
      </c>
      <c r="F687">
        <f>IF(AbsDoKorelacji[[#This Row],[CzyUczelniaTechniczna]]="Techniczna",1,0)</f>
        <v>0</v>
      </c>
      <c r="G687">
        <v>2500</v>
      </c>
      <c r="H687">
        <v>3500</v>
      </c>
      <c r="I687" t="s">
        <v>150</v>
      </c>
      <c r="J687">
        <f>VLOOKUP(AbsDoKorelacji[[#This Row],[Moja satysfakcja z (efektów) usług edukacyjnych ocenianej uczelni jest wysoka.]],SkalaLikerta[],2,0)</f>
        <v>6</v>
      </c>
      <c r="K687" t="s">
        <v>162</v>
      </c>
      <c r="L687">
        <f>VLOOKUP(AbsDoKorelacji[[#This Row],[Usługi edukacyjne ocenianej uczelni mają wysoką wartość (okazja / szansa rozwoju własnego lub kariery).3]],SkalaLikerta[],2,0)</f>
        <v>5</v>
      </c>
    </row>
    <row r="688" spans="2:12" x14ac:dyDescent="0.45">
      <c r="B688" t="s">
        <v>2463</v>
      </c>
      <c r="C688">
        <v>1</v>
      </c>
      <c r="D688">
        <v>1</v>
      </c>
      <c r="E688">
        <v>2</v>
      </c>
      <c r="F688">
        <f>IF(AbsDoKorelacji[[#This Row],[CzyUczelniaTechniczna]]="Techniczna",1,0)</f>
        <v>0</v>
      </c>
      <c r="G688">
        <v>1500</v>
      </c>
      <c r="H688">
        <v>2500</v>
      </c>
      <c r="I688" t="s">
        <v>150</v>
      </c>
      <c r="J688">
        <f>VLOOKUP(AbsDoKorelacji[[#This Row],[Moja satysfakcja z (efektów) usług edukacyjnych ocenianej uczelni jest wysoka.]],SkalaLikerta[],2,0)</f>
        <v>6</v>
      </c>
      <c r="K688" t="s">
        <v>162</v>
      </c>
      <c r="L688">
        <f>VLOOKUP(AbsDoKorelacji[[#This Row],[Usługi edukacyjne ocenianej uczelni mają wysoką wartość (okazja / szansa rozwoju własnego lub kariery).3]],SkalaLikerta[],2,0)</f>
        <v>5</v>
      </c>
    </row>
    <row r="689" spans="2:12" x14ac:dyDescent="0.45">
      <c r="B689" t="s">
        <v>2463</v>
      </c>
      <c r="C689">
        <v>1</v>
      </c>
      <c r="D689">
        <v>1</v>
      </c>
      <c r="E689">
        <v>3</v>
      </c>
      <c r="F689">
        <f>IF(AbsDoKorelacji[[#This Row],[CzyUczelniaTechniczna]]="Techniczna",1,0)</f>
        <v>0</v>
      </c>
      <c r="G689">
        <v>500</v>
      </c>
      <c r="H689">
        <v>3500</v>
      </c>
      <c r="I689" t="s">
        <v>150</v>
      </c>
      <c r="J689">
        <f>VLOOKUP(AbsDoKorelacji[[#This Row],[Moja satysfakcja z (efektów) usług edukacyjnych ocenianej uczelni jest wysoka.]],SkalaLikerta[],2,0)</f>
        <v>6</v>
      </c>
      <c r="K689" t="s">
        <v>150</v>
      </c>
      <c r="L689">
        <f>VLOOKUP(AbsDoKorelacji[[#This Row],[Usługi edukacyjne ocenianej uczelni mają wysoką wartość (okazja / szansa rozwoju własnego lub kariery).3]],SkalaLikerta[],2,0)</f>
        <v>6</v>
      </c>
    </row>
    <row r="690" spans="2:12" x14ac:dyDescent="0.45">
      <c r="B690" t="s">
        <v>2463</v>
      </c>
      <c r="C690">
        <v>1</v>
      </c>
      <c r="D690">
        <v>1</v>
      </c>
      <c r="E690">
        <v>3</v>
      </c>
      <c r="F690">
        <f>IF(AbsDoKorelacji[[#This Row],[CzyUczelniaTechniczna]]="Techniczna",1,0)</f>
        <v>0</v>
      </c>
      <c r="G690">
        <v>1500</v>
      </c>
      <c r="H690">
        <v>2500</v>
      </c>
      <c r="I690" t="s">
        <v>151</v>
      </c>
      <c r="J690">
        <f>VLOOKUP(AbsDoKorelacji[[#This Row],[Moja satysfakcja z (efektów) usług edukacyjnych ocenianej uczelni jest wysoka.]],SkalaLikerta[],2,0)</f>
        <v>4</v>
      </c>
      <c r="K690" t="s">
        <v>151</v>
      </c>
      <c r="L690">
        <f>VLOOKUP(AbsDoKorelacji[[#This Row],[Usługi edukacyjne ocenianej uczelni mają wysoką wartość (okazja / szansa rozwoju własnego lub kariery).3]],SkalaLikerta[],2,0)</f>
        <v>4</v>
      </c>
    </row>
    <row r="691" spans="2:12" x14ac:dyDescent="0.45">
      <c r="B691" t="s">
        <v>2463</v>
      </c>
      <c r="C691">
        <v>1</v>
      </c>
      <c r="D691">
        <v>1</v>
      </c>
      <c r="E691">
        <v>3</v>
      </c>
      <c r="F691">
        <f>IF(AbsDoKorelacji[[#This Row],[CzyUczelniaTechniczna]]="Techniczna",1,0)</f>
        <v>0</v>
      </c>
      <c r="G691">
        <v>500</v>
      </c>
      <c r="H691">
        <v>500</v>
      </c>
      <c r="I691" t="s">
        <v>150</v>
      </c>
      <c r="J691">
        <f>VLOOKUP(AbsDoKorelacji[[#This Row],[Moja satysfakcja z (efektów) usług edukacyjnych ocenianej uczelni jest wysoka.]],SkalaLikerta[],2,0)</f>
        <v>6</v>
      </c>
      <c r="K691" t="s">
        <v>162</v>
      </c>
      <c r="L691">
        <f>VLOOKUP(AbsDoKorelacji[[#This Row],[Usługi edukacyjne ocenianej uczelni mają wysoką wartość (okazja / szansa rozwoju własnego lub kariery).3]],SkalaLikerta[],2,0)</f>
        <v>5</v>
      </c>
    </row>
    <row r="692" spans="2:12" x14ac:dyDescent="0.45">
      <c r="B692" t="s">
        <v>2463</v>
      </c>
      <c r="C692">
        <v>1</v>
      </c>
      <c r="D692">
        <v>1</v>
      </c>
      <c r="E692">
        <v>3</v>
      </c>
      <c r="F692">
        <f>IF(AbsDoKorelacji[[#This Row],[CzyUczelniaTechniczna]]="Techniczna",1,0)</f>
        <v>0</v>
      </c>
      <c r="G692">
        <v>2500</v>
      </c>
      <c r="H692">
        <v>8500</v>
      </c>
      <c r="I692" t="s">
        <v>150</v>
      </c>
      <c r="J692">
        <f>VLOOKUP(AbsDoKorelacji[[#This Row],[Moja satysfakcja z (efektów) usług edukacyjnych ocenianej uczelni jest wysoka.]],SkalaLikerta[],2,0)</f>
        <v>6</v>
      </c>
      <c r="K692" t="s">
        <v>150</v>
      </c>
      <c r="L692">
        <f>VLOOKUP(AbsDoKorelacji[[#This Row],[Usługi edukacyjne ocenianej uczelni mają wysoką wartość (okazja / szansa rozwoju własnego lub kariery).3]],SkalaLikerta[],2,0)</f>
        <v>6</v>
      </c>
    </row>
    <row r="693" spans="2:12" x14ac:dyDescent="0.45">
      <c r="B693" t="s">
        <v>2463</v>
      </c>
      <c r="C693">
        <v>1</v>
      </c>
      <c r="D693">
        <v>1</v>
      </c>
      <c r="E693">
        <v>3</v>
      </c>
      <c r="F693">
        <f>IF(AbsDoKorelacji[[#This Row],[CzyUczelniaTechniczna]]="Techniczna",1,0)</f>
        <v>0</v>
      </c>
      <c r="G693">
        <v>1500</v>
      </c>
      <c r="H693">
        <v>2500</v>
      </c>
      <c r="I693" t="s">
        <v>162</v>
      </c>
      <c r="J693">
        <f>VLOOKUP(AbsDoKorelacji[[#This Row],[Moja satysfakcja z (efektów) usług edukacyjnych ocenianej uczelni jest wysoka.]],SkalaLikerta[],2,0)</f>
        <v>5</v>
      </c>
      <c r="K693" t="s">
        <v>162</v>
      </c>
      <c r="L693">
        <f>VLOOKUP(AbsDoKorelacji[[#This Row],[Usługi edukacyjne ocenianej uczelni mają wysoką wartość (okazja / szansa rozwoju własnego lub kariery).3]],SkalaLikerta[],2,0)</f>
        <v>5</v>
      </c>
    </row>
    <row r="694" spans="2:12" x14ac:dyDescent="0.45">
      <c r="B694" t="s">
        <v>2463</v>
      </c>
      <c r="C694">
        <v>1</v>
      </c>
      <c r="D694">
        <v>1</v>
      </c>
      <c r="E694">
        <v>3</v>
      </c>
      <c r="F694">
        <f>IF(AbsDoKorelacji[[#This Row],[CzyUczelniaTechniczna]]="Techniczna",1,0)</f>
        <v>0</v>
      </c>
      <c r="G694">
        <v>1500</v>
      </c>
      <c r="H694">
        <v>3500</v>
      </c>
      <c r="I694" t="s">
        <v>128</v>
      </c>
      <c r="J694">
        <f>VLOOKUP(AbsDoKorelacji[[#This Row],[Moja satysfakcja z (efektów) usług edukacyjnych ocenianej uczelni jest wysoka.]],SkalaLikerta[],2,0)</f>
        <v>3</v>
      </c>
      <c r="K694" t="s">
        <v>128</v>
      </c>
      <c r="L694">
        <f>VLOOKUP(AbsDoKorelacji[[#This Row],[Usługi edukacyjne ocenianej uczelni mają wysoką wartość (okazja / szansa rozwoju własnego lub kariery).3]],SkalaLikerta[],2,0)</f>
        <v>3</v>
      </c>
    </row>
    <row r="695" spans="2:12" x14ac:dyDescent="0.45">
      <c r="B695" t="s">
        <v>2462</v>
      </c>
      <c r="C695">
        <v>1</v>
      </c>
      <c r="D695">
        <v>1</v>
      </c>
      <c r="E695">
        <v>4</v>
      </c>
      <c r="F695">
        <f>IF(AbsDoKorelacji[[#This Row],[CzyUczelniaTechniczna]]="Techniczna",1,0)</f>
        <v>1</v>
      </c>
      <c r="G695">
        <v>3500</v>
      </c>
      <c r="H695">
        <v>3500</v>
      </c>
      <c r="I695" t="s">
        <v>169</v>
      </c>
      <c r="J695">
        <f>VLOOKUP(AbsDoKorelacji[[#This Row],[Moja satysfakcja z (efektów) usług edukacyjnych ocenianej uczelni jest wysoka.]],SkalaLikerta[],2,0)</f>
        <v>7</v>
      </c>
      <c r="K695" t="s">
        <v>150</v>
      </c>
      <c r="L695">
        <f>VLOOKUP(AbsDoKorelacji[[#This Row],[Usługi edukacyjne ocenianej uczelni mają wysoką wartość (okazja / szansa rozwoju własnego lub kariery).3]],SkalaLikerta[],2,0)</f>
        <v>6</v>
      </c>
    </row>
    <row r="696" spans="2:12" x14ac:dyDescent="0.45">
      <c r="B696" t="s">
        <v>2463</v>
      </c>
      <c r="C696">
        <v>1</v>
      </c>
      <c r="D696">
        <v>1</v>
      </c>
      <c r="E696">
        <v>4</v>
      </c>
      <c r="F696">
        <f>IF(AbsDoKorelacji[[#This Row],[CzyUczelniaTechniczna]]="Techniczna",1,0)</f>
        <v>0</v>
      </c>
      <c r="G696">
        <v>1500</v>
      </c>
      <c r="H696">
        <v>1500</v>
      </c>
      <c r="I696" t="s">
        <v>151</v>
      </c>
      <c r="J696">
        <f>VLOOKUP(AbsDoKorelacji[[#This Row],[Moja satysfakcja z (efektów) usług edukacyjnych ocenianej uczelni jest wysoka.]],SkalaLikerta[],2,0)</f>
        <v>4</v>
      </c>
      <c r="K696" t="s">
        <v>236</v>
      </c>
      <c r="L696">
        <f>VLOOKUP(AbsDoKorelacji[[#This Row],[Usługi edukacyjne ocenianej uczelni mają wysoką wartość (okazja / szansa rozwoju własnego lub kariery).3]],SkalaLikerta[],2,0)</f>
        <v>2</v>
      </c>
    </row>
    <row r="697" spans="2:12" x14ac:dyDescent="0.45">
      <c r="B697" t="s">
        <v>2463</v>
      </c>
      <c r="C697">
        <v>1</v>
      </c>
      <c r="D697">
        <v>1</v>
      </c>
      <c r="E697">
        <v>4</v>
      </c>
      <c r="F697">
        <f>IF(AbsDoKorelacji[[#This Row],[CzyUczelniaTechniczna]]="Techniczna",1,0)</f>
        <v>0</v>
      </c>
      <c r="G697">
        <v>500</v>
      </c>
      <c r="H697">
        <v>1500</v>
      </c>
      <c r="I697" t="s">
        <v>162</v>
      </c>
      <c r="J697">
        <f>VLOOKUP(AbsDoKorelacji[[#This Row],[Moja satysfakcja z (efektów) usług edukacyjnych ocenianej uczelni jest wysoka.]],SkalaLikerta[],2,0)</f>
        <v>5</v>
      </c>
      <c r="K697" t="s">
        <v>162</v>
      </c>
      <c r="L697">
        <f>VLOOKUP(AbsDoKorelacji[[#This Row],[Usługi edukacyjne ocenianej uczelni mają wysoką wartość (okazja / szansa rozwoju własnego lub kariery).3]],SkalaLikerta[],2,0)</f>
        <v>5</v>
      </c>
    </row>
    <row r="698" spans="2:12" x14ac:dyDescent="0.45">
      <c r="B698" t="s">
        <v>2462</v>
      </c>
      <c r="C698">
        <v>1</v>
      </c>
      <c r="D698">
        <v>1</v>
      </c>
      <c r="E698">
        <v>4</v>
      </c>
      <c r="F698">
        <f>IF(AbsDoKorelacji[[#This Row],[CzyUczelniaTechniczna]]="Techniczna",1,0)</f>
        <v>1</v>
      </c>
      <c r="G698">
        <v>2500</v>
      </c>
      <c r="H698">
        <v>3500</v>
      </c>
      <c r="I698" t="s">
        <v>150</v>
      </c>
      <c r="J698">
        <f>VLOOKUP(AbsDoKorelacji[[#This Row],[Moja satysfakcja z (efektów) usług edukacyjnych ocenianej uczelni jest wysoka.]],SkalaLikerta[],2,0)</f>
        <v>6</v>
      </c>
      <c r="K698" t="s">
        <v>151</v>
      </c>
      <c r="L698">
        <f>VLOOKUP(AbsDoKorelacji[[#This Row],[Usługi edukacyjne ocenianej uczelni mają wysoką wartość (okazja / szansa rozwoju własnego lub kariery).3]],SkalaLikerta[],2,0)</f>
        <v>4</v>
      </c>
    </row>
    <row r="699" spans="2:12" x14ac:dyDescent="0.45">
      <c r="B699" t="s">
        <v>2463</v>
      </c>
      <c r="C699">
        <v>1</v>
      </c>
      <c r="D699">
        <v>1</v>
      </c>
      <c r="E699">
        <v>4</v>
      </c>
      <c r="F699">
        <f>IF(AbsDoKorelacji[[#This Row],[CzyUczelniaTechniczna]]="Techniczna",1,0)</f>
        <v>0</v>
      </c>
      <c r="G699">
        <v>1500</v>
      </c>
      <c r="H699">
        <v>1500</v>
      </c>
      <c r="I699" t="s">
        <v>169</v>
      </c>
      <c r="J699">
        <f>VLOOKUP(AbsDoKorelacji[[#This Row],[Moja satysfakcja z (efektów) usług edukacyjnych ocenianej uczelni jest wysoka.]],SkalaLikerta[],2,0)</f>
        <v>7</v>
      </c>
      <c r="K699" t="s">
        <v>169</v>
      </c>
      <c r="L699">
        <f>VLOOKUP(AbsDoKorelacji[[#This Row],[Usługi edukacyjne ocenianej uczelni mają wysoką wartość (okazja / szansa rozwoju własnego lub kariery).3]],SkalaLikerta[],2,0)</f>
        <v>7</v>
      </c>
    </row>
    <row r="700" spans="2:12" x14ac:dyDescent="0.45">
      <c r="B700" t="s">
        <v>2462</v>
      </c>
      <c r="C700">
        <v>1</v>
      </c>
      <c r="D700">
        <v>1</v>
      </c>
      <c r="E700">
        <v>5</v>
      </c>
      <c r="F700">
        <f>IF(AbsDoKorelacji[[#This Row],[CzyUczelniaTechniczna]]="Techniczna",1,0)</f>
        <v>1</v>
      </c>
      <c r="G700">
        <v>2500</v>
      </c>
      <c r="H700">
        <v>2500</v>
      </c>
      <c r="I700" t="s">
        <v>128</v>
      </c>
      <c r="J700">
        <f>VLOOKUP(AbsDoKorelacji[[#This Row],[Moja satysfakcja z (efektów) usług edukacyjnych ocenianej uczelni jest wysoka.]],SkalaLikerta[],2,0)</f>
        <v>3</v>
      </c>
      <c r="K700" t="s">
        <v>151</v>
      </c>
      <c r="L700">
        <f>VLOOKUP(AbsDoKorelacji[[#This Row],[Usługi edukacyjne ocenianej uczelni mają wysoką wartość (okazja / szansa rozwoju własnego lub kariery).3]],SkalaLikerta[],2,0)</f>
        <v>4</v>
      </c>
    </row>
    <row r="701" spans="2:12" x14ac:dyDescent="0.45">
      <c r="B701" t="s">
        <v>2463</v>
      </c>
      <c r="C701">
        <v>1</v>
      </c>
      <c r="D701">
        <v>1</v>
      </c>
      <c r="E701">
        <v>5</v>
      </c>
      <c r="F701">
        <f>IF(AbsDoKorelacji[[#This Row],[CzyUczelniaTechniczna]]="Techniczna",1,0)</f>
        <v>0</v>
      </c>
      <c r="G701">
        <v>2500</v>
      </c>
      <c r="H701">
        <v>2500</v>
      </c>
      <c r="I701" t="s">
        <v>162</v>
      </c>
      <c r="J701">
        <f>VLOOKUP(AbsDoKorelacji[[#This Row],[Moja satysfakcja z (efektów) usług edukacyjnych ocenianej uczelni jest wysoka.]],SkalaLikerta[],2,0)</f>
        <v>5</v>
      </c>
      <c r="K701" t="s">
        <v>162</v>
      </c>
      <c r="L701">
        <f>VLOOKUP(AbsDoKorelacji[[#This Row],[Usługi edukacyjne ocenianej uczelni mają wysoką wartość (okazja / szansa rozwoju własnego lub kariery).3]],SkalaLikerta[],2,0)</f>
        <v>5</v>
      </c>
    </row>
    <row r="702" spans="2:12" x14ac:dyDescent="0.45">
      <c r="B702" t="s">
        <v>2462</v>
      </c>
      <c r="C702">
        <v>1</v>
      </c>
      <c r="D702">
        <v>1</v>
      </c>
      <c r="E702">
        <v>6</v>
      </c>
      <c r="F702">
        <f>IF(AbsDoKorelacji[[#This Row],[CzyUczelniaTechniczna]]="Techniczna",1,0)</f>
        <v>1</v>
      </c>
      <c r="G702">
        <v>1500</v>
      </c>
      <c r="H702">
        <v>2500</v>
      </c>
      <c r="I702" t="s">
        <v>236</v>
      </c>
      <c r="J702">
        <f>VLOOKUP(AbsDoKorelacji[[#This Row],[Moja satysfakcja z (efektów) usług edukacyjnych ocenianej uczelni jest wysoka.]],SkalaLikerta[],2,0)</f>
        <v>2</v>
      </c>
      <c r="K702" t="s">
        <v>128</v>
      </c>
      <c r="L702">
        <f>VLOOKUP(AbsDoKorelacji[[#This Row],[Usługi edukacyjne ocenianej uczelni mają wysoką wartość (okazja / szansa rozwoju własnego lub kariery).3]],SkalaLikerta[],2,0)</f>
        <v>3</v>
      </c>
    </row>
    <row r="703" spans="2:12" x14ac:dyDescent="0.45">
      <c r="B703" t="s">
        <v>2463</v>
      </c>
      <c r="C703">
        <v>1</v>
      </c>
      <c r="D703">
        <v>1</v>
      </c>
      <c r="E703">
        <v>9</v>
      </c>
      <c r="F703">
        <f>IF(AbsDoKorelacji[[#This Row],[CzyUczelniaTechniczna]]="Techniczna",1,0)</f>
        <v>0</v>
      </c>
      <c r="G703">
        <v>1500</v>
      </c>
      <c r="H703">
        <v>3500</v>
      </c>
      <c r="I703" t="s">
        <v>162</v>
      </c>
      <c r="J703">
        <f>VLOOKUP(AbsDoKorelacji[[#This Row],[Moja satysfakcja z (efektów) usług edukacyjnych ocenianej uczelni jest wysoka.]],SkalaLikerta[],2,0)</f>
        <v>5</v>
      </c>
      <c r="K703" t="s">
        <v>151</v>
      </c>
      <c r="L703">
        <f>VLOOKUP(AbsDoKorelacji[[#This Row],[Usługi edukacyjne ocenianej uczelni mają wysoką wartość (okazja / szansa rozwoju własnego lub kariery).3]],SkalaLikerta[],2,0)</f>
        <v>4</v>
      </c>
    </row>
    <row r="704" spans="2:12" x14ac:dyDescent="0.45">
      <c r="B704" t="s">
        <v>2462</v>
      </c>
      <c r="C704">
        <v>0</v>
      </c>
      <c r="D704">
        <v>0</v>
      </c>
      <c r="E704">
        <v>34</v>
      </c>
      <c r="F704">
        <f>IF(AbsDoKorelacji[[#This Row],[CzyUczelniaTechniczna]]="Techniczna",1,0)</f>
        <v>1</v>
      </c>
      <c r="G704">
        <v>500</v>
      </c>
      <c r="H704">
        <v>500</v>
      </c>
      <c r="I704" t="s">
        <v>236</v>
      </c>
      <c r="J704">
        <f>VLOOKUP(AbsDoKorelacji[[#This Row],[Moja satysfakcja z (efektów) usług edukacyjnych ocenianej uczelni jest wysoka.]],SkalaLikerta[],2,0)</f>
        <v>2</v>
      </c>
      <c r="K704" t="s">
        <v>236</v>
      </c>
      <c r="L704">
        <f>VLOOKUP(AbsDoKorelacji[[#This Row],[Usługi edukacyjne ocenianej uczelni mają wysoką wartość (okazja / szansa rozwoju własnego lub kariery).3]],SkalaLikerta[],2,0)</f>
        <v>2</v>
      </c>
    </row>
    <row r="705" spans="2:12" x14ac:dyDescent="0.45">
      <c r="B705" t="s">
        <v>2462</v>
      </c>
      <c r="C705">
        <v>0</v>
      </c>
      <c r="D705">
        <v>0</v>
      </c>
      <c r="E705">
        <v>36</v>
      </c>
      <c r="F705">
        <f>IF(AbsDoKorelacji[[#This Row],[CzyUczelniaTechniczna]]="Techniczna",1,0)</f>
        <v>1</v>
      </c>
      <c r="G705" t="s">
        <v>2329</v>
      </c>
      <c r="H705" t="s">
        <v>2329</v>
      </c>
      <c r="I705" t="s">
        <v>150</v>
      </c>
      <c r="J705">
        <f>VLOOKUP(AbsDoKorelacji[[#This Row],[Moja satysfakcja z (efektów) usług edukacyjnych ocenianej uczelni jest wysoka.]],SkalaLikerta[],2,0)</f>
        <v>6</v>
      </c>
      <c r="K705" t="s">
        <v>150</v>
      </c>
      <c r="L705">
        <f>VLOOKUP(AbsDoKorelacji[[#This Row],[Usługi edukacyjne ocenianej uczelni mają wysoką wartość (okazja / szansa rozwoju własnego lub kariery).3]],SkalaLikerta[],2,0)</f>
        <v>6</v>
      </c>
    </row>
    <row r="706" spans="2:12" x14ac:dyDescent="0.45">
      <c r="B706" t="s">
        <v>2462</v>
      </c>
      <c r="C706">
        <v>1</v>
      </c>
      <c r="D706">
        <v>1</v>
      </c>
      <c r="E706" t="s">
        <v>1340</v>
      </c>
      <c r="F706">
        <f>IF(AbsDoKorelacji[[#This Row],[CzyUczelniaTechniczna]]="Techniczna",1,0)</f>
        <v>1</v>
      </c>
      <c r="G706">
        <v>1500</v>
      </c>
      <c r="H706">
        <v>5500</v>
      </c>
      <c r="I706" t="s">
        <v>162</v>
      </c>
      <c r="J706">
        <f>VLOOKUP(AbsDoKorelacji[[#This Row],[Moja satysfakcja z (efektów) usług edukacyjnych ocenianej uczelni jest wysoka.]],SkalaLikerta[],2,0)</f>
        <v>5</v>
      </c>
      <c r="K706" t="s">
        <v>162</v>
      </c>
      <c r="L706">
        <f>VLOOKUP(AbsDoKorelacji[[#This Row],[Usługi edukacyjne ocenianej uczelni mają wysoką wartość (okazja / szansa rozwoju własnego lub kariery).3]],SkalaLikerta[],2,0)</f>
        <v>5</v>
      </c>
    </row>
    <row r="707" spans="2:12" x14ac:dyDescent="0.45">
      <c r="B707" t="s">
        <v>2462</v>
      </c>
      <c r="C707">
        <v>1</v>
      </c>
      <c r="D707">
        <v>1</v>
      </c>
      <c r="E707" t="s">
        <v>1340</v>
      </c>
      <c r="F707">
        <f>IF(AbsDoKorelacji[[#This Row],[CzyUczelniaTechniczna]]="Techniczna",1,0)</f>
        <v>1</v>
      </c>
      <c r="G707">
        <v>2500</v>
      </c>
      <c r="H707">
        <v>3500</v>
      </c>
      <c r="I707" t="s">
        <v>162</v>
      </c>
      <c r="J707">
        <f>VLOOKUP(AbsDoKorelacji[[#This Row],[Moja satysfakcja z (efektów) usług edukacyjnych ocenianej uczelni jest wysoka.]],SkalaLikerta[],2,0)</f>
        <v>5</v>
      </c>
      <c r="K707" t="s">
        <v>150</v>
      </c>
      <c r="L707">
        <f>VLOOKUP(AbsDoKorelacji[[#This Row],[Usługi edukacyjne ocenianej uczelni mają wysoką wartość (okazja / szansa rozwoju własnego lub kariery).3]],SkalaLikerta[],2,0)</f>
        <v>6</v>
      </c>
    </row>
    <row r="708" spans="2:12" x14ac:dyDescent="0.45">
      <c r="B708" t="s">
        <v>2463</v>
      </c>
      <c r="C708">
        <v>1</v>
      </c>
      <c r="D708">
        <v>1</v>
      </c>
      <c r="E708" t="s">
        <v>814</v>
      </c>
      <c r="F708">
        <f>IF(AbsDoKorelacji[[#This Row],[CzyUczelniaTechniczna]]="Techniczna",1,0)</f>
        <v>0</v>
      </c>
      <c r="G708">
        <v>1500</v>
      </c>
      <c r="H708">
        <v>1500</v>
      </c>
      <c r="I708" t="s">
        <v>162</v>
      </c>
      <c r="J708">
        <f>VLOOKUP(AbsDoKorelacji[[#This Row],[Moja satysfakcja z (efektów) usług edukacyjnych ocenianej uczelni jest wysoka.]],SkalaLikerta[],2,0)</f>
        <v>5</v>
      </c>
      <c r="K708" t="s">
        <v>162</v>
      </c>
      <c r="L708">
        <f>VLOOKUP(AbsDoKorelacji[[#This Row],[Usługi edukacyjne ocenianej uczelni mają wysoką wartość (okazja / szansa rozwoju własnego lub kariery).3]],SkalaLikerta[],2,0)</f>
        <v>5</v>
      </c>
    </row>
    <row r="709" spans="2:12" x14ac:dyDescent="0.45">
      <c r="B709" t="s">
        <v>2463</v>
      </c>
      <c r="C709">
        <v>1</v>
      </c>
      <c r="D709">
        <v>1</v>
      </c>
      <c r="E709" t="s">
        <v>814</v>
      </c>
      <c r="F709">
        <f>IF(AbsDoKorelacji[[#This Row],[CzyUczelniaTechniczna]]="Techniczna",1,0)</f>
        <v>0</v>
      </c>
      <c r="G709">
        <v>1500</v>
      </c>
      <c r="H709">
        <v>1500</v>
      </c>
      <c r="I709" t="s">
        <v>150</v>
      </c>
      <c r="J709">
        <f>VLOOKUP(AbsDoKorelacji[[#This Row],[Moja satysfakcja z (efektów) usług edukacyjnych ocenianej uczelni jest wysoka.]],SkalaLikerta[],2,0)</f>
        <v>6</v>
      </c>
      <c r="K709" t="s">
        <v>150</v>
      </c>
      <c r="L709">
        <f>VLOOKUP(AbsDoKorelacji[[#This Row],[Usługi edukacyjne ocenianej uczelni mają wysoką wartość (okazja / szansa rozwoju własnego lub kariery).3]],SkalaLikerta[],2,0)</f>
        <v>6</v>
      </c>
    </row>
    <row r="710" spans="2:12" x14ac:dyDescent="0.45">
      <c r="B710" t="s">
        <v>2462</v>
      </c>
      <c r="C710">
        <v>1</v>
      </c>
      <c r="D710">
        <v>1</v>
      </c>
      <c r="E710" t="s">
        <v>898</v>
      </c>
      <c r="F710">
        <f>IF(AbsDoKorelacji[[#This Row],[CzyUczelniaTechniczna]]="Techniczna",1,0)</f>
        <v>1</v>
      </c>
      <c r="G710">
        <v>3500</v>
      </c>
      <c r="H710">
        <v>3500</v>
      </c>
      <c r="I710" t="s">
        <v>150</v>
      </c>
      <c r="J710">
        <f>VLOOKUP(AbsDoKorelacji[[#This Row],[Moja satysfakcja z (efektów) usług edukacyjnych ocenianej uczelni jest wysoka.]],SkalaLikerta[],2,0)</f>
        <v>6</v>
      </c>
      <c r="K710" t="s">
        <v>162</v>
      </c>
      <c r="L710">
        <f>VLOOKUP(AbsDoKorelacji[[#This Row],[Usługi edukacyjne ocenianej uczelni mają wysoką wartość (okazja / szansa rozwoju własnego lub kariery).3]],SkalaLikerta[],2,0)</f>
        <v>5</v>
      </c>
    </row>
    <row r="711" spans="2:12" x14ac:dyDescent="0.45">
      <c r="B711" t="s">
        <v>2462</v>
      </c>
      <c r="C711">
        <v>1</v>
      </c>
      <c r="D711">
        <v>1</v>
      </c>
      <c r="E711" t="s">
        <v>1765</v>
      </c>
      <c r="F711">
        <f>IF(AbsDoKorelacji[[#This Row],[CzyUczelniaTechniczna]]="Techniczna",1,0)</f>
        <v>1</v>
      </c>
      <c r="G711">
        <v>2500</v>
      </c>
      <c r="H711">
        <v>4500</v>
      </c>
      <c r="I711" t="s">
        <v>129</v>
      </c>
      <c r="J711">
        <f>VLOOKUP(AbsDoKorelacji[[#This Row],[Moja satysfakcja z (efektów) usług edukacyjnych ocenianej uczelni jest wysoka.]],SkalaLikerta[],2,0)</f>
        <v>1</v>
      </c>
      <c r="K711" t="s">
        <v>129</v>
      </c>
      <c r="L711">
        <f>VLOOKUP(AbsDoKorelacji[[#This Row],[Usługi edukacyjne ocenianej uczelni mają wysoką wartość (okazja / szansa rozwoju własnego lub kariery).3]],SkalaLikerta[],2,0)</f>
        <v>1</v>
      </c>
    </row>
    <row r="712" spans="2:12" x14ac:dyDescent="0.45">
      <c r="B712" t="s">
        <v>2463</v>
      </c>
      <c r="C712">
        <v>1</v>
      </c>
      <c r="D712">
        <v>1</v>
      </c>
      <c r="E712" t="s">
        <v>405</v>
      </c>
      <c r="F712">
        <f>IF(AbsDoKorelacji[[#This Row],[CzyUczelniaTechniczna]]="Techniczna",1,0)</f>
        <v>0</v>
      </c>
      <c r="G712">
        <v>1500</v>
      </c>
      <c r="H712">
        <v>2500</v>
      </c>
      <c r="I712" t="s">
        <v>151</v>
      </c>
      <c r="J712">
        <f>VLOOKUP(AbsDoKorelacji[[#This Row],[Moja satysfakcja z (efektów) usług edukacyjnych ocenianej uczelni jest wysoka.]],SkalaLikerta[],2,0)</f>
        <v>4</v>
      </c>
      <c r="K712" t="s">
        <v>150</v>
      </c>
      <c r="L712">
        <f>VLOOKUP(AbsDoKorelacji[[#This Row],[Usługi edukacyjne ocenianej uczelni mają wysoką wartość (okazja / szansa rozwoju własnego lub kariery).3]],SkalaLikerta[],2,0)</f>
        <v>6</v>
      </c>
    </row>
    <row r="713" spans="2:12" x14ac:dyDescent="0.45">
      <c r="B713" t="s">
        <v>2462</v>
      </c>
      <c r="C713">
        <v>1</v>
      </c>
      <c r="D713">
        <v>1</v>
      </c>
      <c r="E713" t="s">
        <v>130</v>
      </c>
      <c r="F713">
        <f>IF(AbsDoKorelacji[[#This Row],[CzyUczelniaTechniczna]]="Techniczna",1,0)</f>
        <v>1</v>
      </c>
      <c r="G713">
        <v>1500</v>
      </c>
      <c r="H713" t="s">
        <v>2329</v>
      </c>
      <c r="I713" t="s">
        <v>128</v>
      </c>
      <c r="J713">
        <f>VLOOKUP(AbsDoKorelacji[[#This Row],[Moja satysfakcja z (efektów) usług edukacyjnych ocenianej uczelni jest wysoka.]],SkalaLikerta[],2,0)</f>
        <v>3</v>
      </c>
      <c r="K713" t="s">
        <v>128</v>
      </c>
      <c r="L713">
        <f>VLOOKUP(AbsDoKorelacji[[#This Row],[Usługi edukacyjne ocenianej uczelni mają wysoką wartość (okazja / szansa rozwoju własnego lub kariery).3]],SkalaLikerta[],2,0)</f>
        <v>3</v>
      </c>
    </row>
    <row r="714" spans="2:12" x14ac:dyDescent="0.45">
      <c r="B714" t="s">
        <v>2463</v>
      </c>
      <c r="C714">
        <v>1</v>
      </c>
      <c r="D714">
        <v>1</v>
      </c>
      <c r="E714" t="s">
        <v>1484</v>
      </c>
      <c r="F714">
        <f>IF(AbsDoKorelacji[[#This Row],[CzyUczelniaTechniczna]]="Techniczna",1,0)</f>
        <v>0</v>
      </c>
      <c r="G714">
        <v>3500</v>
      </c>
      <c r="H714">
        <v>3500</v>
      </c>
      <c r="I714" t="s">
        <v>151</v>
      </c>
      <c r="J714">
        <f>VLOOKUP(AbsDoKorelacji[[#This Row],[Moja satysfakcja z (efektów) usług edukacyjnych ocenianej uczelni jest wysoka.]],SkalaLikerta[],2,0)</f>
        <v>4</v>
      </c>
      <c r="K714" t="s">
        <v>128</v>
      </c>
      <c r="L714">
        <f>VLOOKUP(AbsDoKorelacji[[#This Row],[Usługi edukacyjne ocenianej uczelni mają wysoką wartość (okazja / szansa rozwoju własnego lub kariery).3]],SkalaLikerta[],2,0)</f>
        <v>3</v>
      </c>
    </row>
    <row r="715" spans="2:12" x14ac:dyDescent="0.45">
      <c r="B715" t="s">
        <v>2463</v>
      </c>
      <c r="C715">
        <v>1</v>
      </c>
      <c r="D715">
        <v>1</v>
      </c>
      <c r="E715" t="s">
        <v>920</v>
      </c>
      <c r="F715">
        <f>IF(AbsDoKorelacji[[#This Row],[CzyUczelniaTechniczna]]="Techniczna",1,0)</f>
        <v>0</v>
      </c>
      <c r="G715">
        <v>2500</v>
      </c>
      <c r="H715">
        <v>2500</v>
      </c>
      <c r="I715" t="s">
        <v>169</v>
      </c>
      <c r="J715">
        <f>VLOOKUP(AbsDoKorelacji[[#This Row],[Moja satysfakcja z (efektów) usług edukacyjnych ocenianej uczelni jest wysoka.]],SkalaLikerta[],2,0)</f>
        <v>7</v>
      </c>
      <c r="K715" t="s">
        <v>169</v>
      </c>
      <c r="L715">
        <f>VLOOKUP(AbsDoKorelacji[[#This Row],[Usługi edukacyjne ocenianej uczelni mają wysoką wartość (okazja / szansa rozwoju własnego lub kariery).3]],SkalaLikerta[],2,0)</f>
        <v>7</v>
      </c>
    </row>
    <row r="716" spans="2:12" x14ac:dyDescent="0.45">
      <c r="B716" t="s">
        <v>2463</v>
      </c>
      <c r="C716">
        <v>1</v>
      </c>
      <c r="D716">
        <v>1</v>
      </c>
      <c r="E716" t="s">
        <v>1516</v>
      </c>
      <c r="F716">
        <f>IF(AbsDoKorelacji[[#This Row],[CzyUczelniaTechniczna]]="Techniczna",1,0)</f>
        <v>0</v>
      </c>
      <c r="G716">
        <v>10500</v>
      </c>
      <c r="H716">
        <v>10500</v>
      </c>
      <c r="I716" t="s">
        <v>162</v>
      </c>
      <c r="J716">
        <f>VLOOKUP(AbsDoKorelacji[[#This Row],[Moja satysfakcja z (efektów) usług edukacyjnych ocenianej uczelni jest wysoka.]],SkalaLikerta[],2,0)</f>
        <v>5</v>
      </c>
      <c r="K716" t="s">
        <v>151</v>
      </c>
      <c r="L716">
        <f>VLOOKUP(AbsDoKorelacji[[#This Row],[Usługi edukacyjne ocenianej uczelni mają wysoką wartość (okazja / szansa rozwoju własnego lub kariery).3]],SkalaLikerta[],2,0)</f>
        <v>4</v>
      </c>
    </row>
    <row r="717" spans="2:12" x14ac:dyDescent="0.45">
      <c r="B717" t="s">
        <v>2462</v>
      </c>
      <c r="C717">
        <v>0</v>
      </c>
      <c r="D717">
        <v>1</v>
      </c>
      <c r="E717" t="s">
        <v>1623</v>
      </c>
      <c r="F717">
        <f>IF(AbsDoKorelacji[[#This Row],[CzyUczelniaTechniczna]]="Techniczna",1,0)</f>
        <v>1</v>
      </c>
      <c r="G717" t="s">
        <v>2329</v>
      </c>
      <c r="H717">
        <v>2500</v>
      </c>
      <c r="I717" t="s">
        <v>150</v>
      </c>
      <c r="J717">
        <f>VLOOKUP(AbsDoKorelacji[[#This Row],[Moja satysfakcja z (efektów) usług edukacyjnych ocenianej uczelni jest wysoka.]],SkalaLikerta[],2,0)</f>
        <v>6</v>
      </c>
      <c r="K717" t="s">
        <v>150</v>
      </c>
      <c r="L717">
        <f>VLOOKUP(AbsDoKorelacji[[#This Row],[Usługi edukacyjne ocenianej uczelni mają wysoką wartość (okazja / szansa rozwoju własnego lub kariery).3]],SkalaLikerta[],2,0)</f>
        <v>6</v>
      </c>
    </row>
    <row r="718" spans="2:12" x14ac:dyDescent="0.45">
      <c r="B718" t="s">
        <v>2463</v>
      </c>
      <c r="C718">
        <v>1</v>
      </c>
      <c r="D718">
        <v>1</v>
      </c>
      <c r="E718" t="s">
        <v>1714</v>
      </c>
      <c r="F718">
        <f>IF(AbsDoKorelacji[[#This Row],[CzyUczelniaTechniczna]]="Techniczna",1,0)</f>
        <v>0</v>
      </c>
      <c r="G718">
        <v>1500</v>
      </c>
      <c r="H718">
        <v>1500</v>
      </c>
      <c r="I718" t="s">
        <v>162</v>
      </c>
      <c r="J718">
        <f>VLOOKUP(AbsDoKorelacji[[#This Row],[Moja satysfakcja z (efektów) usług edukacyjnych ocenianej uczelni jest wysoka.]],SkalaLikerta[],2,0)</f>
        <v>5</v>
      </c>
      <c r="K718" t="s">
        <v>162</v>
      </c>
      <c r="L718">
        <f>VLOOKUP(AbsDoKorelacji[[#This Row],[Usługi edukacyjne ocenianej uczelni mają wysoką wartość (okazja / szansa rozwoju własnego lub kariery).3]],SkalaLikerta[],2,0)</f>
        <v>5</v>
      </c>
    </row>
    <row r="719" spans="2:12" x14ac:dyDescent="0.45">
      <c r="B719" t="s">
        <v>2462</v>
      </c>
      <c r="C719">
        <v>1</v>
      </c>
      <c r="D719">
        <v>1</v>
      </c>
      <c r="E719" t="s">
        <v>1416</v>
      </c>
      <c r="F719">
        <f>IF(AbsDoKorelacji[[#This Row],[CzyUczelniaTechniczna]]="Techniczna",1,0)</f>
        <v>1</v>
      </c>
      <c r="G719">
        <v>1500</v>
      </c>
      <c r="H719">
        <v>3500</v>
      </c>
      <c r="I719" t="s">
        <v>169</v>
      </c>
      <c r="J719">
        <f>VLOOKUP(AbsDoKorelacji[[#This Row],[Moja satysfakcja z (efektów) usług edukacyjnych ocenianej uczelni jest wysoka.]],SkalaLikerta[],2,0)</f>
        <v>7</v>
      </c>
      <c r="K719" t="s">
        <v>169</v>
      </c>
      <c r="L719">
        <f>VLOOKUP(AbsDoKorelacji[[#This Row],[Usługi edukacyjne ocenianej uczelni mają wysoką wartość (okazja / szansa rozwoju własnego lub kariery).3]],SkalaLikerta[],2,0)</f>
        <v>7</v>
      </c>
    </row>
    <row r="720" spans="2:12" x14ac:dyDescent="0.45">
      <c r="B720" t="s">
        <v>2462</v>
      </c>
      <c r="C720">
        <v>1</v>
      </c>
      <c r="D720">
        <v>1</v>
      </c>
      <c r="E720" t="s">
        <v>1884</v>
      </c>
      <c r="F720">
        <f>IF(AbsDoKorelacji[[#This Row],[CzyUczelniaTechniczna]]="Techniczna",1,0)</f>
        <v>1</v>
      </c>
      <c r="G720">
        <v>1500</v>
      </c>
      <c r="H720">
        <v>3500</v>
      </c>
      <c r="I720" t="s">
        <v>169</v>
      </c>
      <c r="J720">
        <f>VLOOKUP(AbsDoKorelacji[[#This Row],[Moja satysfakcja z (efektów) usług edukacyjnych ocenianej uczelni jest wysoka.]],SkalaLikerta[],2,0)</f>
        <v>7</v>
      </c>
      <c r="K720" t="s">
        <v>169</v>
      </c>
      <c r="L720">
        <f>VLOOKUP(AbsDoKorelacji[[#This Row],[Usługi edukacyjne ocenianej uczelni mają wysoką wartość (okazja / szansa rozwoju własnego lub kariery).3]],SkalaLikerta[],2,0)</f>
        <v>7</v>
      </c>
    </row>
    <row r="721" spans="2:12" x14ac:dyDescent="0.45">
      <c r="B721" t="s">
        <v>2463</v>
      </c>
      <c r="C721">
        <v>1</v>
      </c>
      <c r="D721">
        <v>1</v>
      </c>
      <c r="E721" t="s">
        <v>1848</v>
      </c>
      <c r="F721">
        <f>IF(AbsDoKorelacji[[#This Row],[CzyUczelniaTechniczna]]="Techniczna",1,0)</f>
        <v>0</v>
      </c>
      <c r="G721">
        <v>2500</v>
      </c>
      <c r="H721" t="s">
        <v>2329</v>
      </c>
      <c r="I721" t="s">
        <v>162</v>
      </c>
      <c r="J721">
        <f>VLOOKUP(AbsDoKorelacji[[#This Row],[Moja satysfakcja z (efektów) usług edukacyjnych ocenianej uczelni jest wysoka.]],SkalaLikerta[],2,0)</f>
        <v>5</v>
      </c>
      <c r="K721" t="s">
        <v>162</v>
      </c>
      <c r="L721">
        <f>VLOOKUP(AbsDoKorelacji[[#This Row],[Usługi edukacyjne ocenianej uczelni mają wysoką wartość (okazja / szansa rozwoju własnego lub kariery).3]],SkalaLikerta[],2,0)</f>
        <v>5</v>
      </c>
    </row>
    <row r="722" spans="2:12" x14ac:dyDescent="0.45">
      <c r="B722" t="s">
        <v>2463</v>
      </c>
      <c r="C722">
        <v>0</v>
      </c>
      <c r="D722">
        <v>0</v>
      </c>
      <c r="E722" t="s">
        <v>2036</v>
      </c>
      <c r="F722">
        <f>IF(AbsDoKorelacji[[#This Row],[CzyUczelniaTechniczna]]="Techniczna",1,0)</f>
        <v>0</v>
      </c>
      <c r="G722" t="s">
        <v>2329</v>
      </c>
      <c r="H722" t="s">
        <v>2329</v>
      </c>
      <c r="I722" t="s">
        <v>132</v>
      </c>
      <c r="J722" t="str">
        <f>VLOOKUP(AbsDoKorelacji[[#This Row],[Moja satysfakcja z (efektów) usług edukacyjnych ocenianej uczelni jest wysoka.]],SkalaLikerta[],2,0)</f>
        <v>N/D</v>
      </c>
      <c r="K722" t="s">
        <v>132</v>
      </c>
      <c r="L722" t="str">
        <f>VLOOKUP(AbsDoKorelacji[[#This Row],[Usługi edukacyjne ocenianej uczelni mają wysoką wartość (okazja / szansa rozwoju własnego lub kariery).3]],SkalaLikerta[],2,0)</f>
        <v>N/D</v>
      </c>
    </row>
    <row r="723" spans="2:12" x14ac:dyDescent="0.45">
      <c r="B723" t="s">
        <v>2463</v>
      </c>
      <c r="C723">
        <v>1</v>
      </c>
      <c r="D723">
        <v>1</v>
      </c>
      <c r="E723" t="s">
        <v>1441</v>
      </c>
      <c r="F723">
        <f>IF(AbsDoKorelacji[[#This Row],[CzyUczelniaTechniczna]]="Techniczna",1,0)</f>
        <v>0</v>
      </c>
      <c r="G723">
        <v>2500</v>
      </c>
      <c r="H723">
        <v>4500</v>
      </c>
      <c r="I723" t="s">
        <v>128</v>
      </c>
      <c r="J723">
        <f>VLOOKUP(AbsDoKorelacji[[#This Row],[Moja satysfakcja z (efektów) usług edukacyjnych ocenianej uczelni jest wysoka.]],SkalaLikerta[],2,0)</f>
        <v>3</v>
      </c>
      <c r="K723" t="s">
        <v>128</v>
      </c>
      <c r="L723">
        <f>VLOOKUP(AbsDoKorelacji[[#This Row],[Usługi edukacyjne ocenianej uczelni mają wysoką wartość (okazja / szansa rozwoju własnego lub kariery).3]],SkalaLikerta[],2,0)</f>
        <v>3</v>
      </c>
    </row>
    <row r="724" spans="2:12" x14ac:dyDescent="0.45">
      <c r="B724" t="s">
        <v>2462</v>
      </c>
      <c r="C724">
        <v>0</v>
      </c>
      <c r="D724">
        <v>0</v>
      </c>
      <c r="E724" t="s">
        <v>252</v>
      </c>
      <c r="F724">
        <f>IF(AbsDoKorelacji[[#This Row],[CzyUczelniaTechniczna]]="Techniczna",1,0)</f>
        <v>1</v>
      </c>
      <c r="G724" t="s">
        <v>2329</v>
      </c>
      <c r="H724" t="s">
        <v>2329</v>
      </c>
      <c r="I724" t="s">
        <v>162</v>
      </c>
      <c r="J724">
        <f>VLOOKUP(AbsDoKorelacji[[#This Row],[Moja satysfakcja z (efektów) usług edukacyjnych ocenianej uczelni jest wysoka.]],SkalaLikerta[],2,0)</f>
        <v>5</v>
      </c>
      <c r="K724" t="s">
        <v>162</v>
      </c>
      <c r="L724">
        <f>VLOOKUP(AbsDoKorelacji[[#This Row],[Usługi edukacyjne ocenianej uczelni mają wysoką wartość (okazja / szansa rozwoju własnego lub kariery).3]],SkalaLikerta[],2,0)</f>
        <v>5</v>
      </c>
    </row>
    <row r="725" spans="2:12" x14ac:dyDescent="0.45">
      <c r="B725" t="s">
        <v>2462</v>
      </c>
      <c r="C725">
        <v>1</v>
      </c>
      <c r="D725">
        <v>1</v>
      </c>
      <c r="E725" t="s">
        <v>193</v>
      </c>
      <c r="F725">
        <f>IF(AbsDoKorelacji[[#This Row],[CzyUczelniaTechniczna]]="Techniczna",1,0)</f>
        <v>1</v>
      </c>
      <c r="G725">
        <v>10500</v>
      </c>
      <c r="H725">
        <v>10500</v>
      </c>
      <c r="I725" t="s">
        <v>150</v>
      </c>
      <c r="J725">
        <f>VLOOKUP(AbsDoKorelacji[[#This Row],[Moja satysfakcja z (efektów) usług edukacyjnych ocenianej uczelni jest wysoka.]],SkalaLikerta[],2,0)</f>
        <v>6</v>
      </c>
      <c r="K725" t="s">
        <v>150</v>
      </c>
      <c r="L725">
        <f>VLOOKUP(AbsDoKorelacji[[#This Row],[Usługi edukacyjne ocenianej uczelni mają wysoką wartość (okazja / szansa rozwoju własnego lub kariery).3]],SkalaLikerta[],2,0)</f>
        <v>6</v>
      </c>
    </row>
    <row r="726" spans="2:12" x14ac:dyDescent="0.45">
      <c r="B726" t="s">
        <v>2462</v>
      </c>
      <c r="C726">
        <v>1</v>
      </c>
      <c r="D726">
        <v>1</v>
      </c>
      <c r="E726" t="s">
        <v>1168</v>
      </c>
      <c r="F726">
        <f>IF(AbsDoKorelacji[[#This Row],[CzyUczelniaTechniczna]]="Techniczna",1,0)</f>
        <v>1</v>
      </c>
      <c r="G726" t="s">
        <v>2329</v>
      </c>
      <c r="H726" t="s">
        <v>2329</v>
      </c>
      <c r="I726" t="s">
        <v>169</v>
      </c>
      <c r="J726">
        <f>VLOOKUP(AbsDoKorelacji[[#This Row],[Moja satysfakcja z (efektów) usług edukacyjnych ocenianej uczelni jest wysoka.]],SkalaLikerta[],2,0)</f>
        <v>7</v>
      </c>
      <c r="K726" t="s">
        <v>169</v>
      </c>
      <c r="L726">
        <f>VLOOKUP(AbsDoKorelacji[[#This Row],[Usługi edukacyjne ocenianej uczelni mają wysoką wartość (okazja / szansa rozwoju własnego lub kariery).3]],SkalaLikerta[],2,0)</f>
        <v>7</v>
      </c>
    </row>
    <row r="727" spans="2:12" x14ac:dyDescent="0.45">
      <c r="B727" t="s">
        <v>2463</v>
      </c>
      <c r="C727">
        <v>1</v>
      </c>
      <c r="D727">
        <v>1</v>
      </c>
      <c r="E727" t="s">
        <v>515</v>
      </c>
      <c r="F727">
        <f>IF(AbsDoKorelacji[[#This Row],[CzyUczelniaTechniczna]]="Techniczna",1,0)</f>
        <v>0</v>
      </c>
      <c r="G727">
        <v>2500</v>
      </c>
      <c r="H727" t="s">
        <v>2329</v>
      </c>
      <c r="I727" t="s">
        <v>150</v>
      </c>
      <c r="J727">
        <f>VLOOKUP(AbsDoKorelacji[[#This Row],[Moja satysfakcja z (efektów) usług edukacyjnych ocenianej uczelni jest wysoka.]],SkalaLikerta[],2,0)</f>
        <v>6</v>
      </c>
      <c r="K727" t="s">
        <v>169</v>
      </c>
      <c r="L727">
        <f>VLOOKUP(AbsDoKorelacji[[#This Row],[Usługi edukacyjne ocenianej uczelni mają wysoką wartość (okazja / szansa rozwoju własnego lub kariery).3]],SkalaLikerta[],2,0)</f>
        <v>7</v>
      </c>
    </row>
    <row r="728" spans="2:12" x14ac:dyDescent="0.45">
      <c r="B728" t="s">
        <v>2463</v>
      </c>
      <c r="C728">
        <v>1</v>
      </c>
      <c r="D728">
        <v>1</v>
      </c>
      <c r="E728" t="s">
        <v>383</v>
      </c>
      <c r="F728">
        <f>IF(AbsDoKorelacji[[#This Row],[CzyUczelniaTechniczna]]="Techniczna",1,0)</f>
        <v>0</v>
      </c>
      <c r="G728">
        <v>500</v>
      </c>
      <c r="H728">
        <v>500</v>
      </c>
      <c r="I728" t="s">
        <v>169</v>
      </c>
      <c r="J728">
        <f>VLOOKUP(AbsDoKorelacji[[#This Row],[Moja satysfakcja z (efektów) usług edukacyjnych ocenianej uczelni jest wysoka.]],SkalaLikerta[],2,0)</f>
        <v>7</v>
      </c>
      <c r="K728" t="s">
        <v>169</v>
      </c>
      <c r="L728">
        <f>VLOOKUP(AbsDoKorelacji[[#This Row],[Usługi edukacyjne ocenianej uczelni mają wysoką wartość (okazja / szansa rozwoju własnego lub kariery).3]],SkalaLikerta[],2,0)</f>
        <v>7</v>
      </c>
    </row>
    <row r="729" spans="2:12" x14ac:dyDescent="0.45">
      <c r="B729" t="s">
        <v>2463</v>
      </c>
      <c r="C729">
        <v>0</v>
      </c>
      <c r="D729">
        <v>0</v>
      </c>
      <c r="E729" t="s">
        <v>661</v>
      </c>
      <c r="F729">
        <f>IF(AbsDoKorelacji[[#This Row],[CzyUczelniaTechniczna]]="Techniczna",1,0)</f>
        <v>0</v>
      </c>
      <c r="G729">
        <v>2500</v>
      </c>
      <c r="H729" t="s">
        <v>2329</v>
      </c>
      <c r="I729" t="s">
        <v>169</v>
      </c>
      <c r="J729">
        <f>VLOOKUP(AbsDoKorelacji[[#This Row],[Moja satysfakcja z (efektów) usług edukacyjnych ocenianej uczelni jest wysoka.]],SkalaLikerta[],2,0)</f>
        <v>7</v>
      </c>
      <c r="K729" t="s">
        <v>169</v>
      </c>
      <c r="L729">
        <f>VLOOKUP(AbsDoKorelacji[[#This Row],[Usługi edukacyjne ocenianej uczelni mają wysoką wartość (okazja / szansa rozwoju własnego lub kariery).3]],SkalaLikerta[],2,0)</f>
        <v>7</v>
      </c>
    </row>
    <row r="730" spans="2:12" x14ac:dyDescent="0.45">
      <c r="B730" t="s">
        <v>2463</v>
      </c>
      <c r="C730">
        <v>1</v>
      </c>
      <c r="D730">
        <v>1</v>
      </c>
      <c r="E730" t="s">
        <v>1638</v>
      </c>
      <c r="F730">
        <f>IF(AbsDoKorelacji[[#This Row],[CzyUczelniaTechniczna]]="Techniczna",1,0)</f>
        <v>0</v>
      </c>
      <c r="G730">
        <v>500</v>
      </c>
      <c r="H730">
        <v>3500</v>
      </c>
      <c r="I730" t="s">
        <v>150</v>
      </c>
      <c r="J730">
        <f>VLOOKUP(AbsDoKorelacji[[#This Row],[Moja satysfakcja z (efektów) usług edukacyjnych ocenianej uczelni jest wysoka.]],SkalaLikerta[],2,0)</f>
        <v>6</v>
      </c>
      <c r="K730" t="s">
        <v>150</v>
      </c>
      <c r="L730">
        <f>VLOOKUP(AbsDoKorelacji[[#This Row],[Usługi edukacyjne ocenianej uczelni mają wysoką wartość (okazja / szansa rozwoju własnego lub kariery).3]],SkalaLikerta[],2,0)</f>
        <v>6</v>
      </c>
    </row>
    <row r="731" spans="2:12" x14ac:dyDescent="0.45">
      <c r="B731" t="s">
        <v>2463</v>
      </c>
      <c r="C731">
        <v>1</v>
      </c>
      <c r="D731">
        <v>1</v>
      </c>
      <c r="E731" t="s">
        <v>1216</v>
      </c>
      <c r="F731">
        <f>IF(AbsDoKorelacji[[#This Row],[CzyUczelniaTechniczna]]="Techniczna",1,0)</f>
        <v>0</v>
      </c>
      <c r="G731">
        <v>1500</v>
      </c>
      <c r="H731">
        <v>1500</v>
      </c>
      <c r="I731" t="s">
        <v>150</v>
      </c>
      <c r="J731">
        <f>VLOOKUP(AbsDoKorelacji[[#This Row],[Moja satysfakcja z (efektów) usług edukacyjnych ocenianej uczelni jest wysoka.]],SkalaLikerta[],2,0)</f>
        <v>6</v>
      </c>
      <c r="K731" t="s">
        <v>150</v>
      </c>
      <c r="L731">
        <f>VLOOKUP(AbsDoKorelacji[[#This Row],[Usługi edukacyjne ocenianej uczelni mają wysoką wartość (okazja / szansa rozwoju własnego lub kariery).3]],SkalaLikerta[],2,0)</f>
        <v>6</v>
      </c>
    </row>
    <row r="732" spans="2:12" x14ac:dyDescent="0.45">
      <c r="B732" t="s">
        <v>2463</v>
      </c>
      <c r="C732">
        <v>1</v>
      </c>
      <c r="D732">
        <v>1</v>
      </c>
      <c r="E732" t="s">
        <v>225</v>
      </c>
      <c r="F732">
        <f>IF(AbsDoKorelacji[[#This Row],[CzyUczelniaTechniczna]]="Techniczna",1,0)</f>
        <v>0</v>
      </c>
      <c r="G732">
        <v>3500</v>
      </c>
      <c r="H732">
        <v>4500</v>
      </c>
      <c r="I732" t="s">
        <v>162</v>
      </c>
      <c r="J732">
        <f>VLOOKUP(AbsDoKorelacji[[#This Row],[Moja satysfakcja z (efektów) usług edukacyjnych ocenianej uczelni jest wysoka.]],SkalaLikerta[],2,0)</f>
        <v>5</v>
      </c>
      <c r="K732" t="s">
        <v>162</v>
      </c>
      <c r="L732">
        <f>VLOOKUP(AbsDoKorelacji[[#This Row],[Usługi edukacyjne ocenianej uczelni mają wysoką wartość (okazja / szansa rozwoju własnego lub kariery).3]],SkalaLikerta[],2,0)</f>
        <v>5</v>
      </c>
    </row>
    <row r="733" spans="2:12" x14ac:dyDescent="0.45">
      <c r="B733" t="s">
        <v>2463</v>
      </c>
      <c r="C733">
        <v>1</v>
      </c>
      <c r="D733">
        <v>1</v>
      </c>
      <c r="E733" t="s">
        <v>208</v>
      </c>
      <c r="F733">
        <f>IF(AbsDoKorelacji[[#This Row],[CzyUczelniaTechniczna]]="Techniczna",1,0)</f>
        <v>0</v>
      </c>
      <c r="G733">
        <v>7500</v>
      </c>
      <c r="H733">
        <v>7500</v>
      </c>
      <c r="I733" t="s">
        <v>150</v>
      </c>
      <c r="J733">
        <f>VLOOKUP(AbsDoKorelacji[[#This Row],[Moja satysfakcja z (efektów) usług edukacyjnych ocenianej uczelni jest wysoka.]],SkalaLikerta[],2,0)</f>
        <v>6</v>
      </c>
      <c r="K733" t="s">
        <v>150</v>
      </c>
      <c r="L733">
        <f>VLOOKUP(AbsDoKorelacji[[#This Row],[Usługi edukacyjne ocenianej uczelni mają wysoką wartość (okazja / szansa rozwoju własnego lub kariery).3]],SkalaLikerta[],2,0)</f>
        <v>6</v>
      </c>
    </row>
    <row r="734" spans="2:12" x14ac:dyDescent="0.45">
      <c r="B734" t="s">
        <v>2463</v>
      </c>
      <c r="C734">
        <v>1</v>
      </c>
      <c r="D734">
        <v>1</v>
      </c>
      <c r="E734" t="s">
        <v>1610</v>
      </c>
      <c r="F734">
        <f>IF(AbsDoKorelacji[[#This Row],[CzyUczelniaTechniczna]]="Techniczna",1,0)</f>
        <v>0</v>
      </c>
      <c r="G734">
        <v>2500</v>
      </c>
      <c r="H734">
        <v>3500</v>
      </c>
      <c r="I734" t="s">
        <v>162</v>
      </c>
      <c r="J734">
        <f>VLOOKUP(AbsDoKorelacji[[#This Row],[Moja satysfakcja z (efektów) usług edukacyjnych ocenianej uczelni jest wysoka.]],SkalaLikerta[],2,0)</f>
        <v>5</v>
      </c>
      <c r="K734" t="s">
        <v>162</v>
      </c>
      <c r="L734">
        <f>VLOOKUP(AbsDoKorelacji[[#This Row],[Usługi edukacyjne ocenianej uczelni mają wysoką wartość (okazja / szansa rozwoju własnego lub kariery).3]],SkalaLikerta[],2,0)</f>
        <v>5</v>
      </c>
    </row>
    <row r="735" spans="2:12" x14ac:dyDescent="0.45">
      <c r="B735" t="s">
        <v>2462</v>
      </c>
      <c r="C735">
        <v>1</v>
      </c>
      <c r="D735">
        <v>1</v>
      </c>
      <c r="E735" t="s">
        <v>1559</v>
      </c>
      <c r="F735">
        <f>IF(AbsDoKorelacji[[#This Row],[CzyUczelniaTechniczna]]="Techniczna",1,0)</f>
        <v>1</v>
      </c>
      <c r="G735" t="s">
        <v>2329</v>
      </c>
      <c r="H735" t="s">
        <v>2329</v>
      </c>
      <c r="I735" t="s">
        <v>150</v>
      </c>
      <c r="J735">
        <f>VLOOKUP(AbsDoKorelacji[[#This Row],[Moja satysfakcja z (efektów) usług edukacyjnych ocenianej uczelni jest wysoka.]],SkalaLikerta[],2,0)</f>
        <v>6</v>
      </c>
      <c r="K735" t="s">
        <v>150</v>
      </c>
      <c r="L735">
        <f>VLOOKUP(AbsDoKorelacji[[#This Row],[Usługi edukacyjne ocenianej uczelni mają wysoką wartość (okazja / szansa rozwoju własnego lub kariery).3]],SkalaLikerta[],2,0)</f>
        <v>6</v>
      </c>
    </row>
    <row r="736" spans="2:12" x14ac:dyDescent="0.45">
      <c r="B736" t="s">
        <v>2462</v>
      </c>
      <c r="C736">
        <v>1</v>
      </c>
      <c r="D736">
        <v>1</v>
      </c>
      <c r="E736" t="s">
        <v>1740</v>
      </c>
      <c r="F736">
        <f>IF(AbsDoKorelacji[[#This Row],[CzyUczelniaTechniczna]]="Techniczna",1,0)</f>
        <v>1</v>
      </c>
      <c r="G736">
        <v>1500</v>
      </c>
      <c r="H736">
        <v>2500</v>
      </c>
      <c r="I736" t="s">
        <v>150</v>
      </c>
      <c r="J736">
        <f>VLOOKUP(AbsDoKorelacji[[#This Row],[Moja satysfakcja z (efektów) usług edukacyjnych ocenianej uczelni jest wysoka.]],SkalaLikerta[],2,0)</f>
        <v>6</v>
      </c>
      <c r="K736" t="s">
        <v>150</v>
      </c>
      <c r="L736">
        <f>VLOOKUP(AbsDoKorelacji[[#This Row],[Usługi edukacyjne ocenianej uczelni mają wysoką wartość (okazja / szansa rozwoju własnego lub kariery).3]],SkalaLikerta[],2,0)</f>
        <v>6</v>
      </c>
    </row>
    <row r="737" spans="2:12" x14ac:dyDescent="0.45">
      <c r="B737" t="s">
        <v>2463</v>
      </c>
      <c r="C737">
        <v>1</v>
      </c>
      <c r="D737">
        <v>1</v>
      </c>
      <c r="E737" t="s">
        <v>237</v>
      </c>
      <c r="F737">
        <f>IF(AbsDoKorelacji[[#This Row],[CzyUczelniaTechniczna]]="Techniczna",1,0)</f>
        <v>0</v>
      </c>
      <c r="G737">
        <v>4500</v>
      </c>
      <c r="H737" t="s">
        <v>2329</v>
      </c>
      <c r="I737" t="s">
        <v>150</v>
      </c>
      <c r="J737">
        <f>VLOOKUP(AbsDoKorelacji[[#This Row],[Moja satysfakcja z (efektów) usług edukacyjnych ocenianej uczelni jest wysoka.]],SkalaLikerta[],2,0)</f>
        <v>6</v>
      </c>
      <c r="K737" t="s">
        <v>150</v>
      </c>
      <c r="L737">
        <f>VLOOKUP(AbsDoKorelacji[[#This Row],[Usługi edukacyjne ocenianej uczelni mają wysoką wartość (okazja / szansa rozwoju własnego lub kariery).3]],SkalaLikerta[],2,0)</f>
        <v>6</v>
      </c>
    </row>
    <row r="738" spans="2:12" x14ac:dyDescent="0.45">
      <c r="B738" t="s">
        <v>2463</v>
      </c>
      <c r="C738">
        <v>1</v>
      </c>
      <c r="D738">
        <v>1</v>
      </c>
      <c r="E738" t="s">
        <v>237</v>
      </c>
      <c r="F738">
        <f>IF(AbsDoKorelacji[[#This Row],[CzyUczelniaTechniczna]]="Techniczna",1,0)</f>
        <v>0</v>
      </c>
      <c r="G738" t="s">
        <v>2329</v>
      </c>
      <c r="H738" t="s">
        <v>2329</v>
      </c>
      <c r="I738" t="s">
        <v>162</v>
      </c>
      <c r="J738">
        <f>VLOOKUP(AbsDoKorelacji[[#This Row],[Moja satysfakcja z (efektów) usług edukacyjnych ocenianej uczelni jest wysoka.]],SkalaLikerta[],2,0)</f>
        <v>5</v>
      </c>
      <c r="K738" t="s">
        <v>162</v>
      </c>
      <c r="L738">
        <f>VLOOKUP(AbsDoKorelacji[[#This Row],[Usługi edukacyjne ocenianej uczelni mają wysoką wartość (okazja / szansa rozwoju własnego lub kariery).3]],SkalaLikerta[],2,0)</f>
        <v>5</v>
      </c>
    </row>
    <row r="739" spans="2:12" x14ac:dyDescent="0.45">
      <c r="B739" t="s">
        <v>2463</v>
      </c>
      <c r="C739">
        <v>1</v>
      </c>
      <c r="D739">
        <v>1</v>
      </c>
      <c r="E739" t="s">
        <v>237</v>
      </c>
      <c r="F739">
        <f>IF(AbsDoKorelacji[[#This Row],[CzyUczelniaTechniczna]]="Techniczna",1,0)</f>
        <v>0</v>
      </c>
      <c r="G739">
        <v>2500</v>
      </c>
      <c r="H739">
        <v>3500</v>
      </c>
      <c r="I739" t="s">
        <v>236</v>
      </c>
      <c r="J739">
        <f>VLOOKUP(AbsDoKorelacji[[#This Row],[Moja satysfakcja z (efektów) usług edukacyjnych ocenianej uczelni jest wysoka.]],SkalaLikerta[],2,0)</f>
        <v>2</v>
      </c>
      <c r="K739" t="s">
        <v>129</v>
      </c>
      <c r="L739">
        <f>VLOOKUP(AbsDoKorelacji[[#This Row],[Usługi edukacyjne ocenianej uczelni mają wysoką wartość (okazja / szansa rozwoju własnego lub kariery).3]],SkalaLikerta[],2,0)</f>
        <v>1</v>
      </c>
    </row>
    <row r="740" spans="2:12" x14ac:dyDescent="0.45">
      <c r="B740" t="s">
        <v>2463</v>
      </c>
      <c r="C740">
        <v>1</v>
      </c>
      <c r="D740">
        <v>1</v>
      </c>
      <c r="E740" t="s">
        <v>237</v>
      </c>
      <c r="F740">
        <f>IF(AbsDoKorelacji[[#This Row],[CzyUczelniaTechniczna]]="Techniczna",1,0)</f>
        <v>0</v>
      </c>
      <c r="G740">
        <v>2500</v>
      </c>
      <c r="H740">
        <v>3500</v>
      </c>
      <c r="I740" t="s">
        <v>236</v>
      </c>
      <c r="J740">
        <f>VLOOKUP(AbsDoKorelacji[[#This Row],[Moja satysfakcja z (efektów) usług edukacyjnych ocenianej uczelni jest wysoka.]],SkalaLikerta[],2,0)</f>
        <v>2</v>
      </c>
      <c r="K740" t="s">
        <v>236</v>
      </c>
      <c r="L740">
        <f>VLOOKUP(AbsDoKorelacji[[#This Row],[Usługi edukacyjne ocenianej uczelni mają wysoką wartość (okazja / szansa rozwoju własnego lub kariery).3]],SkalaLikerta[],2,0)</f>
        <v>2</v>
      </c>
    </row>
    <row r="741" spans="2:12" x14ac:dyDescent="0.45">
      <c r="B741" t="s">
        <v>2463</v>
      </c>
      <c r="C741">
        <v>1</v>
      </c>
      <c r="D741">
        <v>1</v>
      </c>
      <c r="E741" t="s">
        <v>237</v>
      </c>
      <c r="F741">
        <f>IF(AbsDoKorelacji[[#This Row],[CzyUczelniaTechniczna]]="Techniczna",1,0)</f>
        <v>0</v>
      </c>
      <c r="G741">
        <v>2500</v>
      </c>
      <c r="H741">
        <v>8500</v>
      </c>
      <c r="I741" t="s">
        <v>150</v>
      </c>
      <c r="J741">
        <f>VLOOKUP(AbsDoKorelacji[[#This Row],[Moja satysfakcja z (efektów) usług edukacyjnych ocenianej uczelni jest wysoka.]],SkalaLikerta[],2,0)</f>
        <v>6</v>
      </c>
      <c r="K741" t="s">
        <v>150</v>
      </c>
      <c r="L741">
        <f>VLOOKUP(AbsDoKorelacji[[#This Row],[Usługi edukacyjne ocenianej uczelni mają wysoką wartość (okazja / szansa rozwoju własnego lub kariery).3]],SkalaLikerta[],2,0)</f>
        <v>6</v>
      </c>
    </row>
    <row r="742" spans="2:12" x14ac:dyDescent="0.45">
      <c r="B742" t="s">
        <v>2463</v>
      </c>
      <c r="C742">
        <v>1</v>
      </c>
      <c r="D742">
        <v>1</v>
      </c>
      <c r="E742" t="s">
        <v>237</v>
      </c>
      <c r="F742">
        <f>IF(AbsDoKorelacji[[#This Row],[CzyUczelniaTechniczna]]="Techniczna",1,0)</f>
        <v>0</v>
      </c>
      <c r="G742">
        <v>1500</v>
      </c>
      <c r="H742">
        <v>2500</v>
      </c>
      <c r="I742" t="s">
        <v>151</v>
      </c>
      <c r="J742">
        <f>VLOOKUP(AbsDoKorelacji[[#This Row],[Moja satysfakcja z (efektów) usług edukacyjnych ocenianej uczelni jest wysoka.]],SkalaLikerta[],2,0)</f>
        <v>4</v>
      </c>
      <c r="K742" t="s">
        <v>151</v>
      </c>
      <c r="L742">
        <f>VLOOKUP(AbsDoKorelacji[[#This Row],[Usługi edukacyjne ocenianej uczelni mają wysoką wartość (okazja / szansa rozwoju własnego lub kariery).3]],SkalaLikerta[],2,0)</f>
        <v>4</v>
      </c>
    </row>
    <row r="743" spans="2:12" x14ac:dyDescent="0.45">
      <c r="B743" t="s">
        <v>2462</v>
      </c>
      <c r="C743">
        <v>1</v>
      </c>
      <c r="D743">
        <v>1</v>
      </c>
      <c r="E743" t="s">
        <v>237</v>
      </c>
      <c r="F743">
        <f>IF(AbsDoKorelacji[[#This Row],[CzyUczelniaTechniczna]]="Techniczna",1,0)</f>
        <v>1</v>
      </c>
      <c r="G743">
        <v>2500</v>
      </c>
      <c r="H743">
        <v>4500</v>
      </c>
      <c r="I743" t="s">
        <v>162</v>
      </c>
      <c r="J743">
        <f>VLOOKUP(AbsDoKorelacji[[#This Row],[Moja satysfakcja z (efektów) usług edukacyjnych ocenianej uczelni jest wysoka.]],SkalaLikerta[],2,0)</f>
        <v>5</v>
      </c>
      <c r="K743" t="s">
        <v>162</v>
      </c>
      <c r="L743">
        <f>VLOOKUP(AbsDoKorelacji[[#This Row],[Usługi edukacyjne ocenianej uczelni mają wysoką wartość (okazja / szansa rozwoju własnego lub kariery).3]],SkalaLikerta[],2,0)</f>
        <v>5</v>
      </c>
    </row>
    <row r="744" spans="2:12" x14ac:dyDescent="0.45">
      <c r="B744" t="s">
        <v>2462</v>
      </c>
      <c r="C744">
        <v>1</v>
      </c>
      <c r="D744">
        <v>1</v>
      </c>
      <c r="E744" t="s">
        <v>530</v>
      </c>
      <c r="F744">
        <f>IF(AbsDoKorelacji[[#This Row],[CzyUczelniaTechniczna]]="Techniczna",1,0)</f>
        <v>1</v>
      </c>
      <c r="G744">
        <v>1500</v>
      </c>
      <c r="H744">
        <v>2500</v>
      </c>
      <c r="I744" t="s">
        <v>150</v>
      </c>
      <c r="J744">
        <f>VLOOKUP(AbsDoKorelacji[[#This Row],[Moja satysfakcja z (efektów) usług edukacyjnych ocenianej uczelni jest wysoka.]],SkalaLikerta[],2,0)</f>
        <v>6</v>
      </c>
      <c r="K744" t="s">
        <v>150</v>
      </c>
      <c r="L744">
        <f>VLOOKUP(AbsDoKorelacji[[#This Row],[Usługi edukacyjne ocenianej uczelni mają wysoką wartość (okazja / szansa rozwoju własnego lub kariery).3]],SkalaLikerta[],2,0)</f>
        <v>6</v>
      </c>
    </row>
    <row r="745" spans="2:12" x14ac:dyDescent="0.45">
      <c r="B745" t="s">
        <v>2463</v>
      </c>
      <c r="C745">
        <v>1</v>
      </c>
      <c r="D745">
        <v>1</v>
      </c>
      <c r="E745" t="s">
        <v>237</v>
      </c>
      <c r="F745">
        <f>IF(AbsDoKorelacji[[#This Row],[CzyUczelniaTechniczna]]="Techniczna",1,0)</f>
        <v>0</v>
      </c>
      <c r="G745" t="s">
        <v>2329</v>
      </c>
      <c r="H745" t="s">
        <v>2329</v>
      </c>
      <c r="I745" t="s">
        <v>162</v>
      </c>
      <c r="J745">
        <f>VLOOKUP(AbsDoKorelacji[[#This Row],[Moja satysfakcja z (efektów) usług edukacyjnych ocenianej uczelni jest wysoka.]],SkalaLikerta[],2,0)</f>
        <v>5</v>
      </c>
      <c r="K745" t="s">
        <v>151</v>
      </c>
      <c r="L745">
        <f>VLOOKUP(AbsDoKorelacji[[#This Row],[Usługi edukacyjne ocenianej uczelni mają wysoką wartość (okazja / szansa rozwoju własnego lub kariery).3]],SkalaLikerta[],2,0)</f>
        <v>4</v>
      </c>
    </row>
    <row r="746" spans="2:12" x14ac:dyDescent="0.45">
      <c r="B746" t="s">
        <v>2462</v>
      </c>
      <c r="C746">
        <v>1</v>
      </c>
      <c r="D746">
        <v>1</v>
      </c>
      <c r="E746" t="s">
        <v>237</v>
      </c>
      <c r="F746">
        <f>IF(AbsDoKorelacji[[#This Row],[CzyUczelniaTechniczna]]="Techniczna",1,0)</f>
        <v>1</v>
      </c>
      <c r="G746">
        <v>2500</v>
      </c>
      <c r="H746">
        <v>3500</v>
      </c>
      <c r="I746" t="s">
        <v>162</v>
      </c>
      <c r="J746">
        <f>VLOOKUP(AbsDoKorelacji[[#This Row],[Moja satysfakcja z (efektów) usług edukacyjnych ocenianej uczelni jest wysoka.]],SkalaLikerta[],2,0)</f>
        <v>5</v>
      </c>
      <c r="K746" t="s">
        <v>128</v>
      </c>
      <c r="L746">
        <f>VLOOKUP(AbsDoKorelacji[[#This Row],[Usługi edukacyjne ocenianej uczelni mają wysoką wartość (okazja / szansa rozwoju własnego lub kariery).3]],SkalaLikerta[],2,0)</f>
        <v>3</v>
      </c>
    </row>
    <row r="747" spans="2:12" x14ac:dyDescent="0.45">
      <c r="B747" t="s">
        <v>2462</v>
      </c>
      <c r="C747">
        <v>1</v>
      </c>
      <c r="D747">
        <v>1</v>
      </c>
      <c r="E747" t="s">
        <v>237</v>
      </c>
      <c r="F747">
        <f>IF(AbsDoKorelacji[[#This Row],[CzyUczelniaTechniczna]]="Techniczna",1,0)</f>
        <v>1</v>
      </c>
      <c r="G747">
        <v>4500</v>
      </c>
      <c r="H747">
        <v>6500</v>
      </c>
      <c r="I747" t="s">
        <v>150</v>
      </c>
      <c r="J747">
        <f>VLOOKUP(AbsDoKorelacji[[#This Row],[Moja satysfakcja z (efektów) usług edukacyjnych ocenianej uczelni jest wysoka.]],SkalaLikerta[],2,0)</f>
        <v>6</v>
      </c>
      <c r="K747" t="s">
        <v>150</v>
      </c>
      <c r="L747">
        <f>VLOOKUP(AbsDoKorelacji[[#This Row],[Usługi edukacyjne ocenianej uczelni mają wysoką wartość (okazja / szansa rozwoju własnego lub kariery).3]],SkalaLikerta[],2,0)</f>
        <v>6</v>
      </c>
    </row>
    <row r="748" spans="2:12" x14ac:dyDescent="0.45">
      <c r="B748" t="s">
        <v>2463</v>
      </c>
      <c r="C748">
        <v>1</v>
      </c>
      <c r="D748">
        <v>1</v>
      </c>
      <c r="E748" t="s">
        <v>237</v>
      </c>
      <c r="F748">
        <f>IF(AbsDoKorelacji[[#This Row],[CzyUczelniaTechniczna]]="Techniczna",1,0)</f>
        <v>0</v>
      </c>
      <c r="G748">
        <v>1500</v>
      </c>
      <c r="H748">
        <v>1500</v>
      </c>
      <c r="I748" t="s">
        <v>128</v>
      </c>
      <c r="J748">
        <f>VLOOKUP(AbsDoKorelacji[[#This Row],[Moja satysfakcja z (efektów) usług edukacyjnych ocenianej uczelni jest wysoka.]],SkalaLikerta[],2,0)</f>
        <v>3</v>
      </c>
      <c r="K748" t="s">
        <v>236</v>
      </c>
      <c r="L748">
        <f>VLOOKUP(AbsDoKorelacji[[#This Row],[Usługi edukacyjne ocenianej uczelni mają wysoką wartość (okazja / szansa rozwoju własnego lub kariery).3]],SkalaLikerta[],2,0)</f>
        <v>2</v>
      </c>
    </row>
    <row r="749" spans="2:12" x14ac:dyDescent="0.45">
      <c r="B749" t="s">
        <v>2463</v>
      </c>
      <c r="C749">
        <v>1</v>
      </c>
      <c r="D749">
        <v>1</v>
      </c>
      <c r="E749" t="s">
        <v>237</v>
      </c>
      <c r="F749">
        <f>IF(AbsDoKorelacji[[#This Row],[CzyUczelniaTechniczna]]="Techniczna",1,0)</f>
        <v>0</v>
      </c>
      <c r="G749">
        <v>1500</v>
      </c>
      <c r="H749">
        <v>2500</v>
      </c>
      <c r="I749" t="s">
        <v>150</v>
      </c>
      <c r="J749">
        <f>VLOOKUP(AbsDoKorelacji[[#This Row],[Moja satysfakcja z (efektów) usług edukacyjnych ocenianej uczelni jest wysoka.]],SkalaLikerta[],2,0)</f>
        <v>6</v>
      </c>
      <c r="K749" t="s">
        <v>169</v>
      </c>
      <c r="L749">
        <f>VLOOKUP(AbsDoKorelacji[[#This Row],[Usługi edukacyjne ocenianej uczelni mają wysoką wartość (okazja / szansa rozwoju własnego lub kariery).3]],SkalaLikerta[],2,0)</f>
        <v>7</v>
      </c>
    </row>
    <row r="750" spans="2:12" x14ac:dyDescent="0.45">
      <c r="B750" t="s">
        <v>2462</v>
      </c>
      <c r="C750">
        <v>1</v>
      </c>
      <c r="D750">
        <v>1</v>
      </c>
      <c r="E750" t="s">
        <v>237</v>
      </c>
      <c r="F750">
        <f>IF(AbsDoKorelacji[[#This Row],[CzyUczelniaTechniczna]]="Techniczna",1,0)</f>
        <v>1</v>
      </c>
      <c r="G750">
        <v>3500</v>
      </c>
      <c r="H750">
        <v>7500</v>
      </c>
      <c r="I750" t="s">
        <v>150</v>
      </c>
      <c r="J750">
        <f>VLOOKUP(AbsDoKorelacji[[#This Row],[Moja satysfakcja z (efektów) usług edukacyjnych ocenianej uczelni jest wysoka.]],SkalaLikerta[],2,0)</f>
        <v>6</v>
      </c>
      <c r="K750" t="s">
        <v>162</v>
      </c>
      <c r="L750">
        <f>VLOOKUP(AbsDoKorelacji[[#This Row],[Usługi edukacyjne ocenianej uczelni mają wysoką wartość (okazja / szansa rozwoju własnego lub kariery).3]],SkalaLikerta[],2,0)</f>
        <v>5</v>
      </c>
    </row>
    <row r="751" spans="2:12" x14ac:dyDescent="0.45">
      <c r="B751" t="s">
        <v>2462</v>
      </c>
      <c r="C751">
        <v>1</v>
      </c>
      <c r="D751">
        <v>1</v>
      </c>
      <c r="E751" t="s">
        <v>530</v>
      </c>
      <c r="F751">
        <f>IF(AbsDoKorelacji[[#This Row],[CzyUczelniaTechniczna]]="Techniczna",1,0)</f>
        <v>1</v>
      </c>
      <c r="G751">
        <v>2500</v>
      </c>
      <c r="H751">
        <v>2500</v>
      </c>
      <c r="I751" t="s">
        <v>162</v>
      </c>
      <c r="J751">
        <f>VLOOKUP(AbsDoKorelacji[[#This Row],[Moja satysfakcja z (efektów) usług edukacyjnych ocenianej uczelni jest wysoka.]],SkalaLikerta[],2,0)</f>
        <v>5</v>
      </c>
      <c r="K751" t="s">
        <v>162</v>
      </c>
      <c r="L751">
        <f>VLOOKUP(AbsDoKorelacji[[#This Row],[Usługi edukacyjne ocenianej uczelni mają wysoką wartość (okazja / szansa rozwoju własnego lub kariery).3]],SkalaLikerta[],2,0)</f>
        <v>5</v>
      </c>
    </row>
    <row r="752" spans="2:12" x14ac:dyDescent="0.45">
      <c r="B752" t="s">
        <v>2462</v>
      </c>
      <c r="C752">
        <v>1</v>
      </c>
      <c r="D752">
        <v>1</v>
      </c>
      <c r="E752" t="s">
        <v>530</v>
      </c>
      <c r="F752">
        <f>IF(AbsDoKorelacji[[#This Row],[CzyUczelniaTechniczna]]="Techniczna",1,0)</f>
        <v>1</v>
      </c>
      <c r="G752">
        <v>3500</v>
      </c>
      <c r="H752">
        <v>3500</v>
      </c>
      <c r="I752" t="s">
        <v>162</v>
      </c>
      <c r="J752">
        <f>VLOOKUP(AbsDoKorelacji[[#This Row],[Moja satysfakcja z (efektów) usług edukacyjnych ocenianej uczelni jest wysoka.]],SkalaLikerta[],2,0)</f>
        <v>5</v>
      </c>
      <c r="K752" t="s">
        <v>151</v>
      </c>
      <c r="L752">
        <f>VLOOKUP(AbsDoKorelacji[[#This Row],[Usługi edukacyjne ocenianej uczelni mają wysoką wartość (okazja / szansa rozwoju własnego lub kariery).3]],SkalaLikerta[],2,0)</f>
        <v>4</v>
      </c>
    </row>
    <row r="753" spans="2:12" x14ac:dyDescent="0.45">
      <c r="B753" t="s">
        <v>2462</v>
      </c>
      <c r="C753">
        <v>1</v>
      </c>
      <c r="D753">
        <v>1</v>
      </c>
      <c r="E753" t="s">
        <v>237</v>
      </c>
      <c r="F753">
        <f>IF(AbsDoKorelacji[[#This Row],[CzyUczelniaTechniczna]]="Techniczna",1,0)</f>
        <v>1</v>
      </c>
      <c r="G753">
        <v>4500</v>
      </c>
      <c r="H753">
        <v>6500</v>
      </c>
      <c r="I753" t="s">
        <v>169</v>
      </c>
      <c r="J753">
        <f>VLOOKUP(AbsDoKorelacji[[#This Row],[Moja satysfakcja z (efektów) usług edukacyjnych ocenianej uczelni jest wysoka.]],SkalaLikerta[],2,0)</f>
        <v>7</v>
      </c>
      <c r="K753" t="s">
        <v>169</v>
      </c>
      <c r="L753">
        <f>VLOOKUP(AbsDoKorelacji[[#This Row],[Usługi edukacyjne ocenianej uczelni mają wysoką wartość (okazja / szansa rozwoju własnego lub kariery).3]],SkalaLikerta[],2,0)</f>
        <v>7</v>
      </c>
    </row>
    <row r="754" spans="2:12" x14ac:dyDescent="0.45">
      <c r="B754" t="s">
        <v>2462</v>
      </c>
      <c r="C754">
        <v>1</v>
      </c>
      <c r="D754">
        <v>1</v>
      </c>
      <c r="E754" t="s">
        <v>530</v>
      </c>
      <c r="F754">
        <f>IF(AbsDoKorelacji[[#This Row],[CzyUczelniaTechniczna]]="Techniczna",1,0)</f>
        <v>1</v>
      </c>
      <c r="G754">
        <v>4500</v>
      </c>
      <c r="H754">
        <v>5500</v>
      </c>
      <c r="I754" t="s">
        <v>162</v>
      </c>
      <c r="J754">
        <f>VLOOKUP(AbsDoKorelacji[[#This Row],[Moja satysfakcja z (efektów) usług edukacyjnych ocenianej uczelni jest wysoka.]],SkalaLikerta[],2,0)</f>
        <v>5</v>
      </c>
      <c r="K754" t="s">
        <v>150</v>
      </c>
      <c r="L754">
        <f>VLOOKUP(AbsDoKorelacji[[#This Row],[Usługi edukacyjne ocenianej uczelni mają wysoką wartość (okazja / szansa rozwoju własnego lub kariery).3]],SkalaLikerta[],2,0)</f>
        <v>6</v>
      </c>
    </row>
    <row r="755" spans="2:12" x14ac:dyDescent="0.45">
      <c r="B755" t="s">
        <v>2463</v>
      </c>
      <c r="C755">
        <v>1</v>
      </c>
      <c r="D755">
        <v>1</v>
      </c>
      <c r="E755" t="s">
        <v>237</v>
      </c>
      <c r="F755">
        <f>IF(AbsDoKorelacji[[#This Row],[CzyUczelniaTechniczna]]="Techniczna",1,0)</f>
        <v>0</v>
      </c>
      <c r="G755" t="s">
        <v>2329</v>
      </c>
      <c r="H755" t="s">
        <v>2329</v>
      </c>
      <c r="I755" t="s">
        <v>150</v>
      </c>
      <c r="J755">
        <f>VLOOKUP(AbsDoKorelacji[[#This Row],[Moja satysfakcja z (efektów) usług edukacyjnych ocenianej uczelni jest wysoka.]],SkalaLikerta[],2,0)</f>
        <v>6</v>
      </c>
      <c r="K755" t="s">
        <v>162</v>
      </c>
      <c r="L755">
        <f>VLOOKUP(AbsDoKorelacji[[#This Row],[Usługi edukacyjne ocenianej uczelni mają wysoką wartość (okazja / szansa rozwoju własnego lub kariery).3]],SkalaLikerta[],2,0)</f>
        <v>5</v>
      </c>
    </row>
    <row r="756" spans="2:12" x14ac:dyDescent="0.45">
      <c r="B756" t="s">
        <v>2463</v>
      </c>
      <c r="C756">
        <v>1</v>
      </c>
      <c r="D756">
        <v>1</v>
      </c>
      <c r="E756" t="s">
        <v>237</v>
      </c>
      <c r="F756">
        <f>IF(AbsDoKorelacji[[#This Row],[CzyUczelniaTechniczna]]="Techniczna",1,0)</f>
        <v>0</v>
      </c>
      <c r="G756">
        <v>2500</v>
      </c>
      <c r="H756">
        <v>3500</v>
      </c>
      <c r="I756" t="s">
        <v>162</v>
      </c>
      <c r="J756">
        <f>VLOOKUP(AbsDoKorelacji[[#This Row],[Moja satysfakcja z (efektów) usług edukacyjnych ocenianej uczelni jest wysoka.]],SkalaLikerta[],2,0)</f>
        <v>5</v>
      </c>
      <c r="K756" t="s">
        <v>169</v>
      </c>
      <c r="L756">
        <f>VLOOKUP(AbsDoKorelacji[[#This Row],[Usługi edukacyjne ocenianej uczelni mają wysoką wartość (okazja / szansa rozwoju własnego lub kariery).3]],SkalaLikerta[],2,0)</f>
        <v>7</v>
      </c>
    </row>
    <row r="757" spans="2:12" x14ac:dyDescent="0.45">
      <c r="B757" t="s">
        <v>2462</v>
      </c>
      <c r="C757">
        <v>1</v>
      </c>
      <c r="D757">
        <v>1</v>
      </c>
      <c r="E757" t="s">
        <v>530</v>
      </c>
      <c r="F757">
        <f>IF(AbsDoKorelacji[[#This Row],[CzyUczelniaTechniczna]]="Techniczna",1,0)</f>
        <v>1</v>
      </c>
      <c r="G757">
        <v>2500</v>
      </c>
      <c r="H757">
        <v>4500</v>
      </c>
      <c r="I757" t="s">
        <v>150</v>
      </c>
      <c r="J757">
        <f>VLOOKUP(AbsDoKorelacji[[#This Row],[Moja satysfakcja z (efektów) usług edukacyjnych ocenianej uczelni jest wysoka.]],SkalaLikerta[],2,0)</f>
        <v>6</v>
      </c>
      <c r="K757" t="s">
        <v>150</v>
      </c>
      <c r="L757">
        <f>VLOOKUP(AbsDoKorelacji[[#This Row],[Usługi edukacyjne ocenianej uczelni mają wysoką wartość (okazja / szansa rozwoju własnego lub kariery).3]],SkalaLikerta[],2,0)</f>
        <v>6</v>
      </c>
    </row>
    <row r="758" spans="2:12" x14ac:dyDescent="0.45">
      <c r="B758" t="s">
        <v>2463</v>
      </c>
      <c r="C758">
        <v>1</v>
      </c>
      <c r="D758">
        <v>1</v>
      </c>
      <c r="E758" t="s">
        <v>530</v>
      </c>
      <c r="F758">
        <f>IF(AbsDoKorelacji[[#This Row],[CzyUczelniaTechniczna]]="Techniczna",1,0)</f>
        <v>0</v>
      </c>
      <c r="G758">
        <v>2500</v>
      </c>
      <c r="H758">
        <v>1500</v>
      </c>
      <c r="I758" t="s">
        <v>128</v>
      </c>
      <c r="J758">
        <f>VLOOKUP(AbsDoKorelacji[[#This Row],[Moja satysfakcja z (efektów) usług edukacyjnych ocenianej uczelni jest wysoka.]],SkalaLikerta[],2,0)</f>
        <v>3</v>
      </c>
      <c r="K758" t="s">
        <v>162</v>
      </c>
      <c r="L758">
        <f>VLOOKUP(AbsDoKorelacji[[#This Row],[Usługi edukacyjne ocenianej uczelni mają wysoką wartość (okazja / szansa rozwoju własnego lub kariery).3]],SkalaLikerta[],2,0)</f>
        <v>5</v>
      </c>
    </row>
    <row r="759" spans="2:12" x14ac:dyDescent="0.45">
      <c r="B759" t="s">
        <v>2462</v>
      </c>
      <c r="C759">
        <v>1</v>
      </c>
      <c r="D759">
        <v>1</v>
      </c>
      <c r="E759" t="s">
        <v>237</v>
      </c>
      <c r="F759">
        <f>IF(AbsDoKorelacji[[#This Row],[CzyUczelniaTechniczna]]="Techniczna",1,0)</f>
        <v>1</v>
      </c>
      <c r="G759">
        <v>500</v>
      </c>
      <c r="H759">
        <v>1500</v>
      </c>
      <c r="I759" t="s">
        <v>150</v>
      </c>
      <c r="J759">
        <f>VLOOKUP(AbsDoKorelacji[[#This Row],[Moja satysfakcja z (efektów) usług edukacyjnych ocenianej uczelni jest wysoka.]],SkalaLikerta[],2,0)</f>
        <v>6</v>
      </c>
      <c r="K759" t="s">
        <v>150</v>
      </c>
      <c r="L759">
        <f>VLOOKUP(AbsDoKorelacji[[#This Row],[Usługi edukacyjne ocenianej uczelni mają wysoką wartość (okazja / szansa rozwoju własnego lub kariery).3]],SkalaLikerta[],2,0)</f>
        <v>6</v>
      </c>
    </row>
    <row r="760" spans="2:12" x14ac:dyDescent="0.45">
      <c r="B760" t="s">
        <v>2462</v>
      </c>
      <c r="C760">
        <v>1</v>
      </c>
      <c r="D760">
        <v>1</v>
      </c>
      <c r="E760" t="s">
        <v>237</v>
      </c>
      <c r="F760">
        <f>IF(AbsDoKorelacji[[#This Row],[CzyUczelniaTechniczna]]="Techniczna",1,0)</f>
        <v>1</v>
      </c>
      <c r="G760">
        <v>500</v>
      </c>
      <c r="H760">
        <v>5500</v>
      </c>
      <c r="I760" t="s">
        <v>150</v>
      </c>
      <c r="J760">
        <f>VLOOKUP(AbsDoKorelacji[[#This Row],[Moja satysfakcja z (efektów) usług edukacyjnych ocenianej uczelni jest wysoka.]],SkalaLikerta[],2,0)</f>
        <v>6</v>
      </c>
      <c r="K760" t="s">
        <v>150</v>
      </c>
      <c r="L760">
        <f>VLOOKUP(AbsDoKorelacji[[#This Row],[Usługi edukacyjne ocenianej uczelni mają wysoką wartość (okazja / szansa rozwoju własnego lub kariery).3]],SkalaLikerta[],2,0)</f>
        <v>6</v>
      </c>
    </row>
    <row r="761" spans="2:12" x14ac:dyDescent="0.45">
      <c r="B761" t="s">
        <v>2463</v>
      </c>
      <c r="C761">
        <v>1</v>
      </c>
      <c r="D761">
        <v>1</v>
      </c>
      <c r="E761" t="s">
        <v>1362</v>
      </c>
      <c r="F761">
        <f>IF(AbsDoKorelacji[[#This Row],[CzyUczelniaTechniczna]]="Techniczna",1,0)</f>
        <v>0</v>
      </c>
      <c r="G761">
        <v>3500</v>
      </c>
      <c r="H761">
        <v>3500</v>
      </c>
      <c r="I761" t="s">
        <v>236</v>
      </c>
      <c r="J761">
        <f>VLOOKUP(AbsDoKorelacji[[#This Row],[Moja satysfakcja z (efektów) usług edukacyjnych ocenianej uczelni jest wysoka.]],SkalaLikerta[],2,0)</f>
        <v>2</v>
      </c>
      <c r="K761" t="s">
        <v>150</v>
      </c>
      <c r="L761">
        <f>VLOOKUP(AbsDoKorelacji[[#This Row],[Usługi edukacyjne ocenianej uczelni mają wysoką wartość (okazja / szansa rozwoju własnego lub kariery).3]],SkalaLikerta[],2,0)</f>
        <v>6</v>
      </c>
    </row>
    <row r="762" spans="2:12" x14ac:dyDescent="0.45">
      <c r="B762" t="s">
        <v>2462</v>
      </c>
      <c r="C762">
        <v>1</v>
      </c>
      <c r="D762">
        <v>1</v>
      </c>
      <c r="E762" t="s">
        <v>1362</v>
      </c>
      <c r="F762">
        <f>IF(AbsDoKorelacji[[#This Row],[CzyUczelniaTechniczna]]="Techniczna",1,0)</f>
        <v>1</v>
      </c>
      <c r="G762">
        <v>1500</v>
      </c>
      <c r="H762">
        <v>5500</v>
      </c>
      <c r="I762" t="s">
        <v>150</v>
      </c>
      <c r="J762">
        <f>VLOOKUP(AbsDoKorelacji[[#This Row],[Moja satysfakcja z (efektów) usług edukacyjnych ocenianej uczelni jest wysoka.]],SkalaLikerta[],2,0)</f>
        <v>6</v>
      </c>
      <c r="K762" t="s">
        <v>162</v>
      </c>
      <c r="L762">
        <f>VLOOKUP(AbsDoKorelacji[[#This Row],[Usługi edukacyjne ocenianej uczelni mają wysoką wartość (okazja / szansa rozwoju własnego lub kariery).3]],SkalaLikerta[],2,0)</f>
        <v>5</v>
      </c>
    </row>
    <row r="763" spans="2:12" x14ac:dyDescent="0.45">
      <c r="B763" t="s">
        <v>2463</v>
      </c>
      <c r="C763">
        <v>1</v>
      </c>
      <c r="D763">
        <v>1</v>
      </c>
      <c r="E763" t="s">
        <v>703</v>
      </c>
      <c r="F763">
        <f>IF(AbsDoKorelacji[[#This Row],[CzyUczelniaTechniczna]]="Techniczna",1,0)</f>
        <v>0</v>
      </c>
      <c r="G763">
        <v>1500</v>
      </c>
      <c r="H763" t="s">
        <v>2329</v>
      </c>
      <c r="I763" t="s">
        <v>162</v>
      </c>
      <c r="J763">
        <f>VLOOKUP(AbsDoKorelacji[[#This Row],[Moja satysfakcja z (efektów) usług edukacyjnych ocenianej uczelni jest wysoka.]],SkalaLikerta[],2,0)</f>
        <v>5</v>
      </c>
      <c r="K763" t="s">
        <v>162</v>
      </c>
      <c r="L763">
        <f>VLOOKUP(AbsDoKorelacji[[#This Row],[Usługi edukacyjne ocenianej uczelni mają wysoką wartość (okazja / szansa rozwoju własnego lub kariery).3]],SkalaLikerta[],2,0)</f>
        <v>5</v>
      </c>
    </row>
    <row r="764" spans="2:12" x14ac:dyDescent="0.45">
      <c r="B764" t="s">
        <v>2462</v>
      </c>
      <c r="C764">
        <v>1</v>
      </c>
      <c r="D764">
        <v>1</v>
      </c>
      <c r="E764" t="s">
        <v>883</v>
      </c>
      <c r="F764">
        <f>IF(AbsDoKorelacji[[#This Row],[CzyUczelniaTechniczna]]="Techniczna",1,0)</f>
        <v>1</v>
      </c>
      <c r="G764">
        <v>1500</v>
      </c>
      <c r="H764">
        <v>2500</v>
      </c>
      <c r="I764" t="s">
        <v>162</v>
      </c>
      <c r="J764">
        <f>VLOOKUP(AbsDoKorelacji[[#This Row],[Moja satysfakcja z (efektów) usług edukacyjnych ocenianej uczelni jest wysoka.]],SkalaLikerta[],2,0)</f>
        <v>5</v>
      </c>
      <c r="K764" t="s">
        <v>162</v>
      </c>
      <c r="L764">
        <f>VLOOKUP(AbsDoKorelacji[[#This Row],[Usługi edukacyjne ocenianej uczelni mają wysoką wartość (okazja / szansa rozwoju własnego lub kariery).3]],SkalaLikerta[],2,0)</f>
        <v>5</v>
      </c>
    </row>
    <row r="765" spans="2:12" x14ac:dyDescent="0.45">
      <c r="B765" t="s">
        <v>2462</v>
      </c>
      <c r="C765">
        <v>1</v>
      </c>
      <c r="D765">
        <v>1</v>
      </c>
      <c r="E765" t="s">
        <v>883</v>
      </c>
      <c r="F765">
        <f>IF(AbsDoKorelacji[[#This Row],[CzyUczelniaTechniczna]]="Techniczna",1,0)</f>
        <v>1</v>
      </c>
      <c r="G765">
        <v>10500</v>
      </c>
      <c r="H765">
        <v>10500</v>
      </c>
      <c r="I765" t="s">
        <v>150</v>
      </c>
      <c r="J765">
        <f>VLOOKUP(AbsDoKorelacji[[#This Row],[Moja satysfakcja z (efektów) usług edukacyjnych ocenianej uczelni jest wysoka.]],SkalaLikerta[],2,0)</f>
        <v>6</v>
      </c>
      <c r="K765" t="s">
        <v>162</v>
      </c>
      <c r="L765">
        <f>VLOOKUP(AbsDoKorelacji[[#This Row],[Usługi edukacyjne ocenianej uczelni mają wysoką wartość (okazja / szansa rozwoju własnego lub kariery).3]],SkalaLikerta[],2,0)</f>
        <v>5</v>
      </c>
    </row>
    <row r="766" spans="2:12" x14ac:dyDescent="0.45">
      <c r="B766" t="s">
        <v>2463</v>
      </c>
      <c r="C766">
        <v>1</v>
      </c>
      <c r="D766">
        <v>1</v>
      </c>
      <c r="E766" t="s">
        <v>883</v>
      </c>
      <c r="F766">
        <f>IF(AbsDoKorelacji[[#This Row],[CzyUczelniaTechniczna]]="Techniczna",1,0)</f>
        <v>0</v>
      </c>
      <c r="G766">
        <v>1500</v>
      </c>
      <c r="H766">
        <v>2500</v>
      </c>
      <c r="I766" t="s">
        <v>169</v>
      </c>
      <c r="J766">
        <f>VLOOKUP(AbsDoKorelacji[[#This Row],[Moja satysfakcja z (efektów) usług edukacyjnych ocenianej uczelni jest wysoka.]],SkalaLikerta[],2,0)</f>
        <v>7</v>
      </c>
      <c r="K766" t="s">
        <v>150</v>
      </c>
      <c r="L766">
        <f>VLOOKUP(AbsDoKorelacji[[#This Row],[Usługi edukacyjne ocenianej uczelni mają wysoką wartość (okazja / szansa rozwoju własnego lub kariery).3]],SkalaLikerta[],2,0)</f>
        <v>6</v>
      </c>
    </row>
    <row r="767" spans="2:12" x14ac:dyDescent="0.45">
      <c r="B767" t="s">
        <v>2463</v>
      </c>
      <c r="C767">
        <v>1</v>
      </c>
      <c r="D767">
        <v>1</v>
      </c>
      <c r="E767" t="s">
        <v>883</v>
      </c>
      <c r="F767">
        <f>IF(AbsDoKorelacji[[#This Row],[CzyUczelniaTechniczna]]="Techniczna",1,0)</f>
        <v>0</v>
      </c>
      <c r="G767">
        <v>500</v>
      </c>
      <c r="H767">
        <v>1500</v>
      </c>
      <c r="I767" t="s">
        <v>169</v>
      </c>
      <c r="J767">
        <f>VLOOKUP(AbsDoKorelacji[[#This Row],[Moja satysfakcja z (efektów) usług edukacyjnych ocenianej uczelni jest wysoka.]],SkalaLikerta[],2,0)</f>
        <v>7</v>
      </c>
      <c r="K767" t="s">
        <v>169</v>
      </c>
      <c r="L767">
        <f>VLOOKUP(AbsDoKorelacji[[#This Row],[Usługi edukacyjne ocenianej uczelni mają wysoką wartość (okazja / szansa rozwoju własnego lub kariery).3]],SkalaLikerta[],2,0)</f>
        <v>7</v>
      </c>
    </row>
    <row r="768" spans="2:12" x14ac:dyDescent="0.45">
      <c r="B768" t="s">
        <v>2462</v>
      </c>
      <c r="C768">
        <v>1</v>
      </c>
      <c r="D768">
        <v>1</v>
      </c>
      <c r="E768" t="s">
        <v>959</v>
      </c>
      <c r="F768">
        <f>IF(AbsDoKorelacji[[#This Row],[CzyUczelniaTechniczna]]="Techniczna",1,0)</f>
        <v>1</v>
      </c>
      <c r="G768">
        <v>2500</v>
      </c>
      <c r="H768">
        <v>4500</v>
      </c>
      <c r="I768" t="s">
        <v>151</v>
      </c>
      <c r="J768">
        <f>VLOOKUP(AbsDoKorelacji[[#This Row],[Moja satysfakcja z (efektów) usług edukacyjnych ocenianej uczelni jest wysoka.]],SkalaLikerta[],2,0)</f>
        <v>4</v>
      </c>
      <c r="K768" t="s">
        <v>162</v>
      </c>
      <c r="L768">
        <f>VLOOKUP(AbsDoKorelacji[[#This Row],[Usługi edukacyjne ocenianej uczelni mają wysoką wartość (okazja / szansa rozwoju własnego lub kariery).3]],SkalaLikerta[],2,0)</f>
        <v>5</v>
      </c>
    </row>
    <row r="769" spans="2:12" x14ac:dyDescent="0.45">
      <c r="B769" t="s">
        <v>2463</v>
      </c>
      <c r="C769">
        <v>1</v>
      </c>
      <c r="D769">
        <v>1</v>
      </c>
      <c r="E769" t="s">
        <v>864</v>
      </c>
      <c r="F769">
        <f>IF(AbsDoKorelacji[[#This Row],[CzyUczelniaTechniczna]]="Techniczna",1,0)</f>
        <v>0</v>
      </c>
      <c r="G769">
        <v>2500</v>
      </c>
      <c r="H769">
        <v>5500</v>
      </c>
      <c r="I769" t="s">
        <v>150</v>
      </c>
      <c r="J769">
        <f>VLOOKUP(AbsDoKorelacji[[#This Row],[Moja satysfakcja z (efektów) usług edukacyjnych ocenianej uczelni jest wysoka.]],SkalaLikerta[],2,0)</f>
        <v>6</v>
      </c>
      <c r="K769" t="s">
        <v>150</v>
      </c>
      <c r="L769">
        <f>VLOOKUP(AbsDoKorelacji[[#This Row],[Usługi edukacyjne ocenianej uczelni mają wysoką wartość (okazja / szansa rozwoju własnego lub kariery).3]],SkalaLikerta[],2,0)</f>
        <v>6</v>
      </c>
    </row>
    <row r="770" spans="2:12" x14ac:dyDescent="0.45">
      <c r="B770" t="s">
        <v>2463</v>
      </c>
      <c r="C770">
        <v>1</v>
      </c>
      <c r="D770">
        <v>1</v>
      </c>
      <c r="E770" t="s">
        <v>1018</v>
      </c>
      <c r="F770">
        <f>IF(AbsDoKorelacji[[#This Row],[CzyUczelniaTechniczna]]="Techniczna",1,0)</f>
        <v>0</v>
      </c>
      <c r="G770">
        <v>1500</v>
      </c>
      <c r="H770">
        <v>1500</v>
      </c>
      <c r="I770" t="s">
        <v>128</v>
      </c>
      <c r="J770">
        <f>VLOOKUP(AbsDoKorelacji[[#This Row],[Moja satysfakcja z (efektów) usług edukacyjnych ocenianej uczelni jest wysoka.]],SkalaLikerta[],2,0)</f>
        <v>3</v>
      </c>
      <c r="K770" t="s">
        <v>128</v>
      </c>
      <c r="L770">
        <f>VLOOKUP(AbsDoKorelacji[[#This Row],[Usługi edukacyjne ocenianej uczelni mają wysoką wartość (okazja / szansa rozwoju własnego lub kariery).3]],SkalaLikerta[],2,0)</f>
        <v>3</v>
      </c>
    </row>
    <row r="771" spans="2:12" x14ac:dyDescent="0.45">
      <c r="B771" t="s">
        <v>2463</v>
      </c>
      <c r="C771">
        <v>1</v>
      </c>
      <c r="D771">
        <v>1</v>
      </c>
      <c r="E771" t="s">
        <v>602</v>
      </c>
      <c r="F771">
        <f>IF(AbsDoKorelacji[[#This Row],[CzyUczelniaTechniczna]]="Techniczna",1,0)</f>
        <v>0</v>
      </c>
      <c r="G771">
        <v>1500</v>
      </c>
      <c r="H771" t="s">
        <v>2329</v>
      </c>
      <c r="I771" t="s">
        <v>150</v>
      </c>
      <c r="J771">
        <f>VLOOKUP(AbsDoKorelacji[[#This Row],[Moja satysfakcja z (efektów) usług edukacyjnych ocenianej uczelni jest wysoka.]],SkalaLikerta[],2,0)</f>
        <v>6</v>
      </c>
      <c r="K771" t="s">
        <v>162</v>
      </c>
      <c r="L771">
        <f>VLOOKUP(AbsDoKorelacji[[#This Row],[Usługi edukacyjne ocenianej uczelni mają wysoką wartość (okazja / szansa rozwoju własnego lub kariery).3]],SkalaLikerta[],2,0)</f>
        <v>5</v>
      </c>
    </row>
    <row r="772" spans="2:12" x14ac:dyDescent="0.45">
      <c r="B772" t="s">
        <v>2463</v>
      </c>
      <c r="C772">
        <v>1</v>
      </c>
      <c r="D772">
        <v>1</v>
      </c>
      <c r="E772" t="s">
        <v>1932</v>
      </c>
      <c r="F772">
        <f>IF(AbsDoKorelacji[[#This Row],[CzyUczelniaTechniczna]]="Techniczna",1,0)</f>
        <v>0</v>
      </c>
      <c r="G772">
        <v>2500</v>
      </c>
      <c r="H772">
        <v>3500</v>
      </c>
      <c r="I772" t="s">
        <v>162</v>
      </c>
      <c r="J772">
        <f>VLOOKUP(AbsDoKorelacji[[#This Row],[Moja satysfakcja z (efektów) usług edukacyjnych ocenianej uczelni jest wysoka.]],SkalaLikerta[],2,0)</f>
        <v>5</v>
      </c>
      <c r="K772" t="s">
        <v>162</v>
      </c>
      <c r="L772">
        <f>VLOOKUP(AbsDoKorelacji[[#This Row],[Usługi edukacyjne ocenianej uczelni mają wysoką wartość (okazja / szansa rozwoju własnego lub kariery).3]],SkalaLikerta[],2,0)</f>
        <v>5</v>
      </c>
    </row>
    <row r="773" spans="2:12" x14ac:dyDescent="0.45">
      <c r="B773" t="s">
        <v>2462</v>
      </c>
      <c r="C773">
        <v>1</v>
      </c>
      <c r="D773">
        <v>1</v>
      </c>
      <c r="E773" t="s">
        <v>1868</v>
      </c>
      <c r="F773">
        <f>IF(AbsDoKorelacji[[#This Row],[CzyUczelniaTechniczna]]="Techniczna",1,0)</f>
        <v>1</v>
      </c>
      <c r="G773">
        <v>3500</v>
      </c>
      <c r="H773">
        <v>4500</v>
      </c>
      <c r="I773" t="s">
        <v>162</v>
      </c>
      <c r="J773">
        <f>VLOOKUP(AbsDoKorelacji[[#This Row],[Moja satysfakcja z (efektów) usług edukacyjnych ocenianej uczelni jest wysoka.]],SkalaLikerta[],2,0)</f>
        <v>5</v>
      </c>
      <c r="K773" t="s">
        <v>150</v>
      </c>
      <c r="L773">
        <f>VLOOKUP(AbsDoKorelacji[[#This Row],[Usługi edukacyjne ocenianej uczelni mają wysoką wartość (okazja / szansa rozwoju własnego lub kariery).3]],SkalaLikerta[],2,0)</f>
        <v>6</v>
      </c>
    </row>
    <row r="774" spans="2:12" x14ac:dyDescent="0.45">
      <c r="B774" t="s">
        <v>2462</v>
      </c>
      <c r="C774">
        <v>1</v>
      </c>
      <c r="D774">
        <v>1</v>
      </c>
      <c r="E774" t="s">
        <v>331</v>
      </c>
      <c r="F774">
        <f>IF(AbsDoKorelacji[[#This Row],[CzyUczelniaTechniczna]]="Techniczna",1,0)</f>
        <v>1</v>
      </c>
      <c r="G774">
        <v>2500</v>
      </c>
      <c r="H774">
        <v>4500</v>
      </c>
      <c r="I774" t="s">
        <v>169</v>
      </c>
      <c r="J774">
        <f>VLOOKUP(AbsDoKorelacji[[#This Row],[Moja satysfakcja z (efektów) usług edukacyjnych ocenianej uczelni jest wysoka.]],SkalaLikerta[],2,0)</f>
        <v>7</v>
      </c>
      <c r="K774" t="s">
        <v>169</v>
      </c>
      <c r="L774">
        <f>VLOOKUP(AbsDoKorelacji[[#This Row],[Usługi edukacyjne ocenianej uczelni mają wysoką wartość (okazja / szansa rozwoju własnego lub kariery).3]],SkalaLikerta[],2,0)</f>
        <v>7</v>
      </c>
    </row>
    <row r="775" spans="2:12" x14ac:dyDescent="0.45">
      <c r="B775" t="s">
        <v>2463</v>
      </c>
      <c r="C775">
        <v>1</v>
      </c>
      <c r="D775">
        <v>1</v>
      </c>
      <c r="E775" t="s">
        <v>976</v>
      </c>
      <c r="F775">
        <f>IF(AbsDoKorelacji[[#This Row],[CzyUczelniaTechniczna]]="Techniczna",1,0)</f>
        <v>0</v>
      </c>
      <c r="G775">
        <v>1500</v>
      </c>
      <c r="H775">
        <v>1500</v>
      </c>
      <c r="I775" t="s">
        <v>128</v>
      </c>
      <c r="J775">
        <f>VLOOKUP(AbsDoKorelacji[[#This Row],[Moja satysfakcja z (efektów) usług edukacyjnych ocenianej uczelni jest wysoka.]],SkalaLikerta[],2,0)</f>
        <v>3</v>
      </c>
      <c r="K775" t="s">
        <v>151</v>
      </c>
      <c r="L775">
        <f>VLOOKUP(AbsDoKorelacji[[#This Row],[Usługi edukacyjne ocenianej uczelni mają wysoką wartość (okazja / szansa rozwoju własnego lub kariery).3]],SkalaLikerta[],2,0)</f>
        <v>4</v>
      </c>
    </row>
    <row r="776" spans="2:12" x14ac:dyDescent="0.45">
      <c r="B776" t="s">
        <v>2462</v>
      </c>
      <c r="C776">
        <v>0</v>
      </c>
      <c r="D776">
        <v>0</v>
      </c>
      <c r="E776" t="s">
        <v>350</v>
      </c>
      <c r="F776">
        <f>IF(AbsDoKorelacji[[#This Row],[CzyUczelniaTechniczna]]="Techniczna",1,0)</f>
        <v>1</v>
      </c>
      <c r="G776">
        <v>2500</v>
      </c>
      <c r="H776">
        <v>2500</v>
      </c>
      <c r="I776" t="s">
        <v>150</v>
      </c>
      <c r="J776">
        <f>VLOOKUP(AbsDoKorelacji[[#This Row],[Moja satysfakcja z (efektów) usług edukacyjnych ocenianej uczelni jest wysoka.]],SkalaLikerta[],2,0)</f>
        <v>6</v>
      </c>
      <c r="K776" t="s">
        <v>128</v>
      </c>
      <c r="L776">
        <f>VLOOKUP(AbsDoKorelacji[[#This Row],[Usługi edukacyjne ocenianej uczelni mają wysoką wartość (okazja / szansa rozwoju własnego lub kariery).3]],SkalaLikerta[],2,0)</f>
        <v>3</v>
      </c>
    </row>
    <row r="777" spans="2:12" x14ac:dyDescent="0.45">
      <c r="B777" t="s">
        <v>2463</v>
      </c>
      <c r="C777">
        <v>1</v>
      </c>
      <c r="D777">
        <v>1</v>
      </c>
      <c r="E777" t="s">
        <v>1070</v>
      </c>
      <c r="F777">
        <f>IF(AbsDoKorelacji[[#This Row],[CzyUczelniaTechniczna]]="Techniczna",1,0)</f>
        <v>0</v>
      </c>
      <c r="G777">
        <v>3500</v>
      </c>
      <c r="H777" t="s">
        <v>2329</v>
      </c>
      <c r="I777" t="s">
        <v>128</v>
      </c>
      <c r="J777">
        <f>VLOOKUP(AbsDoKorelacji[[#This Row],[Moja satysfakcja z (efektów) usług edukacyjnych ocenianej uczelni jest wysoka.]],SkalaLikerta[],2,0)</f>
        <v>3</v>
      </c>
      <c r="K777" t="s">
        <v>151</v>
      </c>
      <c r="L777">
        <f>VLOOKUP(AbsDoKorelacji[[#This Row],[Usługi edukacyjne ocenianej uczelni mają wysoką wartość (okazja / szansa rozwoju własnego lub kariery).3]],SkalaLikerta[],2,0)</f>
        <v>4</v>
      </c>
    </row>
    <row r="778" spans="2:12" x14ac:dyDescent="0.45">
      <c r="B778" t="s">
        <v>2463</v>
      </c>
      <c r="C778">
        <v>1</v>
      </c>
      <c r="D778">
        <v>1</v>
      </c>
      <c r="E778" t="s">
        <v>683</v>
      </c>
      <c r="F778">
        <f>IF(AbsDoKorelacji[[#This Row],[CzyUczelniaTechniczna]]="Techniczna",1,0)</f>
        <v>0</v>
      </c>
      <c r="G778">
        <v>1500</v>
      </c>
      <c r="H778">
        <v>3500</v>
      </c>
      <c r="I778" t="s">
        <v>169</v>
      </c>
      <c r="J778">
        <f>VLOOKUP(AbsDoKorelacji[[#This Row],[Moja satysfakcja z (efektów) usług edukacyjnych ocenianej uczelni jest wysoka.]],SkalaLikerta[],2,0)</f>
        <v>7</v>
      </c>
      <c r="K778" t="s">
        <v>169</v>
      </c>
      <c r="L778">
        <f>VLOOKUP(AbsDoKorelacji[[#This Row],[Usługi edukacyjne ocenianej uczelni mają wysoką wartość (okazja / szansa rozwoju własnego lub kariery).3]],SkalaLikerta[],2,0)</f>
        <v>7</v>
      </c>
    </row>
    <row r="779" spans="2:12" x14ac:dyDescent="0.45">
      <c r="B779" t="s">
        <v>2463</v>
      </c>
      <c r="C779">
        <v>1</v>
      </c>
      <c r="D779">
        <v>1</v>
      </c>
      <c r="E779" t="s">
        <v>1051</v>
      </c>
      <c r="F779">
        <f>IF(AbsDoKorelacji[[#This Row],[CzyUczelniaTechniczna]]="Techniczna",1,0)</f>
        <v>0</v>
      </c>
      <c r="G779">
        <v>2500</v>
      </c>
      <c r="H779">
        <v>3500</v>
      </c>
      <c r="I779" t="s">
        <v>150</v>
      </c>
      <c r="J779">
        <f>VLOOKUP(AbsDoKorelacji[[#This Row],[Moja satysfakcja z (efektów) usług edukacyjnych ocenianej uczelni jest wysoka.]],SkalaLikerta[],2,0)</f>
        <v>6</v>
      </c>
      <c r="K779" t="s">
        <v>162</v>
      </c>
      <c r="L779">
        <f>VLOOKUP(AbsDoKorelacji[[#This Row],[Usługi edukacyjne ocenianej uczelni mają wysoką wartość (okazja / szansa rozwoju własnego lub kariery).3]],SkalaLikerta[],2,0)</f>
        <v>5</v>
      </c>
    </row>
    <row r="780" spans="2:12" x14ac:dyDescent="0.45">
      <c r="B780" t="s">
        <v>2463</v>
      </c>
      <c r="C780">
        <v>1</v>
      </c>
      <c r="D780">
        <v>1</v>
      </c>
      <c r="E780" t="s">
        <v>1475</v>
      </c>
      <c r="F780">
        <f>IF(AbsDoKorelacji[[#This Row],[CzyUczelniaTechniczna]]="Techniczna",1,0)</f>
        <v>0</v>
      </c>
      <c r="G780" t="s">
        <v>2329</v>
      </c>
      <c r="H780" t="s">
        <v>2329</v>
      </c>
      <c r="I780" t="s">
        <v>169</v>
      </c>
      <c r="J780">
        <f>VLOOKUP(AbsDoKorelacji[[#This Row],[Moja satysfakcja z (efektów) usług edukacyjnych ocenianej uczelni jest wysoka.]],SkalaLikerta[],2,0)</f>
        <v>7</v>
      </c>
      <c r="K780" t="s">
        <v>169</v>
      </c>
      <c r="L780">
        <f>VLOOKUP(AbsDoKorelacji[[#This Row],[Usługi edukacyjne ocenianej uczelni mają wysoką wartość (okazja / szansa rozwoju własnego lub kariery).3]],SkalaLikerta[],2,0)</f>
        <v>7</v>
      </c>
    </row>
    <row r="781" spans="2:12" x14ac:dyDescent="0.45">
      <c r="B781" t="s">
        <v>2462</v>
      </c>
      <c r="C781">
        <v>1</v>
      </c>
      <c r="D781">
        <v>1</v>
      </c>
      <c r="E781" t="s">
        <v>907</v>
      </c>
      <c r="F781">
        <f>IF(AbsDoKorelacji[[#This Row],[CzyUczelniaTechniczna]]="Techniczna",1,0)</f>
        <v>1</v>
      </c>
      <c r="G781">
        <v>1500</v>
      </c>
      <c r="H781">
        <v>5500</v>
      </c>
      <c r="I781" t="s">
        <v>151</v>
      </c>
      <c r="J781">
        <f>VLOOKUP(AbsDoKorelacji[[#This Row],[Moja satysfakcja z (efektów) usług edukacyjnych ocenianej uczelni jest wysoka.]],SkalaLikerta[],2,0)</f>
        <v>4</v>
      </c>
      <c r="K781" t="s">
        <v>151</v>
      </c>
      <c r="L781">
        <f>VLOOKUP(AbsDoKorelacji[[#This Row],[Usługi edukacyjne ocenianej uczelni mają wysoką wartość (okazja / szansa rozwoju własnego lub kariery).3]],SkalaLikerta[],2,0)</f>
        <v>4</v>
      </c>
    </row>
    <row r="782" spans="2:12" x14ac:dyDescent="0.45">
      <c r="B782" t="s">
        <v>2462</v>
      </c>
      <c r="C782">
        <v>1</v>
      </c>
      <c r="D782">
        <v>1</v>
      </c>
      <c r="E782" t="s">
        <v>718</v>
      </c>
      <c r="F782">
        <f>IF(AbsDoKorelacji[[#This Row],[CzyUczelniaTechniczna]]="Techniczna",1,0)</f>
        <v>1</v>
      </c>
      <c r="G782">
        <v>1500</v>
      </c>
      <c r="H782">
        <v>2500</v>
      </c>
      <c r="I782" t="s">
        <v>162</v>
      </c>
      <c r="J782">
        <f>VLOOKUP(AbsDoKorelacji[[#This Row],[Moja satysfakcja z (efektów) usług edukacyjnych ocenianej uczelni jest wysoka.]],SkalaLikerta[],2,0)</f>
        <v>5</v>
      </c>
      <c r="K782" t="s">
        <v>151</v>
      </c>
      <c r="L782">
        <f>VLOOKUP(AbsDoKorelacji[[#This Row],[Usługi edukacyjne ocenianej uczelni mają wysoką wartość (okazja / szansa rozwoju własnego lub kariery).3]],SkalaLikerta[],2,0)</f>
        <v>4</v>
      </c>
    </row>
    <row r="783" spans="2:12" x14ac:dyDescent="0.45">
      <c r="B783" t="s">
        <v>2462</v>
      </c>
      <c r="C783">
        <v>1</v>
      </c>
      <c r="D783">
        <v>1</v>
      </c>
      <c r="E783" t="s">
        <v>718</v>
      </c>
      <c r="F783">
        <f>IF(AbsDoKorelacji[[#This Row],[CzyUczelniaTechniczna]]="Techniczna",1,0)</f>
        <v>1</v>
      </c>
      <c r="G783" t="s">
        <v>2329</v>
      </c>
      <c r="H783" t="s">
        <v>2329</v>
      </c>
      <c r="I783" t="s">
        <v>150</v>
      </c>
      <c r="J783">
        <f>VLOOKUP(AbsDoKorelacji[[#This Row],[Moja satysfakcja z (efektów) usług edukacyjnych ocenianej uczelni jest wysoka.]],SkalaLikerta[],2,0)</f>
        <v>6</v>
      </c>
      <c r="K783" t="s">
        <v>150</v>
      </c>
      <c r="L783">
        <f>VLOOKUP(AbsDoKorelacji[[#This Row],[Usługi edukacyjne ocenianej uczelni mają wysoką wartość (okazja / szansa rozwoju własnego lub kariery).3]],SkalaLikerta[],2,0)</f>
        <v>6</v>
      </c>
    </row>
    <row r="784" spans="2:12" x14ac:dyDescent="0.45">
      <c r="C784">
        <f>SUBTOTAL(109,AbsDoKorelacji[Zatrudnienie w 1 roku])</f>
        <v>113</v>
      </c>
      <c r="D784">
        <f>SUBTOTAL(109,AbsDoKorelacji[Zatrudnienie w 3 lata])</f>
        <v>114</v>
      </c>
    </row>
    <row r="785" spans="1:21" x14ac:dyDescent="0.45">
      <c r="C785" s="33">
        <f>C784/120</f>
        <v>0.94166666666666665</v>
      </c>
      <c r="D785" s="33">
        <f>D784/120</f>
        <v>0.95</v>
      </c>
    </row>
    <row r="786" spans="1:21" x14ac:dyDescent="0.45">
      <c r="C786" s="55" t="s">
        <v>2489</v>
      </c>
      <c r="D786" s="55" t="s">
        <v>2490</v>
      </c>
      <c r="G786" s="20" t="s">
        <v>2489</v>
      </c>
      <c r="H786" s="20" t="s">
        <v>2490</v>
      </c>
    </row>
    <row r="787" spans="1:21" x14ac:dyDescent="0.45">
      <c r="A787" s="20" t="s">
        <v>2462</v>
      </c>
      <c r="B787">
        <f>COUNTIF(AbsDoKorelacji[CzyUczelniaTechniczna],"Techniczna")</f>
        <v>52</v>
      </c>
      <c r="C787">
        <f>SUMIFS(AbsDoKorelacji[Zatrudnienie w 1 roku],AbsDoKorelacji[CzyUczelniaTechniczna],"Techniczna")</f>
        <v>47</v>
      </c>
      <c r="D787">
        <f>SUMIFS(AbsDoKorelacji[Zatrudnienie w 3 lata],AbsDoKorelacji[CzyUczelniaTechniczna],"Techniczna")</f>
        <v>48</v>
      </c>
      <c r="G787" s="53">
        <f>SUMIFS(AbsDoKorelacji[Wartości_po1roku],AbsDoKorelacji[CzyUczelniaTechniczna],"Techniczna")</f>
        <v>127000</v>
      </c>
      <c r="H787" s="53">
        <f>SUMIFS(AbsDoKorelacji[Wartości_po3latach],AbsDoKorelacji[CzyUczelniaTechniczna],"Techniczna")</f>
        <v>189500</v>
      </c>
    </row>
    <row r="788" spans="1:21" x14ac:dyDescent="0.45">
      <c r="A788" s="20" t="s">
        <v>2463</v>
      </c>
      <c r="B788">
        <f>COUNTIF(AbsDoKorelacji[CzyUczelniaTechniczna],"Nietechniczna")</f>
        <v>68</v>
      </c>
      <c r="C788">
        <f>SUMIFS(AbsDoKorelacji[Zatrudnienie w 1 roku],AbsDoKorelacji[CzyUczelniaTechniczna],"Nietechniczna")</f>
        <v>66</v>
      </c>
      <c r="D788">
        <f>SUMIFS(AbsDoKorelacji[Zatrudnienie w 3 lata],AbsDoKorelacji[CzyUczelniaTechniczna],"Nietechniczna")</f>
        <v>66</v>
      </c>
      <c r="G788" s="53">
        <f>SUMIFS(AbsDoKorelacji[Wartości_po1roku],AbsDoKorelacji[CzyUczelniaTechniczna],"Nietechniczna")</f>
        <v>132500</v>
      </c>
      <c r="H788" s="53">
        <f>SUMIFS(AbsDoKorelacji[Wartości_po3latach],AbsDoKorelacji[CzyUczelniaTechniczna],"Nietechniczna")</f>
        <v>164500</v>
      </c>
    </row>
    <row r="789" spans="1:21" x14ac:dyDescent="0.45">
      <c r="A789" s="20" t="s">
        <v>2462</v>
      </c>
      <c r="C789" s="33">
        <f>C787/$B787</f>
        <v>0.90384615384615385</v>
      </c>
      <c r="D789" s="33">
        <f>D787/$B787</f>
        <v>0.92307692307692313</v>
      </c>
      <c r="G789" s="52">
        <f>G787/$B787</f>
        <v>2442.3076923076924</v>
      </c>
      <c r="H789" s="52">
        <f>H787/$B787</f>
        <v>3644.2307692307691</v>
      </c>
    </row>
    <row r="790" spans="1:21" x14ac:dyDescent="0.45">
      <c r="A790" s="20" t="s">
        <v>2463</v>
      </c>
      <c r="C790" s="33">
        <f>C788/$B788</f>
        <v>0.97058823529411764</v>
      </c>
      <c r="D790" s="33">
        <f>D788/$B788</f>
        <v>0.97058823529411764</v>
      </c>
      <c r="G790" s="52">
        <f>G788/$B788</f>
        <v>1948.5294117647059</v>
      </c>
      <c r="H790" s="52">
        <f>H788/$B788</f>
        <v>2419.1176470588234</v>
      </c>
    </row>
    <row r="791" spans="1:21" x14ac:dyDescent="0.45">
      <c r="E791" s="20" t="s">
        <v>2475</v>
      </c>
      <c r="G791" s="54">
        <f>G789*C789</f>
        <v>2207.4704142011833</v>
      </c>
      <c r="H791" s="54">
        <f>H789*D789</f>
        <v>3363.9053254437872</v>
      </c>
      <c r="R791" s="20" t="s">
        <v>2493</v>
      </c>
      <c r="S791">
        <f>VLOOKUP(S792-2,Tabl_tStudenta[],5,0)</f>
        <v>1.9802722492729716</v>
      </c>
      <c r="T791">
        <f>VLOOKUP(T792-2,Tabl_tStudenta[],5,0)</f>
        <v>1.996564418952312</v>
      </c>
      <c r="U791">
        <f>VLOOKUP(U792-2,Tabl_tStudenta[],5,0)</f>
        <v>2.0085591121007611</v>
      </c>
    </row>
    <row r="792" spans="1:21" x14ac:dyDescent="0.45">
      <c r="E792" s="20" t="s">
        <v>2476</v>
      </c>
      <c r="G792" s="54">
        <f>G790*C790</f>
        <v>1891.2197231833909</v>
      </c>
      <c r="H792" s="54">
        <f>H790*D790</f>
        <v>2347.9671280276816</v>
      </c>
      <c r="R792" s="20" t="s">
        <v>2491</v>
      </c>
      <c r="S792">
        <v>120</v>
      </c>
      <c r="T792">
        <v>68</v>
      </c>
      <c r="U792">
        <v>52</v>
      </c>
    </row>
    <row r="793" spans="1:21" x14ac:dyDescent="0.45">
      <c r="E793" s="20"/>
      <c r="G793" s="54"/>
      <c r="H793" s="54"/>
      <c r="R793" s="20"/>
    </row>
    <row r="794" spans="1:21" x14ac:dyDescent="0.45">
      <c r="E794" s="29"/>
      <c r="F794" s="29"/>
      <c r="G794" s="29" t="s">
        <v>2488</v>
      </c>
      <c r="H794" s="29" t="s">
        <v>2487</v>
      </c>
      <c r="I794" s="29" t="s">
        <v>2486</v>
      </c>
      <c r="K794" s="57" t="s">
        <v>2494</v>
      </c>
      <c r="L794" s="57"/>
      <c r="M794" s="57" t="s">
        <v>2488</v>
      </c>
      <c r="N794" s="57" t="s">
        <v>2487</v>
      </c>
      <c r="O794" s="57" t="s">
        <v>2486</v>
      </c>
      <c r="Q794" s="29" t="s">
        <v>2492</v>
      </c>
      <c r="R794" s="29"/>
      <c r="S794" s="29" t="s">
        <v>2488</v>
      </c>
      <c r="T794" s="29" t="s">
        <v>2487</v>
      </c>
      <c r="U794" s="29" t="s">
        <v>2486</v>
      </c>
    </row>
    <row r="795" spans="1:21" x14ac:dyDescent="0.45">
      <c r="E795" s="29"/>
      <c r="F795" s="29"/>
      <c r="G795" s="29"/>
      <c r="H795" s="29"/>
      <c r="I795" s="29"/>
      <c r="K795" s="57"/>
      <c r="L795" s="57"/>
      <c r="M795" s="57"/>
      <c r="N795" s="57"/>
      <c r="O795" s="57"/>
      <c r="Q795" s="29"/>
      <c r="R795" s="29"/>
      <c r="S795" s="29"/>
      <c r="T795" s="29"/>
      <c r="U795" s="29"/>
    </row>
    <row r="796" spans="1:21" x14ac:dyDescent="0.45">
      <c r="E796" s="29" t="s">
        <v>2500</v>
      </c>
      <c r="F796" s="29"/>
      <c r="G796" s="61">
        <f>CORREL(AbsDoKorelacji[CzyTechnicznaWartości],AbsDoKorelacji[Satysfakcja_wartości])</f>
        <v>7.2103810425918458E-2</v>
      </c>
      <c r="H796" s="29"/>
      <c r="I796" s="29"/>
      <c r="K796" s="57" t="s">
        <v>2500</v>
      </c>
      <c r="L796" s="57"/>
      <c r="M796" s="58">
        <f t="shared" ref="M796:M797" si="185">TDIST(S796,S$792-2,2)</f>
        <v>0.43385635751907703</v>
      </c>
      <c r="N796" s="57"/>
      <c r="O796" s="57"/>
      <c r="Q796" s="29" t="s">
        <v>2500</v>
      </c>
      <c r="R796" s="29"/>
      <c r="S796" s="60">
        <f t="shared" ref="S796:S797" si="186">(G796*SQRT(S$792-2))/(SQRT(1-G796^2))</f>
        <v>0.78529187569981829</v>
      </c>
      <c r="T796" s="29"/>
      <c r="U796" s="29"/>
    </row>
    <row r="797" spans="1:21" x14ac:dyDescent="0.45">
      <c r="E797" s="29" t="s">
        <v>2499</v>
      </c>
      <c r="F797" s="29"/>
      <c r="G797" s="61">
        <f>CORREL(AbsDoKorelacji[CzyTechnicznaWartości],AbsDoKorelacji[Wartość usługi_wartość])</f>
        <v>2.7693088924681118E-2</v>
      </c>
      <c r="H797" s="29"/>
      <c r="I797" s="29"/>
      <c r="K797" s="57" t="s">
        <v>2499</v>
      </c>
      <c r="L797" s="57"/>
      <c r="M797" s="58">
        <f t="shared" si="185"/>
        <v>0.76399035245441382</v>
      </c>
      <c r="N797" s="57"/>
      <c r="O797" s="57"/>
      <c r="Q797" s="29" t="s">
        <v>2499</v>
      </c>
      <c r="R797" s="29"/>
      <c r="S797" s="60">
        <f t="shared" si="186"/>
        <v>0.30093936452396997</v>
      </c>
      <c r="T797" s="29"/>
      <c r="U797" s="29"/>
    </row>
    <row r="798" spans="1:21" x14ac:dyDescent="0.45">
      <c r="E798" s="29" t="s">
        <v>2497</v>
      </c>
      <c r="F798" s="29"/>
      <c r="G798" s="56">
        <f>CORREL(AbsDoKorelacji[CzyTechnicznaWartości],AbsDoKorelacji[Wartości_po1roku])</f>
        <v>0.18515986505656057</v>
      </c>
      <c r="H798" s="29"/>
      <c r="I798" s="29"/>
      <c r="K798" s="57" t="s">
        <v>2497</v>
      </c>
      <c r="L798" s="57"/>
      <c r="M798" s="58">
        <f>TDIST(S798,S$792-2,2)</f>
        <v>4.2904688669858165E-2</v>
      </c>
      <c r="N798" s="57"/>
      <c r="O798" s="57"/>
      <c r="Q798" s="29" t="s">
        <v>2497</v>
      </c>
      <c r="R798" s="29"/>
      <c r="S798" s="60">
        <f>(G798*SQRT(S$792-2))/(SQRT(1-G798^2))</f>
        <v>2.0467423947082883</v>
      </c>
      <c r="T798" s="29"/>
      <c r="U798" s="29"/>
    </row>
    <row r="799" spans="1:21" x14ac:dyDescent="0.45">
      <c r="E799" s="29" t="s">
        <v>2496</v>
      </c>
      <c r="F799" s="29"/>
      <c r="G799" s="61">
        <f>CORREL(AbsDoKorelacji[CzyTechnicznaWartości],AbsDoKorelacji[Zatrudnienie w 1 roku])</f>
        <v>-0.14111319761359137</v>
      </c>
      <c r="H799" s="29"/>
      <c r="I799" s="29"/>
      <c r="K799" s="57" t="s">
        <v>2496</v>
      </c>
      <c r="L799" s="57"/>
      <c r="M799" s="58">
        <f>TDIST(S799,S$792-2,2)</f>
        <v>0.12420978601059325</v>
      </c>
      <c r="N799" s="57"/>
      <c r="O799" s="57"/>
      <c r="Q799" s="29" t="s">
        <v>2496</v>
      </c>
      <c r="R799" s="29"/>
      <c r="S799" s="59">
        <f>(-G799*SQRT(S$792-2))/(SQRT(1-G799^2))</f>
        <v>1.5483755606400784</v>
      </c>
      <c r="T799" s="29"/>
      <c r="U799" s="29"/>
    </row>
    <row r="800" spans="1:21" x14ac:dyDescent="0.45">
      <c r="E800" s="29" t="s">
        <v>2483</v>
      </c>
      <c r="F800" s="29"/>
      <c r="G800" s="56">
        <f>CORREL(AbsDoKorelacji[Satysfakcja_wartości],AbsDoKorelacji[Wartość usługi_wartość])</f>
        <v>0.81124601294962306</v>
      </c>
      <c r="H800" s="56">
        <f>CORREL(AbsDoKorelacji_NTech[Satysfakcja_wartości],AbsDoKorelacji_NTech[Wartość usługi_wartość])</f>
        <v>0.79228662975144515</v>
      </c>
      <c r="I800" s="56">
        <f>CORREL(AbsDoKorelacji_Tech[Satysfakcja_wartości],AbsDoKorelacji_Tech[Wartość usługi_wartość])</f>
        <v>0.83592468883576287</v>
      </c>
      <c r="K800" s="57" t="s">
        <v>2483</v>
      </c>
      <c r="L800" s="57"/>
      <c r="M800" s="58">
        <f>TDIST(S800,S$792-2,2)</f>
        <v>2.8353513200597434E-29</v>
      </c>
      <c r="N800" s="58">
        <f t="shared" ref="N800:O802" si="187">TDIST(T800,T$792-2,2)</f>
        <v>8.4470097570193112E-16</v>
      </c>
      <c r="O800" s="58">
        <f t="shared" si="187"/>
        <v>1.2503668309270156E-14</v>
      </c>
      <c r="Q800" s="29" t="s">
        <v>2483</v>
      </c>
      <c r="R800" s="29"/>
      <c r="S800" s="56">
        <f>(G800*SQRT(S$792-2))/(SQRT(1-G800^2))</f>
        <v>15.071510858957884</v>
      </c>
      <c r="T800" s="56">
        <f>(H800*SQRT(T$792-2))/(SQRT(1-H800^2))</f>
        <v>10.549171094224954</v>
      </c>
      <c r="U800" s="56">
        <f>(I800*SQRT(U$792-2))/(SQRT(1-I800^2))</f>
        <v>10.769687582316882</v>
      </c>
    </row>
    <row r="801" spans="2:21" x14ac:dyDescent="0.45">
      <c r="E801" s="29" t="s">
        <v>2481</v>
      </c>
      <c r="F801" s="29"/>
      <c r="G801" s="61">
        <f>CORREL(AbsDoKorelacji[Satysfakcja_wartości],AbsDoKorelacji[Wartości_po1roku])</f>
        <v>6.4720574434589714E-2</v>
      </c>
      <c r="H801" s="61">
        <f>CORREL(AbsDoKorelacji_NTech[Satysfakcja_wartości],AbsDoKorelacji_NTech[Wartości_po1roku])</f>
        <v>-0.11535577681071868</v>
      </c>
      <c r="I801" s="61">
        <f>CORREL(AbsDoKorelacji_Tech[Satysfakcja_wartości],AbsDoKorelacji_Tech[Wartości_po1roku])</f>
        <v>0.22775226107467697</v>
      </c>
      <c r="K801" s="57" t="s">
        <v>2481</v>
      </c>
      <c r="L801" s="57"/>
      <c r="M801" s="58">
        <f>TDIST(S801,S$792-2,2)</f>
        <v>0.48249562111490751</v>
      </c>
      <c r="N801" s="58">
        <f t="shared" si="187"/>
        <v>0.34889013110807865</v>
      </c>
      <c r="O801" s="58">
        <f t="shared" si="187"/>
        <v>0.10440967895944427</v>
      </c>
      <c r="Q801" s="29" t="s">
        <v>2481</v>
      </c>
      <c r="R801" s="29"/>
      <c r="S801" s="56">
        <f>(G801*SQRT(S$792-2))/(SQRT(1-G801^2))</f>
        <v>0.7045224769883236</v>
      </c>
      <c r="T801" s="59">
        <f>(-H801*SQRT(T$792-2))/(SQRT(1-H801^2))</f>
        <v>0.94345302747167392</v>
      </c>
      <c r="U801" s="56">
        <f>(I801*SQRT(U$792-2))/(SQRT(1-I801^2))</f>
        <v>1.6539181205242088</v>
      </c>
    </row>
    <row r="802" spans="2:21" x14ac:dyDescent="0.45">
      <c r="E802" s="29" t="s">
        <v>2482</v>
      </c>
      <c r="F802" s="29"/>
      <c r="G802" s="61">
        <f>CORREL(AbsDoKorelacji[Wartości_po1roku],AbsDoKorelacji[Wartość usługi_wartość])</f>
        <v>2.4300675197077234E-2</v>
      </c>
      <c r="H802" s="61">
        <f>CORREL(AbsDoKorelacji_NTech[Wartości_po1roku],AbsDoKorelacji_NTech[Wartość usługi_wartość])</f>
        <v>-0.10363095249788996</v>
      </c>
      <c r="I802" s="61">
        <f>CORREL(AbsDoKorelacji_Tech[Wartości_po1roku],AbsDoKorelacji_Tech[Wartość usługi_wartość])</f>
        <v>0.16414275661860597</v>
      </c>
      <c r="K802" s="57" t="s">
        <v>2482</v>
      </c>
      <c r="L802" s="57"/>
      <c r="M802" s="58">
        <f>TDIST(S802,S$792-2,2)</f>
        <v>0.79220131950060169</v>
      </c>
      <c r="N802" s="58">
        <f t="shared" si="187"/>
        <v>0.40035528374993856</v>
      </c>
      <c r="O802" s="58">
        <f t="shared" si="187"/>
        <v>0.24491714621131117</v>
      </c>
      <c r="Q802" s="29" t="s">
        <v>2482</v>
      </c>
      <c r="R802" s="29"/>
      <c r="S802" s="56">
        <f>(G802*SQRT(S$792-2))/(SQRT(1-G802^2))</f>
        <v>0.26405087600039223</v>
      </c>
      <c r="T802" s="59">
        <f>(-H802*SQRT(T$792-2))/(SQRT(1-H802^2))</f>
        <v>0.84645932897035481</v>
      </c>
      <c r="U802" s="56">
        <f>(I802*SQRT(U$792-2))/(SQRT(1-I802^2))</f>
        <v>1.1766235853995293</v>
      </c>
    </row>
    <row r="803" spans="2:21" x14ac:dyDescent="0.45">
      <c r="E803" s="29" t="s">
        <v>2501</v>
      </c>
      <c r="G803" s="61">
        <f>CORREL(AbsDoKorelacji[Satysfakcja_wartości],AbsDoKorelacji[Zatrudnienie w 1 roku])</f>
        <v>-2.3086026230158343E-2</v>
      </c>
      <c r="H803" s="61">
        <f>CORREL(AbsDoKorelacji_NTech[Satysfakcja_wartości],AbsDoKorelacji_NTech[Wartości_po1roku])</f>
        <v>-0.11535577681071868</v>
      </c>
      <c r="I803" s="61">
        <f>CORREL(AbsDoKorelacji_Tech[Satysfakcja_wartości],AbsDoKorelacji_Tech[Zatrudnienie w 1 roku])</f>
        <v>6.9936910394718055E-2</v>
      </c>
      <c r="K803" s="57" t="s">
        <v>2501</v>
      </c>
      <c r="L803" s="57"/>
      <c r="M803" s="58">
        <f t="shared" ref="M803:M804" si="188">TDIST(S803,S$792-2,2)</f>
        <v>0.80236999430158951</v>
      </c>
      <c r="N803" s="58">
        <f t="shared" ref="N803:N804" si="189">TDIST(T803,T$792-2,2)</f>
        <v>0.34889013110807865</v>
      </c>
      <c r="O803" s="58">
        <f t="shared" ref="O803:O804" si="190">TDIST(U803,U$792-2,2)</f>
        <v>0.62224815704362113</v>
      </c>
      <c r="Q803" s="29" t="s">
        <v>2501</v>
      </c>
      <c r="R803" s="29"/>
      <c r="S803" s="59">
        <f>(-G803*SQRT(S$792-2))/(SQRT(1-G803^2))</f>
        <v>0.25084529009202855</v>
      </c>
      <c r="T803" s="59">
        <f t="shared" ref="T803:T804" si="191">(-H803*SQRT(T$792-2))/(SQRT(1-H803^2))</f>
        <v>0.94345302747167392</v>
      </c>
      <c r="U803" s="56">
        <f t="shared" ref="U803:U804" si="192">(I803*SQRT(U$792-2))/(SQRT(1-I803^2))</f>
        <v>0.49574250286535948</v>
      </c>
    </row>
    <row r="804" spans="2:21" x14ac:dyDescent="0.45">
      <c r="E804" s="29" t="s">
        <v>2502</v>
      </c>
      <c r="G804" s="61">
        <f>CORREL(AbsDoKorelacji[Wartości_po1roku],AbsDoKorelacji[Zatrudnienie w 1 roku])</f>
        <v>5.2494357049326895E-2</v>
      </c>
      <c r="H804" s="61">
        <f>CORREL(AbsDoKorelacji_NTech[Wartości_po1roku],AbsDoKorelacji_NTech[Wartość usługi_wartość])</f>
        <v>-0.10363095249788996</v>
      </c>
      <c r="I804" s="61">
        <f>CORREL(AbsDoKorelacji_Tech[Wartości_po1roku],AbsDoKorelacji_Tech[Zatrudnienie w 1 roku])</f>
        <v>0.13787344337652419</v>
      </c>
      <c r="K804" s="57" t="s">
        <v>2502</v>
      </c>
      <c r="L804" s="57"/>
      <c r="M804" s="58">
        <f t="shared" si="188"/>
        <v>0.5690706568190198</v>
      </c>
      <c r="N804" s="58">
        <f t="shared" si="189"/>
        <v>0.40035528374993856</v>
      </c>
      <c r="O804" s="58">
        <f t="shared" si="190"/>
        <v>0.32970100952376413</v>
      </c>
      <c r="Q804" s="29" t="s">
        <v>2502</v>
      </c>
      <c r="R804" s="29"/>
      <c r="S804" s="56">
        <f t="shared" ref="S804" si="193">(G804*SQRT(S$792-2))/(SQRT(1-G804^2))</f>
        <v>0.57102199094143868</v>
      </c>
      <c r="T804" s="59">
        <f t="shared" si="191"/>
        <v>0.84645932897035481</v>
      </c>
      <c r="U804" s="56">
        <f t="shared" si="192"/>
        <v>0.98431279834421403</v>
      </c>
    </row>
    <row r="805" spans="2:21" x14ac:dyDescent="0.45">
      <c r="E805" s="29"/>
      <c r="F805" s="29"/>
      <c r="G805" s="56"/>
      <c r="H805" s="29"/>
      <c r="I805" s="56"/>
      <c r="K805" s="57"/>
      <c r="L805" s="57"/>
      <c r="M805" s="58"/>
      <c r="N805" s="58"/>
      <c r="O805" s="58"/>
      <c r="Q805" s="29"/>
      <c r="R805" s="29"/>
      <c r="S805" s="56"/>
      <c r="T805" s="56"/>
      <c r="U805" s="56"/>
    </row>
    <row r="806" spans="2:21" x14ac:dyDescent="0.45">
      <c r="E806" s="29" t="s">
        <v>2498</v>
      </c>
      <c r="F806" s="29"/>
      <c r="G806" s="56">
        <f>CORREL(AbsDoKorelacji[CzyTechnicznaWartości],AbsDoKorelacji[Wartości_po3latach])</f>
        <v>0.29768449183774587</v>
      </c>
      <c r="H806" s="29"/>
      <c r="I806" s="56"/>
      <c r="K806" s="57" t="s">
        <v>2498</v>
      </c>
      <c r="L806" s="57"/>
      <c r="M806" s="58">
        <f>TDIST(S806,S$792-2,2)</f>
        <v>9.5987808614582501E-4</v>
      </c>
      <c r="N806" s="58"/>
      <c r="O806" s="58"/>
      <c r="Q806" s="29" t="s">
        <v>2498</v>
      </c>
      <c r="R806" s="29"/>
      <c r="S806" s="59">
        <f>(G806*SQRT(S$792-2))/(SQRT(1-G806^2))</f>
        <v>3.3872443530156273</v>
      </c>
      <c r="T806" s="56"/>
      <c r="U806" s="56"/>
    </row>
    <row r="807" spans="2:21" x14ac:dyDescent="0.45">
      <c r="E807" s="29" t="s">
        <v>2495</v>
      </c>
      <c r="F807" s="29"/>
      <c r="G807" s="61">
        <f>CORREL(AbsDoKorelacji[CzyTechnicznaWartości],AbsDoKorelacji[Zatrudnienie w 3 lata])</f>
        <v>-0.10802520588259766</v>
      </c>
      <c r="H807" s="29"/>
      <c r="I807" s="56"/>
      <c r="K807" s="57" t="s">
        <v>2495</v>
      </c>
      <c r="L807" s="57"/>
      <c r="M807" s="58">
        <f>TDIST(S807,S$792-2,2)</f>
        <v>0.24023044869581048</v>
      </c>
      <c r="N807" s="58"/>
      <c r="O807" s="58"/>
      <c r="Q807" s="29" t="s">
        <v>2495</v>
      </c>
      <c r="R807" s="29"/>
      <c r="S807" s="59">
        <f>(-G807*SQRT(S$792-2))/(SQRT(1-G807^2))</f>
        <v>1.1803613904428563</v>
      </c>
      <c r="T807" s="56"/>
      <c r="U807" s="56"/>
    </row>
    <row r="808" spans="2:21" x14ac:dyDescent="0.45">
      <c r="E808" s="29" t="s">
        <v>2484</v>
      </c>
      <c r="F808" s="29"/>
      <c r="G808" s="56">
        <f>CORREL(AbsDoKorelacji[Satysfakcja_wartości],AbsDoKorelacji[Wartości_po3latach])</f>
        <v>0.16511607419167534</v>
      </c>
      <c r="H808" s="61">
        <f>CORREL(AbsDoKorelacji_NTech[Satysfakcja_wartości],AbsDoKorelacji_NTech[Wartości_po3latach])</f>
        <v>4.2848563272251512E-2</v>
      </c>
      <c r="I808" s="56">
        <f>CORREL(AbsDoKorelacji_Tech[Satysfakcja_wartości],AbsDoKorelacji_Tech[Wartości_po3latach])</f>
        <v>0.27088549788252131</v>
      </c>
      <c r="K808" s="57" t="s">
        <v>2484</v>
      </c>
      <c r="L808" s="57"/>
      <c r="M808" s="58">
        <f>TDIST(S808,S$792-2,2)</f>
        <v>7.1511556039113119E-2</v>
      </c>
      <c r="N808" s="58">
        <f>TDIST(T808,T$792-2,2)</f>
        <v>0.72863122546253689</v>
      </c>
      <c r="O808" s="58">
        <f>TDIST(U808,U$792-2,2)</f>
        <v>5.2090536349751727E-2</v>
      </c>
      <c r="Q808" s="29" t="s">
        <v>2484</v>
      </c>
      <c r="R808" s="29"/>
      <c r="S808" s="56">
        <f t="shared" ref="S808:U809" si="194">(G808*SQRT(S$792-2))/(SQRT(1-G808^2))</f>
        <v>1.8185812586767252</v>
      </c>
      <c r="T808" s="56">
        <f t="shared" si="194"/>
        <v>0.34842337310198052</v>
      </c>
      <c r="U808" s="56">
        <f t="shared" si="194"/>
        <v>1.9898469660249269</v>
      </c>
    </row>
    <row r="809" spans="2:21" x14ac:dyDescent="0.45">
      <c r="E809" s="29" t="s">
        <v>2485</v>
      </c>
      <c r="F809" s="29"/>
      <c r="G809" s="61">
        <f>CORREL(AbsDoKorelacji[Wartości_po3latach],AbsDoKorelacji[Wartość usługi_wartość])</f>
        <v>0.12333066890788838</v>
      </c>
      <c r="H809" s="59">
        <v>9.9999999999999997E-29</v>
      </c>
      <c r="I809" s="56">
        <f>CORREL(AbsDoKorelacji_Tech[Wartości_po3latach],AbsDoKorelacji_Tech[Wartość usługi_wartość])</f>
        <v>0.26218414598146661</v>
      </c>
      <c r="K809" s="57" t="s">
        <v>2485</v>
      </c>
      <c r="L809" s="57"/>
      <c r="M809" s="58">
        <f>TDIST(S809,S$792-2,2)</f>
        <v>0.17959332297043196</v>
      </c>
      <c r="N809" s="58">
        <f>TDIST(T809,T$792-2,2)</f>
        <v>1</v>
      </c>
      <c r="O809" s="58">
        <f>TDIST(U809,U$792-2,2)</f>
        <v>6.0426155994368153E-2</v>
      </c>
      <c r="Q809" s="29" t="s">
        <v>2485</v>
      </c>
      <c r="R809" s="29"/>
      <c r="S809" s="56">
        <f t="shared" si="194"/>
        <v>1.3500205387784321</v>
      </c>
      <c r="T809" s="56">
        <f t="shared" si="194"/>
        <v>8.1240384046359614E-28</v>
      </c>
      <c r="U809" s="56">
        <f t="shared" si="194"/>
        <v>1.921127005846345</v>
      </c>
    </row>
    <row r="810" spans="2:21" x14ac:dyDescent="0.45">
      <c r="E810" s="29" t="s">
        <v>2503</v>
      </c>
      <c r="G810" s="61">
        <f>CORREL(AbsDoKorelacji[Satysfakcja_wartości],AbsDoKorelacji[Zatrudnienie w 3 lata])</f>
        <v>-1.0071324637885785E-3</v>
      </c>
      <c r="H810" s="61">
        <f>CORREL(AbsDoKorelacji_NTech[Satysfakcja_wartości],AbsDoKorelacji_NTech[Zatrudnienie w 3 lata])</f>
        <v>-0.17132216340885012</v>
      </c>
      <c r="I810" s="61">
        <f>CORREL(AbsDoKorelacji_Tech[Satysfakcja_wartości],AbsDoKorelacji_Tech[Zatrudnienie w 3 lata])</f>
        <v>0.11219093348196885</v>
      </c>
      <c r="K810" s="57" t="s">
        <v>2503</v>
      </c>
      <c r="L810" s="57"/>
      <c r="M810" s="58">
        <f t="shared" ref="M810:M811" si="195">TDIST(S810,S$792-2,2)</f>
        <v>0.99128958114232724</v>
      </c>
      <c r="N810" s="58">
        <f t="shared" ref="N810:N811" si="196">TDIST(T810,T$792-2,2)</f>
        <v>0.16243806100151145</v>
      </c>
      <c r="O810" s="58">
        <f t="shared" ref="O810:O811" si="197">TDIST(U810,U$792-2,2)</f>
        <v>0.42844320369635513</v>
      </c>
      <c r="Q810" s="29" t="s">
        <v>2503</v>
      </c>
      <c r="R810" s="29"/>
      <c r="S810" s="59">
        <f>(-G810*SQRT(S$792-2))/(SQRT(1-G810^2))</f>
        <v>1.0940264428139916E-2</v>
      </c>
      <c r="T810" s="59">
        <f>(-H810*SQRT(T$792-2))/(SQRT(1-H810^2))</f>
        <v>1.4127147363694994</v>
      </c>
      <c r="U810" s="56">
        <f t="shared" ref="U810:U811" si="198">(I810*SQRT(U$792-2))/(SQRT(1-I810^2))</f>
        <v>0.79834994667917247</v>
      </c>
    </row>
    <row r="811" spans="2:21" x14ac:dyDescent="0.45">
      <c r="E811" s="29" t="s">
        <v>2504</v>
      </c>
      <c r="G811" s="61">
        <f>CORREL(AbsDoKorelacji[Wartości_po3latach],AbsDoKorelacji[Zatrudnienie w 3 lata])</f>
        <v>0.1429120984825096</v>
      </c>
      <c r="H811" s="61">
        <f>CORREL(AbsDoKorelacji_NTech[Zatrudnienie w 3 lata],AbsDoKorelacji_NTech[Wartość usługi_wartość])</f>
        <v>-0.16719160763198623</v>
      </c>
      <c r="I811" s="56">
        <f>CORREL(AbsDoKorelacji_Tech[Wartości_po3latach],AbsDoKorelacji_Tech[Zatrudnienie w 3 lata])</f>
        <v>0.30329028117331919</v>
      </c>
      <c r="K811" s="57" t="s">
        <v>2504</v>
      </c>
      <c r="L811" s="57"/>
      <c r="M811" s="58">
        <f t="shared" si="195"/>
        <v>0.11943689077687501</v>
      </c>
      <c r="N811" s="58">
        <f t="shared" si="196"/>
        <v>0.17296122519628909</v>
      </c>
      <c r="O811" s="58">
        <f t="shared" si="197"/>
        <v>2.8840600681731936E-2</v>
      </c>
      <c r="Q811" s="29" t="s">
        <v>2504</v>
      </c>
      <c r="R811" s="29"/>
      <c r="S811" s="56">
        <f t="shared" ref="S811" si="199">(G811*SQRT(S$792-2))/(SQRT(1-G811^2))</f>
        <v>1.5685230406526101</v>
      </c>
      <c r="T811" s="59">
        <f>(-H811*SQRT(T$792-2))/(SQRT(1-H811^2))</f>
        <v>1.3776624361037419</v>
      </c>
      <c r="U811" s="56">
        <f t="shared" si="198"/>
        <v>2.2505931005107738</v>
      </c>
    </row>
    <row r="813" spans="2:21" ht="199.5" x14ac:dyDescent="0.45">
      <c r="B813" t="s">
        <v>2464</v>
      </c>
      <c r="C813" s="20" t="s">
        <v>2473</v>
      </c>
      <c r="D813" s="20" t="s">
        <v>2474</v>
      </c>
      <c r="E813" t="s">
        <v>29</v>
      </c>
      <c r="F813" s="20" t="s">
        <v>2472</v>
      </c>
      <c r="G813" t="s">
        <v>2470</v>
      </c>
      <c r="H813" s="20" t="s">
        <v>2471</v>
      </c>
      <c r="I813" s="28" t="s">
        <v>86</v>
      </c>
      <c r="J813" s="49" t="s">
        <v>2477</v>
      </c>
      <c r="K813" s="28" t="s">
        <v>2071</v>
      </c>
      <c r="L813" s="20" t="s">
        <v>2478</v>
      </c>
    </row>
    <row r="814" spans="2:21" x14ac:dyDescent="0.45">
      <c r="B814" t="s">
        <v>2462</v>
      </c>
      <c r="C814">
        <v>1</v>
      </c>
      <c r="D814">
        <v>1</v>
      </c>
      <c r="E814">
        <v>0</v>
      </c>
      <c r="F814">
        <f>IF(AbsDoKorelacji_Tech[[#This Row],[CzyUczelniaTechniczna]]="Techniczna",1,0)</f>
        <v>1</v>
      </c>
      <c r="G814">
        <v>3500</v>
      </c>
      <c r="H814">
        <v>4500</v>
      </c>
      <c r="I814" t="s">
        <v>151</v>
      </c>
      <c r="J814">
        <f>VLOOKUP(AbsDoKorelacji_Tech[[#This Row],[Moja satysfakcja z (efektów) usług edukacyjnych ocenianej uczelni jest wysoka.]],SkalaLikerta[],2,0)</f>
        <v>4</v>
      </c>
      <c r="K814" t="s">
        <v>151</v>
      </c>
      <c r="L814">
        <f>VLOOKUP(AbsDoKorelacji_Tech[[#This Row],[Usługi edukacyjne ocenianej uczelni mają wysoką wartość (okazja / szansa rozwoju własnego lub kariery).3]],SkalaLikerta[],2,0)</f>
        <v>4</v>
      </c>
    </row>
    <row r="815" spans="2:21" x14ac:dyDescent="0.45">
      <c r="B815" t="s">
        <v>2462</v>
      </c>
      <c r="C815">
        <v>1</v>
      </c>
      <c r="D815">
        <v>1</v>
      </c>
      <c r="E815">
        <v>0</v>
      </c>
      <c r="F815">
        <f>IF(AbsDoKorelacji_Tech[[#This Row],[CzyUczelniaTechniczna]]="Techniczna",1,0)</f>
        <v>1</v>
      </c>
      <c r="G815">
        <v>3500</v>
      </c>
      <c r="H815">
        <v>5500</v>
      </c>
      <c r="I815" t="s">
        <v>169</v>
      </c>
      <c r="J815">
        <f>VLOOKUP(AbsDoKorelacji_Tech[[#This Row],[Moja satysfakcja z (efektów) usług edukacyjnych ocenianej uczelni jest wysoka.]],SkalaLikerta[],2,0)</f>
        <v>7</v>
      </c>
      <c r="K815" t="s">
        <v>169</v>
      </c>
      <c r="L815">
        <f>VLOOKUP(AbsDoKorelacji_Tech[[#This Row],[Usługi edukacyjne ocenianej uczelni mają wysoką wartość (okazja / szansa rozwoju własnego lub kariery).3]],SkalaLikerta[],2,0)</f>
        <v>7</v>
      </c>
    </row>
    <row r="816" spans="2:21" x14ac:dyDescent="0.45">
      <c r="B816" t="s">
        <v>2462</v>
      </c>
      <c r="C816">
        <v>1</v>
      </c>
      <c r="D816">
        <v>1</v>
      </c>
      <c r="E816">
        <v>0</v>
      </c>
      <c r="F816">
        <f>IF(AbsDoKorelacji_Tech[[#This Row],[CzyUczelniaTechniczna]]="Techniczna",1,0)</f>
        <v>1</v>
      </c>
      <c r="G816">
        <v>4500</v>
      </c>
      <c r="H816">
        <v>4500</v>
      </c>
      <c r="I816" t="s">
        <v>150</v>
      </c>
      <c r="J816">
        <f>VLOOKUP(AbsDoKorelacji_Tech[[#This Row],[Moja satysfakcja z (efektów) usług edukacyjnych ocenianej uczelni jest wysoka.]],SkalaLikerta[],2,0)</f>
        <v>6</v>
      </c>
      <c r="K816" t="s">
        <v>150</v>
      </c>
      <c r="L816">
        <f>VLOOKUP(AbsDoKorelacji_Tech[[#This Row],[Usługi edukacyjne ocenianej uczelni mają wysoką wartość (okazja / szansa rozwoju własnego lub kariery).3]],SkalaLikerta[],2,0)</f>
        <v>6</v>
      </c>
    </row>
    <row r="817" spans="2:12" x14ac:dyDescent="0.45">
      <c r="B817" t="s">
        <v>2462</v>
      </c>
      <c r="C817">
        <v>1</v>
      </c>
      <c r="D817">
        <v>1</v>
      </c>
      <c r="E817">
        <v>1</v>
      </c>
      <c r="F817">
        <f>IF(AbsDoKorelacji_Tech[[#This Row],[CzyUczelniaTechniczna]]="Techniczna",1,0)</f>
        <v>1</v>
      </c>
      <c r="G817">
        <v>1500</v>
      </c>
      <c r="H817">
        <v>3500</v>
      </c>
      <c r="I817" t="s">
        <v>150</v>
      </c>
      <c r="J817">
        <f>VLOOKUP(AbsDoKorelacji_Tech[[#This Row],[Moja satysfakcja z (efektów) usług edukacyjnych ocenianej uczelni jest wysoka.]],SkalaLikerta[],2,0)</f>
        <v>6</v>
      </c>
      <c r="K817" t="s">
        <v>150</v>
      </c>
      <c r="L817">
        <f>VLOOKUP(AbsDoKorelacji_Tech[[#This Row],[Usługi edukacyjne ocenianej uczelni mają wysoką wartość (okazja / szansa rozwoju własnego lub kariery).3]],SkalaLikerta[],2,0)</f>
        <v>6</v>
      </c>
    </row>
    <row r="818" spans="2:12" x14ac:dyDescent="0.45">
      <c r="B818" t="s">
        <v>2462</v>
      </c>
      <c r="C818">
        <v>1</v>
      </c>
      <c r="D818">
        <v>1</v>
      </c>
      <c r="E818">
        <v>1</v>
      </c>
      <c r="F818">
        <f>IF(AbsDoKorelacji_Tech[[#This Row],[CzyUczelniaTechniczna]]="Techniczna",1,0)</f>
        <v>1</v>
      </c>
      <c r="G818">
        <v>3500</v>
      </c>
      <c r="H818" t="s">
        <v>2329</v>
      </c>
      <c r="I818" t="s">
        <v>150</v>
      </c>
      <c r="J818">
        <f>VLOOKUP(AbsDoKorelacji_Tech[[#This Row],[Moja satysfakcja z (efektów) usług edukacyjnych ocenianej uczelni jest wysoka.]],SkalaLikerta[],2,0)</f>
        <v>6</v>
      </c>
      <c r="K818" t="s">
        <v>151</v>
      </c>
      <c r="L818">
        <f>VLOOKUP(AbsDoKorelacji_Tech[[#This Row],[Usługi edukacyjne ocenianej uczelni mają wysoką wartość (okazja / szansa rozwoju własnego lub kariery).3]],SkalaLikerta[],2,0)</f>
        <v>4</v>
      </c>
    </row>
    <row r="819" spans="2:12" x14ac:dyDescent="0.45">
      <c r="B819" t="s">
        <v>2462</v>
      </c>
      <c r="C819">
        <v>1</v>
      </c>
      <c r="D819">
        <v>1</v>
      </c>
      <c r="E819">
        <v>1</v>
      </c>
      <c r="F819">
        <f>IF(AbsDoKorelacji_Tech[[#This Row],[CzyUczelniaTechniczna]]="Techniczna",1,0)</f>
        <v>1</v>
      </c>
      <c r="G819">
        <v>2500</v>
      </c>
      <c r="H819">
        <v>4500</v>
      </c>
      <c r="I819" t="s">
        <v>128</v>
      </c>
      <c r="J819">
        <f>VLOOKUP(AbsDoKorelacji_Tech[[#This Row],[Moja satysfakcja z (efektów) usług edukacyjnych ocenianej uczelni jest wysoka.]],SkalaLikerta[],2,0)</f>
        <v>3</v>
      </c>
      <c r="K819" t="s">
        <v>151</v>
      </c>
      <c r="L819">
        <f>VLOOKUP(AbsDoKorelacji_Tech[[#This Row],[Usługi edukacyjne ocenianej uczelni mają wysoką wartość (okazja / szansa rozwoju własnego lub kariery).3]],SkalaLikerta[],2,0)</f>
        <v>4</v>
      </c>
    </row>
    <row r="820" spans="2:12" x14ac:dyDescent="0.45">
      <c r="B820" t="s">
        <v>2462</v>
      </c>
      <c r="C820">
        <v>1</v>
      </c>
      <c r="D820">
        <v>1</v>
      </c>
      <c r="E820">
        <v>1</v>
      </c>
      <c r="F820">
        <f>IF(AbsDoKorelacji_Tech[[#This Row],[CzyUczelniaTechniczna]]="Techniczna",1,0)</f>
        <v>1</v>
      </c>
      <c r="G820">
        <v>2500</v>
      </c>
      <c r="H820">
        <v>4500</v>
      </c>
      <c r="I820" t="s">
        <v>150</v>
      </c>
      <c r="J820">
        <f>VLOOKUP(AbsDoKorelacji_Tech[[#This Row],[Moja satysfakcja z (efektów) usług edukacyjnych ocenianej uczelni jest wysoka.]],SkalaLikerta[],2,0)</f>
        <v>6</v>
      </c>
      <c r="K820" t="s">
        <v>150</v>
      </c>
      <c r="L820">
        <f>VLOOKUP(AbsDoKorelacji_Tech[[#This Row],[Usługi edukacyjne ocenianej uczelni mają wysoką wartość (okazja / szansa rozwoju własnego lub kariery).3]],SkalaLikerta[],2,0)</f>
        <v>6</v>
      </c>
    </row>
    <row r="821" spans="2:12" x14ac:dyDescent="0.45">
      <c r="B821" t="s">
        <v>2462</v>
      </c>
      <c r="C821">
        <v>1</v>
      </c>
      <c r="D821">
        <v>1</v>
      </c>
      <c r="E821">
        <v>1</v>
      </c>
      <c r="F821">
        <f>IF(AbsDoKorelacji_Tech[[#This Row],[CzyUczelniaTechniczna]]="Techniczna",1,0)</f>
        <v>1</v>
      </c>
      <c r="G821">
        <v>1500</v>
      </c>
      <c r="H821">
        <v>2500</v>
      </c>
      <c r="I821" t="s">
        <v>236</v>
      </c>
      <c r="J821">
        <f>VLOOKUP(AbsDoKorelacji_Tech[[#This Row],[Moja satysfakcja z (efektów) usług edukacyjnych ocenianej uczelni jest wysoka.]],SkalaLikerta[],2,0)</f>
        <v>2</v>
      </c>
      <c r="K821" t="s">
        <v>236</v>
      </c>
      <c r="L821">
        <f>VLOOKUP(AbsDoKorelacji_Tech[[#This Row],[Usługi edukacyjne ocenianej uczelni mają wysoką wartość (okazja / szansa rozwoju własnego lub kariery).3]],SkalaLikerta[],2,0)</f>
        <v>2</v>
      </c>
    </row>
    <row r="822" spans="2:12" x14ac:dyDescent="0.45">
      <c r="B822" t="s">
        <v>2462</v>
      </c>
      <c r="C822">
        <v>1</v>
      </c>
      <c r="D822">
        <v>1</v>
      </c>
      <c r="E822">
        <v>1</v>
      </c>
      <c r="F822">
        <f>IF(AbsDoKorelacji_Tech[[#This Row],[CzyUczelniaTechniczna]]="Techniczna",1,0)</f>
        <v>1</v>
      </c>
      <c r="G822">
        <v>1500</v>
      </c>
      <c r="H822">
        <v>3500</v>
      </c>
      <c r="I822" t="s">
        <v>162</v>
      </c>
      <c r="J822">
        <f>VLOOKUP(AbsDoKorelacji_Tech[[#This Row],[Moja satysfakcja z (efektów) usług edukacyjnych ocenianej uczelni jest wysoka.]],SkalaLikerta[],2,0)</f>
        <v>5</v>
      </c>
      <c r="K822" t="s">
        <v>150</v>
      </c>
      <c r="L822">
        <f>VLOOKUP(AbsDoKorelacji_Tech[[#This Row],[Usługi edukacyjne ocenianej uczelni mają wysoką wartość (okazja / szansa rozwoju własnego lub kariery).3]],SkalaLikerta[],2,0)</f>
        <v>6</v>
      </c>
    </row>
    <row r="823" spans="2:12" x14ac:dyDescent="0.45">
      <c r="B823" t="s">
        <v>2462</v>
      </c>
      <c r="C823">
        <v>1</v>
      </c>
      <c r="D823">
        <v>1</v>
      </c>
      <c r="E823">
        <v>2</v>
      </c>
      <c r="F823">
        <f>IF(AbsDoKorelacji_Tech[[#This Row],[CzyUczelniaTechniczna]]="Techniczna",1,0)</f>
        <v>1</v>
      </c>
      <c r="G823">
        <v>2500</v>
      </c>
      <c r="H823">
        <v>3500</v>
      </c>
      <c r="I823" t="s">
        <v>150</v>
      </c>
      <c r="J823">
        <f>VLOOKUP(AbsDoKorelacji_Tech[[#This Row],[Moja satysfakcja z (efektów) usług edukacyjnych ocenianej uczelni jest wysoka.]],SkalaLikerta[],2,0)</f>
        <v>6</v>
      </c>
      <c r="K823" t="s">
        <v>150</v>
      </c>
      <c r="L823">
        <f>VLOOKUP(AbsDoKorelacji_Tech[[#This Row],[Usługi edukacyjne ocenianej uczelni mają wysoką wartość (okazja / szansa rozwoju własnego lub kariery).3]],SkalaLikerta[],2,0)</f>
        <v>6</v>
      </c>
    </row>
    <row r="824" spans="2:12" x14ac:dyDescent="0.45">
      <c r="B824" t="s">
        <v>2462</v>
      </c>
      <c r="C824">
        <v>1</v>
      </c>
      <c r="D824">
        <v>1</v>
      </c>
      <c r="E824">
        <v>2</v>
      </c>
      <c r="F824">
        <f>IF(AbsDoKorelacji_Tech[[#This Row],[CzyUczelniaTechniczna]]="Techniczna",1,0)</f>
        <v>1</v>
      </c>
      <c r="G824">
        <v>2500</v>
      </c>
      <c r="H824">
        <v>4500</v>
      </c>
      <c r="I824" t="s">
        <v>169</v>
      </c>
      <c r="J824">
        <f>VLOOKUP(AbsDoKorelacji_Tech[[#This Row],[Moja satysfakcja z (efektów) usług edukacyjnych ocenianej uczelni jest wysoka.]],SkalaLikerta[],2,0)</f>
        <v>7</v>
      </c>
      <c r="K824" t="s">
        <v>169</v>
      </c>
      <c r="L824">
        <f>VLOOKUP(AbsDoKorelacji_Tech[[#This Row],[Usługi edukacyjne ocenianej uczelni mają wysoką wartość (okazja / szansa rozwoju własnego lub kariery).3]],SkalaLikerta[],2,0)</f>
        <v>7</v>
      </c>
    </row>
    <row r="825" spans="2:12" x14ac:dyDescent="0.45">
      <c r="B825" t="s">
        <v>2462</v>
      </c>
      <c r="C825">
        <v>1</v>
      </c>
      <c r="D825">
        <v>1</v>
      </c>
      <c r="E825">
        <v>4</v>
      </c>
      <c r="F825">
        <f>IF(AbsDoKorelacji_Tech[[#This Row],[CzyUczelniaTechniczna]]="Techniczna",1,0)</f>
        <v>1</v>
      </c>
      <c r="G825">
        <v>3500</v>
      </c>
      <c r="H825">
        <v>3500</v>
      </c>
      <c r="I825" t="s">
        <v>169</v>
      </c>
      <c r="J825">
        <f>VLOOKUP(AbsDoKorelacji_Tech[[#This Row],[Moja satysfakcja z (efektów) usług edukacyjnych ocenianej uczelni jest wysoka.]],SkalaLikerta[],2,0)</f>
        <v>7</v>
      </c>
      <c r="K825" t="s">
        <v>150</v>
      </c>
      <c r="L825">
        <f>VLOOKUP(AbsDoKorelacji_Tech[[#This Row],[Usługi edukacyjne ocenianej uczelni mają wysoką wartość (okazja / szansa rozwoju własnego lub kariery).3]],SkalaLikerta[],2,0)</f>
        <v>6</v>
      </c>
    </row>
    <row r="826" spans="2:12" x14ac:dyDescent="0.45">
      <c r="B826" t="s">
        <v>2462</v>
      </c>
      <c r="C826">
        <v>1</v>
      </c>
      <c r="D826">
        <v>1</v>
      </c>
      <c r="E826">
        <v>4</v>
      </c>
      <c r="F826">
        <f>IF(AbsDoKorelacji_Tech[[#This Row],[CzyUczelniaTechniczna]]="Techniczna",1,0)</f>
        <v>1</v>
      </c>
      <c r="G826">
        <v>2500</v>
      </c>
      <c r="H826">
        <v>3500</v>
      </c>
      <c r="I826" t="s">
        <v>150</v>
      </c>
      <c r="J826">
        <f>VLOOKUP(AbsDoKorelacji_Tech[[#This Row],[Moja satysfakcja z (efektów) usług edukacyjnych ocenianej uczelni jest wysoka.]],SkalaLikerta[],2,0)</f>
        <v>6</v>
      </c>
      <c r="K826" t="s">
        <v>151</v>
      </c>
      <c r="L826">
        <f>VLOOKUP(AbsDoKorelacji_Tech[[#This Row],[Usługi edukacyjne ocenianej uczelni mają wysoką wartość (okazja / szansa rozwoju własnego lub kariery).3]],SkalaLikerta[],2,0)</f>
        <v>4</v>
      </c>
    </row>
    <row r="827" spans="2:12" x14ac:dyDescent="0.45">
      <c r="B827" t="s">
        <v>2462</v>
      </c>
      <c r="C827">
        <v>1</v>
      </c>
      <c r="D827">
        <v>1</v>
      </c>
      <c r="E827">
        <v>5</v>
      </c>
      <c r="F827">
        <f>IF(AbsDoKorelacji_Tech[[#This Row],[CzyUczelniaTechniczna]]="Techniczna",1,0)</f>
        <v>1</v>
      </c>
      <c r="G827">
        <v>2500</v>
      </c>
      <c r="H827">
        <v>2500</v>
      </c>
      <c r="I827" t="s">
        <v>128</v>
      </c>
      <c r="J827">
        <f>VLOOKUP(AbsDoKorelacji_Tech[[#This Row],[Moja satysfakcja z (efektów) usług edukacyjnych ocenianej uczelni jest wysoka.]],SkalaLikerta[],2,0)</f>
        <v>3</v>
      </c>
      <c r="K827" t="s">
        <v>151</v>
      </c>
      <c r="L827">
        <f>VLOOKUP(AbsDoKorelacji_Tech[[#This Row],[Usługi edukacyjne ocenianej uczelni mają wysoką wartość (okazja / szansa rozwoju własnego lub kariery).3]],SkalaLikerta[],2,0)</f>
        <v>4</v>
      </c>
    </row>
    <row r="828" spans="2:12" x14ac:dyDescent="0.45">
      <c r="B828" t="s">
        <v>2462</v>
      </c>
      <c r="C828">
        <v>1</v>
      </c>
      <c r="D828">
        <v>1</v>
      </c>
      <c r="E828">
        <v>6</v>
      </c>
      <c r="F828">
        <f>IF(AbsDoKorelacji_Tech[[#This Row],[CzyUczelniaTechniczna]]="Techniczna",1,0)</f>
        <v>1</v>
      </c>
      <c r="G828">
        <v>1500</v>
      </c>
      <c r="H828">
        <v>2500</v>
      </c>
      <c r="I828" t="s">
        <v>236</v>
      </c>
      <c r="J828">
        <f>VLOOKUP(AbsDoKorelacji_Tech[[#This Row],[Moja satysfakcja z (efektów) usług edukacyjnych ocenianej uczelni jest wysoka.]],SkalaLikerta[],2,0)</f>
        <v>2</v>
      </c>
      <c r="K828" t="s">
        <v>128</v>
      </c>
      <c r="L828">
        <f>VLOOKUP(AbsDoKorelacji_Tech[[#This Row],[Usługi edukacyjne ocenianej uczelni mają wysoką wartość (okazja / szansa rozwoju własnego lub kariery).3]],SkalaLikerta[],2,0)</f>
        <v>3</v>
      </c>
    </row>
    <row r="829" spans="2:12" x14ac:dyDescent="0.45">
      <c r="B829" t="s">
        <v>2462</v>
      </c>
      <c r="C829">
        <v>0</v>
      </c>
      <c r="D829">
        <v>0</v>
      </c>
      <c r="E829">
        <v>34</v>
      </c>
      <c r="F829">
        <f>IF(AbsDoKorelacji_Tech[[#This Row],[CzyUczelniaTechniczna]]="Techniczna",1,0)</f>
        <v>1</v>
      </c>
      <c r="G829">
        <v>500</v>
      </c>
      <c r="H829">
        <v>500</v>
      </c>
      <c r="I829" t="s">
        <v>236</v>
      </c>
      <c r="J829">
        <f>VLOOKUP(AbsDoKorelacji_Tech[[#This Row],[Moja satysfakcja z (efektów) usług edukacyjnych ocenianej uczelni jest wysoka.]],SkalaLikerta[],2,0)</f>
        <v>2</v>
      </c>
      <c r="K829" t="s">
        <v>236</v>
      </c>
      <c r="L829">
        <f>VLOOKUP(AbsDoKorelacji_Tech[[#This Row],[Usługi edukacyjne ocenianej uczelni mają wysoką wartość (okazja / szansa rozwoju własnego lub kariery).3]],SkalaLikerta[],2,0)</f>
        <v>2</v>
      </c>
    </row>
    <row r="830" spans="2:12" x14ac:dyDescent="0.45">
      <c r="B830" t="s">
        <v>2462</v>
      </c>
      <c r="C830">
        <v>0</v>
      </c>
      <c r="D830">
        <v>0</v>
      </c>
      <c r="E830">
        <v>36</v>
      </c>
      <c r="F830">
        <f>IF(AbsDoKorelacji_Tech[[#This Row],[CzyUczelniaTechniczna]]="Techniczna",1,0)</f>
        <v>1</v>
      </c>
      <c r="G830" t="s">
        <v>2329</v>
      </c>
      <c r="H830" t="s">
        <v>2329</v>
      </c>
      <c r="I830" t="s">
        <v>150</v>
      </c>
      <c r="J830">
        <f>VLOOKUP(AbsDoKorelacji_Tech[[#This Row],[Moja satysfakcja z (efektów) usług edukacyjnych ocenianej uczelni jest wysoka.]],SkalaLikerta[],2,0)</f>
        <v>6</v>
      </c>
      <c r="K830" t="s">
        <v>150</v>
      </c>
      <c r="L830">
        <f>VLOOKUP(AbsDoKorelacji_Tech[[#This Row],[Usługi edukacyjne ocenianej uczelni mają wysoką wartość (okazja / szansa rozwoju własnego lub kariery).3]],SkalaLikerta[],2,0)</f>
        <v>6</v>
      </c>
    </row>
    <row r="831" spans="2:12" x14ac:dyDescent="0.45">
      <c r="B831" t="s">
        <v>2462</v>
      </c>
      <c r="C831">
        <v>1</v>
      </c>
      <c r="D831">
        <v>1</v>
      </c>
      <c r="E831" t="s">
        <v>1340</v>
      </c>
      <c r="F831">
        <f>IF(AbsDoKorelacji_Tech[[#This Row],[CzyUczelniaTechniczna]]="Techniczna",1,0)</f>
        <v>1</v>
      </c>
      <c r="G831">
        <v>1500</v>
      </c>
      <c r="H831">
        <v>5500</v>
      </c>
      <c r="I831" t="s">
        <v>162</v>
      </c>
      <c r="J831">
        <f>VLOOKUP(AbsDoKorelacji_Tech[[#This Row],[Moja satysfakcja z (efektów) usług edukacyjnych ocenianej uczelni jest wysoka.]],SkalaLikerta[],2,0)</f>
        <v>5</v>
      </c>
      <c r="K831" t="s">
        <v>162</v>
      </c>
      <c r="L831">
        <f>VLOOKUP(AbsDoKorelacji_Tech[[#This Row],[Usługi edukacyjne ocenianej uczelni mają wysoką wartość (okazja / szansa rozwoju własnego lub kariery).3]],SkalaLikerta[],2,0)</f>
        <v>5</v>
      </c>
    </row>
    <row r="832" spans="2:12" x14ac:dyDescent="0.45">
      <c r="B832" t="s">
        <v>2462</v>
      </c>
      <c r="C832">
        <v>1</v>
      </c>
      <c r="D832">
        <v>1</v>
      </c>
      <c r="E832" t="s">
        <v>1340</v>
      </c>
      <c r="F832">
        <f>IF(AbsDoKorelacji_Tech[[#This Row],[CzyUczelniaTechniczna]]="Techniczna",1,0)</f>
        <v>1</v>
      </c>
      <c r="G832">
        <v>2500</v>
      </c>
      <c r="H832">
        <v>3500</v>
      </c>
      <c r="I832" t="s">
        <v>162</v>
      </c>
      <c r="J832">
        <f>VLOOKUP(AbsDoKorelacji_Tech[[#This Row],[Moja satysfakcja z (efektów) usług edukacyjnych ocenianej uczelni jest wysoka.]],SkalaLikerta[],2,0)</f>
        <v>5</v>
      </c>
      <c r="K832" t="s">
        <v>150</v>
      </c>
      <c r="L832">
        <f>VLOOKUP(AbsDoKorelacji_Tech[[#This Row],[Usługi edukacyjne ocenianej uczelni mają wysoką wartość (okazja / szansa rozwoju własnego lub kariery).3]],SkalaLikerta[],2,0)</f>
        <v>6</v>
      </c>
    </row>
    <row r="833" spans="2:12" x14ac:dyDescent="0.45">
      <c r="B833" t="s">
        <v>2462</v>
      </c>
      <c r="C833">
        <v>1</v>
      </c>
      <c r="D833">
        <v>1</v>
      </c>
      <c r="E833" t="s">
        <v>898</v>
      </c>
      <c r="F833">
        <f>IF(AbsDoKorelacji_Tech[[#This Row],[CzyUczelniaTechniczna]]="Techniczna",1,0)</f>
        <v>1</v>
      </c>
      <c r="G833">
        <v>3500</v>
      </c>
      <c r="H833">
        <v>3500</v>
      </c>
      <c r="I833" t="s">
        <v>150</v>
      </c>
      <c r="J833">
        <f>VLOOKUP(AbsDoKorelacji_Tech[[#This Row],[Moja satysfakcja z (efektów) usług edukacyjnych ocenianej uczelni jest wysoka.]],SkalaLikerta[],2,0)</f>
        <v>6</v>
      </c>
      <c r="K833" t="s">
        <v>162</v>
      </c>
      <c r="L833">
        <f>VLOOKUP(AbsDoKorelacji_Tech[[#This Row],[Usługi edukacyjne ocenianej uczelni mają wysoką wartość (okazja / szansa rozwoju własnego lub kariery).3]],SkalaLikerta[],2,0)</f>
        <v>5</v>
      </c>
    </row>
    <row r="834" spans="2:12" x14ac:dyDescent="0.45">
      <c r="B834" t="s">
        <v>2462</v>
      </c>
      <c r="C834">
        <v>1</v>
      </c>
      <c r="D834">
        <v>1</v>
      </c>
      <c r="E834" t="s">
        <v>1765</v>
      </c>
      <c r="F834">
        <f>IF(AbsDoKorelacji_Tech[[#This Row],[CzyUczelniaTechniczna]]="Techniczna",1,0)</f>
        <v>1</v>
      </c>
      <c r="G834">
        <v>2500</v>
      </c>
      <c r="H834">
        <v>4500</v>
      </c>
      <c r="I834" t="s">
        <v>129</v>
      </c>
      <c r="J834">
        <f>VLOOKUP(AbsDoKorelacji_Tech[[#This Row],[Moja satysfakcja z (efektów) usług edukacyjnych ocenianej uczelni jest wysoka.]],SkalaLikerta[],2,0)</f>
        <v>1</v>
      </c>
      <c r="K834" t="s">
        <v>129</v>
      </c>
      <c r="L834">
        <f>VLOOKUP(AbsDoKorelacji_Tech[[#This Row],[Usługi edukacyjne ocenianej uczelni mają wysoką wartość (okazja / szansa rozwoju własnego lub kariery).3]],SkalaLikerta[],2,0)</f>
        <v>1</v>
      </c>
    </row>
    <row r="835" spans="2:12" x14ac:dyDescent="0.45">
      <c r="B835" t="s">
        <v>2462</v>
      </c>
      <c r="C835">
        <v>1</v>
      </c>
      <c r="D835">
        <v>1</v>
      </c>
      <c r="E835" t="s">
        <v>130</v>
      </c>
      <c r="F835">
        <f>IF(AbsDoKorelacji_Tech[[#This Row],[CzyUczelniaTechniczna]]="Techniczna",1,0)</f>
        <v>1</v>
      </c>
      <c r="G835">
        <v>1500</v>
      </c>
      <c r="H835" t="s">
        <v>2329</v>
      </c>
      <c r="I835" t="s">
        <v>128</v>
      </c>
      <c r="J835">
        <f>VLOOKUP(AbsDoKorelacji_Tech[[#This Row],[Moja satysfakcja z (efektów) usług edukacyjnych ocenianej uczelni jest wysoka.]],SkalaLikerta[],2,0)</f>
        <v>3</v>
      </c>
      <c r="K835" t="s">
        <v>128</v>
      </c>
      <c r="L835">
        <f>VLOOKUP(AbsDoKorelacji_Tech[[#This Row],[Usługi edukacyjne ocenianej uczelni mają wysoką wartość (okazja / szansa rozwoju własnego lub kariery).3]],SkalaLikerta[],2,0)</f>
        <v>3</v>
      </c>
    </row>
    <row r="836" spans="2:12" x14ac:dyDescent="0.45">
      <c r="B836" t="s">
        <v>2462</v>
      </c>
      <c r="C836">
        <v>0</v>
      </c>
      <c r="D836">
        <v>1</v>
      </c>
      <c r="E836" t="s">
        <v>1623</v>
      </c>
      <c r="F836">
        <f>IF(AbsDoKorelacji_Tech[[#This Row],[CzyUczelniaTechniczna]]="Techniczna",1,0)</f>
        <v>1</v>
      </c>
      <c r="G836" t="s">
        <v>2329</v>
      </c>
      <c r="H836">
        <v>2500</v>
      </c>
      <c r="I836" t="s">
        <v>150</v>
      </c>
      <c r="J836">
        <f>VLOOKUP(AbsDoKorelacji_Tech[[#This Row],[Moja satysfakcja z (efektów) usług edukacyjnych ocenianej uczelni jest wysoka.]],SkalaLikerta[],2,0)</f>
        <v>6</v>
      </c>
      <c r="K836" t="s">
        <v>150</v>
      </c>
      <c r="L836">
        <f>VLOOKUP(AbsDoKorelacji_Tech[[#This Row],[Usługi edukacyjne ocenianej uczelni mają wysoką wartość (okazja / szansa rozwoju własnego lub kariery).3]],SkalaLikerta[],2,0)</f>
        <v>6</v>
      </c>
    </row>
    <row r="837" spans="2:12" x14ac:dyDescent="0.45">
      <c r="B837" t="s">
        <v>2462</v>
      </c>
      <c r="C837">
        <v>1</v>
      </c>
      <c r="D837">
        <v>1</v>
      </c>
      <c r="E837" t="s">
        <v>1416</v>
      </c>
      <c r="F837">
        <f>IF(AbsDoKorelacji_Tech[[#This Row],[CzyUczelniaTechniczna]]="Techniczna",1,0)</f>
        <v>1</v>
      </c>
      <c r="G837">
        <v>1500</v>
      </c>
      <c r="H837">
        <v>3500</v>
      </c>
      <c r="I837" t="s">
        <v>169</v>
      </c>
      <c r="J837">
        <f>VLOOKUP(AbsDoKorelacji_Tech[[#This Row],[Moja satysfakcja z (efektów) usług edukacyjnych ocenianej uczelni jest wysoka.]],SkalaLikerta[],2,0)</f>
        <v>7</v>
      </c>
      <c r="K837" t="s">
        <v>169</v>
      </c>
      <c r="L837">
        <f>VLOOKUP(AbsDoKorelacji_Tech[[#This Row],[Usługi edukacyjne ocenianej uczelni mają wysoką wartość (okazja / szansa rozwoju własnego lub kariery).3]],SkalaLikerta[],2,0)</f>
        <v>7</v>
      </c>
    </row>
    <row r="838" spans="2:12" x14ac:dyDescent="0.45">
      <c r="B838" t="s">
        <v>2462</v>
      </c>
      <c r="C838">
        <v>1</v>
      </c>
      <c r="D838">
        <v>1</v>
      </c>
      <c r="E838" t="s">
        <v>1884</v>
      </c>
      <c r="F838">
        <f>IF(AbsDoKorelacji_Tech[[#This Row],[CzyUczelniaTechniczna]]="Techniczna",1,0)</f>
        <v>1</v>
      </c>
      <c r="G838">
        <v>1500</v>
      </c>
      <c r="H838">
        <v>3500</v>
      </c>
      <c r="I838" t="s">
        <v>169</v>
      </c>
      <c r="J838">
        <f>VLOOKUP(AbsDoKorelacji_Tech[[#This Row],[Moja satysfakcja z (efektów) usług edukacyjnych ocenianej uczelni jest wysoka.]],SkalaLikerta[],2,0)</f>
        <v>7</v>
      </c>
      <c r="K838" t="s">
        <v>169</v>
      </c>
      <c r="L838">
        <f>VLOOKUP(AbsDoKorelacji_Tech[[#This Row],[Usługi edukacyjne ocenianej uczelni mają wysoką wartość (okazja / szansa rozwoju własnego lub kariery).3]],SkalaLikerta[],2,0)</f>
        <v>7</v>
      </c>
    </row>
    <row r="839" spans="2:12" x14ac:dyDescent="0.45">
      <c r="B839" t="s">
        <v>2462</v>
      </c>
      <c r="C839">
        <v>0</v>
      </c>
      <c r="D839">
        <v>0</v>
      </c>
      <c r="E839" t="s">
        <v>252</v>
      </c>
      <c r="F839">
        <f>IF(AbsDoKorelacji_Tech[[#This Row],[CzyUczelniaTechniczna]]="Techniczna",1,0)</f>
        <v>1</v>
      </c>
      <c r="G839" t="s">
        <v>2329</v>
      </c>
      <c r="H839" t="s">
        <v>2329</v>
      </c>
      <c r="I839" t="s">
        <v>162</v>
      </c>
      <c r="J839">
        <f>VLOOKUP(AbsDoKorelacji_Tech[[#This Row],[Moja satysfakcja z (efektów) usług edukacyjnych ocenianej uczelni jest wysoka.]],SkalaLikerta[],2,0)</f>
        <v>5</v>
      </c>
      <c r="K839" t="s">
        <v>162</v>
      </c>
      <c r="L839">
        <f>VLOOKUP(AbsDoKorelacji_Tech[[#This Row],[Usługi edukacyjne ocenianej uczelni mają wysoką wartość (okazja / szansa rozwoju własnego lub kariery).3]],SkalaLikerta[],2,0)</f>
        <v>5</v>
      </c>
    </row>
    <row r="840" spans="2:12" x14ac:dyDescent="0.45">
      <c r="B840" t="s">
        <v>2462</v>
      </c>
      <c r="C840">
        <v>1</v>
      </c>
      <c r="D840">
        <v>1</v>
      </c>
      <c r="E840" t="s">
        <v>193</v>
      </c>
      <c r="F840">
        <f>IF(AbsDoKorelacji_Tech[[#This Row],[CzyUczelniaTechniczna]]="Techniczna",1,0)</f>
        <v>1</v>
      </c>
      <c r="G840">
        <v>10500</v>
      </c>
      <c r="H840">
        <v>10500</v>
      </c>
      <c r="I840" t="s">
        <v>150</v>
      </c>
      <c r="J840">
        <f>VLOOKUP(AbsDoKorelacji_Tech[[#This Row],[Moja satysfakcja z (efektów) usług edukacyjnych ocenianej uczelni jest wysoka.]],SkalaLikerta[],2,0)</f>
        <v>6</v>
      </c>
      <c r="K840" t="s">
        <v>150</v>
      </c>
      <c r="L840">
        <f>VLOOKUP(AbsDoKorelacji_Tech[[#This Row],[Usługi edukacyjne ocenianej uczelni mają wysoką wartość (okazja / szansa rozwoju własnego lub kariery).3]],SkalaLikerta[],2,0)</f>
        <v>6</v>
      </c>
    </row>
    <row r="841" spans="2:12" x14ac:dyDescent="0.45">
      <c r="B841" t="s">
        <v>2462</v>
      </c>
      <c r="C841">
        <v>1</v>
      </c>
      <c r="D841">
        <v>1</v>
      </c>
      <c r="E841" t="s">
        <v>1168</v>
      </c>
      <c r="F841">
        <f>IF(AbsDoKorelacji_Tech[[#This Row],[CzyUczelniaTechniczna]]="Techniczna",1,0)</f>
        <v>1</v>
      </c>
      <c r="G841" t="s">
        <v>2329</v>
      </c>
      <c r="H841" t="s">
        <v>2329</v>
      </c>
      <c r="I841" t="s">
        <v>169</v>
      </c>
      <c r="J841">
        <f>VLOOKUP(AbsDoKorelacji_Tech[[#This Row],[Moja satysfakcja z (efektów) usług edukacyjnych ocenianej uczelni jest wysoka.]],SkalaLikerta[],2,0)</f>
        <v>7</v>
      </c>
      <c r="K841" t="s">
        <v>169</v>
      </c>
      <c r="L841">
        <f>VLOOKUP(AbsDoKorelacji_Tech[[#This Row],[Usługi edukacyjne ocenianej uczelni mają wysoką wartość (okazja / szansa rozwoju własnego lub kariery).3]],SkalaLikerta[],2,0)</f>
        <v>7</v>
      </c>
    </row>
    <row r="842" spans="2:12" x14ac:dyDescent="0.45">
      <c r="B842" t="s">
        <v>2462</v>
      </c>
      <c r="C842">
        <v>1</v>
      </c>
      <c r="D842">
        <v>1</v>
      </c>
      <c r="E842" t="s">
        <v>1559</v>
      </c>
      <c r="F842">
        <f>IF(AbsDoKorelacji_Tech[[#This Row],[CzyUczelniaTechniczna]]="Techniczna",1,0)</f>
        <v>1</v>
      </c>
      <c r="G842" t="s">
        <v>2329</v>
      </c>
      <c r="H842" t="s">
        <v>2329</v>
      </c>
      <c r="I842" t="s">
        <v>150</v>
      </c>
      <c r="J842">
        <f>VLOOKUP(AbsDoKorelacji_Tech[[#This Row],[Moja satysfakcja z (efektów) usług edukacyjnych ocenianej uczelni jest wysoka.]],SkalaLikerta[],2,0)</f>
        <v>6</v>
      </c>
      <c r="K842" t="s">
        <v>150</v>
      </c>
      <c r="L842">
        <f>VLOOKUP(AbsDoKorelacji_Tech[[#This Row],[Usługi edukacyjne ocenianej uczelni mają wysoką wartość (okazja / szansa rozwoju własnego lub kariery).3]],SkalaLikerta[],2,0)</f>
        <v>6</v>
      </c>
    </row>
    <row r="843" spans="2:12" x14ac:dyDescent="0.45">
      <c r="B843" t="s">
        <v>2462</v>
      </c>
      <c r="C843">
        <v>1</v>
      </c>
      <c r="D843">
        <v>1</v>
      </c>
      <c r="E843" t="s">
        <v>1740</v>
      </c>
      <c r="F843">
        <f>IF(AbsDoKorelacji_Tech[[#This Row],[CzyUczelniaTechniczna]]="Techniczna",1,0)</f>
        <v>1</v>
      </c>
      <c r="G843">
        <v>1500</v>
      </c>
      <c r="H843">
        <v>2500</v>
      </c>
      <c r="I843" t="s">
        <v>150</v>
      </c>
      <c r="J843">
        <f>VLOOKUP(AbsDoKorelacji_Tech[[#This Row],[Moja satysfakcja z (efektów) usług edukacyjnych ocenianej uczelni jest wysoka.]],SkalaLikerta[],2,0)</f>
        <v>6</v>
      </c>
      <c r="K843" t="s">
        <v>150</v>
      </c>
      <c r="L843">
        <f>VLOOKUP(AbsDoKorelacji_Tech[[#This Row],[Usługi edukacyjne ocenianej uczelni mają wysoką wartość (okazja / szansa rozwoju własnego lub kariery).3]],SkalaLikerta[],2,0)</f>
        <v>6</v>
      </c>
    </row>
    <row r="844" spans="2:12" x14ac:dyDescent="0.45">
      <c r="B844" t="s">
        <v>2462</v>
      </c>
      <c r="C844">
        <v>1</v>
      </c>
      <c r="D844">
        <v>1</v>
      </c>
      <c r="E844" t="s">
        <v>237</v>
      </c>
      <c r="F844">
        <f>IF(AbsDoKorelacji_Tech[[#This Row],[CzyUczelniaTechniczna]]="Techniczna",1,0)</f>
        <v>1</v>
      </c>
      <c r="G844">
        <v>2500</v>
      </c>
      <c r="H844">
        <v>4500</v>
      </c>
      <c r="I844" t="s">
        <v>162</v>
      </c>
      <c r="J844">
        <f>VLOOKUP(AbsDoKorelacji_Tech[[#This Row],[Moja satysfakcja z (efektów) usług edukacyjnych ocenianej uczelni jest wysoka.]],SkalaLikerta[],2,0)</f>
        <v>5</v>
      </c>
      <c r="K844" t="s">
        <v>162</v>
      </c>
      <c r="L844">
        <f>VLOOKUP(AbsDoKorelacji_Tech[[#This Row],[Usługi edukacyjne ocenianej uczelni mają wysoką wartość (okazja / szansa rozwoju własnego lub kariery).3]],SkalaLikerta[],2,0)</f>
        <v>5</v>
      </c>
    </row>
    <row r="845" spans="2:12" x14ac:dyDescent="0.45">
      <c r="B845" t="s">
        <v>2462</v>
      </c>
      <c r="C845">
        <v>1</v>
      </c>
      <c r="D845">
        <v>1</v>
      </c>
      <c r="E845" t="s">
        <v>530</v>
      </c>
      <c r="F845">
        <f>IF(AbsDoKorelacji_Tech[[#This Row],[CzyUczelniaTechniczna]]="Techniczna",1,0)</f>
        <v>1</v>
      </c>
      <c r="G845">
        <v>1500</v>
      </c>
      <c r="H845">
        <v>2500</v>
      </c>
      <c r="I845" t="s">
        <v>150</v>
      </c>
      <c r="J845">
        <f>VLOOKUP(AbsDoKorelacji_Tech[[#This Row],[Moja satysfakcja z (efektów) usług edukacyjnych ocenianej uczelni jest wysoka.]],SkalaLikerta[],2,0)</f>
        <v>6</v>
      </c>
      <c r="K845" t="s">
        <v>150</v>
      </c>
      <c r="L845">
        <f>VLOOKUP(AbsDoKorelacji_Tech[[#This Row],[Usługi edukacyjne ocenianej uczelni mają wysoką wartość (okazja / szansa rozwoju własnego lub kariery).3]],SkalaLikerta[],2,0)</f>
        <v>6</v>
      </c>
    </row>
    <row r="846" spans="2:12" x14ac:dyDescent="0.45">
      <c r="B846" t="s">
        <v>2462</v>
      </c>
      <c r="C846">
        <v>1</v>
      </c>
      <c r="D846">
        <v>1</v>
      </c>
      <c r="E846" t="s">
        <v>237</v>
      </c>
      <c r="F846">
        <f>IF(AbsDoKorelacji_Tech[[#This Row],[CzyUczelniaTechniczna]]="Techniczna",1,0)</f>
        <v>1</v>
      </c>
      <c r="G846">
        <v>2500</v>
      </c>
      <c r="H846">
        <v>3500</v>
      </c>
      <c r="I846" t="s">
        <v>162</v>
      </c>
      <c r="J846">
        <f>VLOOKUP(AbsDoKorelacji_Tech[[#This Row],[Moja satysfakcja z (efektów) usług edukacyjnych ocenianej uczelni jest wysoka.]],SkalaLikerta[],2,0)</f>
        <v>5</v>
      </c>
      <c r="K846" t="s">
        <v>128</v>
      </c>
      <c r="L846">
        <f>VLOOKUP(AbsDoKorelacji_Tech[[#This Row],[Usługi edukacyjne ocenianej uczelni mają wysoką wartość (okazja / szansa rozwoju własnego lub kariery).3]],SkalaLikerta[],2,0)</f>
        <v>3</v>
      </c>
    </row>
    <row r="847" spans="2:12" x14ac:dyDescent="0.45">
      <c r="B847" t="s">
        <v>2462</v>
      </c>
      <c r="C847">
        <v>1</v>
      </c>
      <c r="D847">
        <v>1</v>
      </c>
      <c r="E847" t="s">
        <v>237</v>
      </c>
      <c r="F847">
        <f>IF(AbsDoKorelacji_Tech[[#This Row],[CzyUczelniaTechniczna]]="Techniczna",1,0)</f>
        <v>1</v>
      </c>
      <c r="G847">
        <v>4500</v>
      </c>
      <c r="H847">
        <v>6500</v>
      </c>
      <c r="I847" t="s">
        <v>150</v>
      </c>
      <c r="J847">
        <f>VLOOKUP(AbsDoKorelacji_Tech[[#This Row],[Moja satysfakcja z (efektów) usług edukacyjnych ocenianej uczelni jest wysoka.]],SkalaLikerta[],2,0)</f>
        <v>6</v>
      </c>
      <c r="K847" t="s">
        <v>150</v>
      </c>
      <c r="L847">
        <f>VLOOKUP(AbsDoKorelacji_Tech[[#This Row],[Usługi edukacyjne ocenianej uczelni mają wysoką wartość (okazja / szansa rozwoju własnego lub kariery).3]],SkalaLikerta[],2,0)</f>
        <v>6</v>
      </c>
    </row>
    <row r="848" spans="2:12" x14ac:dyDescent="0.45">
      <c r="B848" t="s">
        <v>2462</v>
      </c>
      <c r="C848">
        <v>1</v>
      </c>
      <c r="D848">
        <v>1</v>
      </c>
      <c r="E848" t="s">
        <v>237</v>
      </c>
      <c r="F848">
        <f>IF(AbsDoKorelacji_Tech[[#This Row],[CzyUczelniaTechniczna]]="Techniczna",1,0)</f>
        <v>1</v>
      </c>
      <c r="G848">
        <v>3500</v>
      </c>
      <c r="H848">
        <v>7500</v>
      </c>
      <c r="I848" t="s">
        <v>150</v>
      </c>
      <c r="J848">
        <f>VLOOKUP(AbsDoKorelacji_Tech[[#This Row],[Moja satysfakcja z (efektów) usług edukacyjnych ocenianej uczelni jest wysoka.]],SkalaLikerta[],2,0)</f>
        <v>6</v>
      </c>
      <c r="K848" t="s">
        <v>162</v>
      </c>
      <c r="L848">
        <f>VLOOKUP(AbsDoKorelacji_Tech[[#This Row],[Usługi edukacyjne ocenianej uczelni mają wysoką wartość (okazja / szansa rozwoju własnego lub kariery).3]],SkalaLikerta[],2,0)</f>
        <v>5</v>
      </c>
    </row>
    <row r="849" spans="2:12" x14ac:dyDescent="0.45">
      <c r="B849" t="s">
        <v>2462</v>
      </c>
      <c r="C849">
        <v>1</v>
      </c>
      <c r="D849">
        <v>1</v>
      </c>
      <c r="E849" t="s">
        <v>530</v>
      </c>
      <c r="F849">
        <f>IF(AbsDoKorelacji_Tech[[#This Row],[CzyUczelniaTechniczna]]="Techniczna",1,0)</f>
        <v>1</v>
      </c>
      <c r="G849">
        <v>2500</v>
      </c>
      <c r="H849">
        <v>2500</v>
      </c>
      <c r="I849" t="s">
        <v>162</v>
      </c>
      <c r="J849">
        <f>VLOOKUP(AbsDoKorelacji_Tech[[#This Row],[Moja satysfakcja z (efektów) usług edukacyjnych ocenianej uczelni jest wysoka.]],SkalaLikerta[],2,0)</f>
        <v>5</v>
      </c>
      <c r="K849" t="s">
        <v>162</v>
      </c>
      <c r="L849">
        <f>VLOOKUP(AbsDoKorelacji_Tech[[#This Row],[Usługi edukacyjne ocenianej uczelni mają wysoką wartość (okazja / szansa rozwoju własnego lub kariery).3]],SkalaLikerta[],2,0)</f>
        <v>5</v>
      </c>
    </row>
    <row r="850" spans="2:12" x14ac:dyDescent="0.45">
      <c r="B850" t="s">
        <v>2462</v>
      </c>
      <c r="C850">
        <v>1</v>
      </c>
      <c r="D850">
        <v>1</v>
      </c>
      <c r="E850" t="s">
        <v>530</v>
      </c>
      <c r="F850">
        <f>IF(AbsDoKorelacji_Tech[[#This Row],[CzyUczelniaTechniczna]]="Techniczna",1,0)</f>
        <v>1</v>
      </c>
      <c r="G850">
        <v>3500</v>
      </c>
      <c r="H850">
        <v>3500</v>
      </c>
      <c r="I850" t="s">
        <v>162</v>
      </c>
      <c r="J850">
        <f>VLOOKUP(AbsDoKorelacji_Tech[[#This Row],[Moja satysfakcja z (efektów) usług edukacyjnych ocenianej uczelni jest wysoka.]],SkalaLikerta[],2,0)</f>
        <v>5</v>
      </c>
      <c r="K850" t="s">
        <v>151</v>
      </c>
      <c r="L850">
        <f>VLOOKUP(AbsDoKorelacji_Tech[[#This Row],[Usługi edukacyjne ocenianej uczelni mają wysoką wartość (okazja / szansa rozwoju własnego lub kariery).3]],SkalaLikerta[],2,0)</f>
        <v>4</v>
      </c>
    </row>
    <row r="851" spans="2:12" x14ac:dyDescent="0.45">
      <c r="B851" t="s">
        <v>2462</v>
      </c>
      <c r="C851">
        <v>1</v>
      </c>
      <c r="D851">
        <v>1</v>
      </c>
      <c r="E851" t="s">
        <v>237</v>
      </c>
      <c r="F851">
        <f>IF(AbsDoKorelacji_Tech[[#This Row],[CzyUczelniaTechniczna]]="Techniczna",1,0)</f>
        <v>1</v>
      </c>
      <c r="G851">
        <v>4500</v>
      </c>
      <c r="H851">
        <v>6500</v>
      </c>
      <c r="I851" t="s">
        <v>169</v>
      </c>
      <c r="J851">
        <f>VLOOKUP(AbsDoKorelacji_Tech[[#This Row],[Moja satysfakcja z (efektów) usług edukacyjnych ocenianej uczelni jest wysoka.]],SkalaLikerta[],2,0)</f>
        <v>7</v>
      </c>
      <c r="K851" t="s">
        <v>169</v>
      </c>
      <c r="L851">
        <f>VLOOKUP(AbsDoKorelacji_Tech[[#This Row],[Usługi edukacyjne ocenianej uczelni mają wysoką wartość (okazja / szansa rozwoju własnego lub kariery).3]],SkalaLikerta[],2,0)</f>
        <v>7</v>
      </c>
    </row>
    <row r="852" spans="2:12" x14ac:dyDescent="0.45">
      <c r="B852" t="s">
        <v>2462</v>
      </c>
      <c r="C852">
        <v>1</v>
      </c>
      <c r="D852">
        <v>1</v>
      </c>
      <c r="E852" t="s">
        <v>530</v>
      </c>
      <c r="F852">
        <f>IF(AbsDoKorelacji_Tech[[#This Row],[CzyUczelniaTechniczna]]="Techniczna",1,0)</f>
        <v>1</v>
      </c>
      <c r="G852">
        <v>4500</v>
      </c>
      <c r="H852">
        <v>5500</v>
      </c>
      <c r="I852" t="s">
        <v>162</v>
      </c>
      <c r="J852">
        <f>VLOOKUP(AbsDoKorelacji_Tech[[#This Row],[Moja satysfakcja z (efektów) usług edukacyjnych ocenianej uczelni jest wysoka.]],SkalaLikerta[],2,0)</f>
        <v>5</v>
      </c>
      <c r="K852" t="s">
        <v>150</v>
      </c>
      <c r="L852">
        <f>VLOOKUP(AbsDoKorelacji_Tech[[#This Row],[Usługi edukacyjne ocenianej uczelni mają wysoką wartość (okazja / szansa rozwoju własnego lub kariery).3]],SkalaLikerta[],2,0)</f>
        <v>6</v>
      </c>
    </row>
    <row r="853" spans="2:12" x14ac:dyDescent="0.45">
      <c r="B853" t="s">
        <v>2462</v>
      </c>
      <c r="C853">
        <v>1</v>
      </c>
      <c r="D853">
        <v>1</v>
      </c>
      <c r="E853" t="s">
        <v>530</v>
      </c>
      <c r="F853">
        <f>IF(AbsDoKorelacji_Tech[[#This Row],[CzyUczelniaTechniczna]]="Techniczna",1,0)</f>
        <v>1</v>
      </c>
      <c r="G853">
        <v>2500</v>
      </c>
      <c r="H853">
        <v>4500</v>
      </c>
      <c r="I853" t="s">
        <v>150</v>
      </c>
      <c r="J853">
        <f>VLOOKUP(AbsDoKorelacji_Tech[[#This Row],[Moja satysfakcja z (efektów) usług edukacyjnych ocenianej uczelni jest wysoka.]],SkalaLikerta[],2,0)</f>
        <v>6</v>
      </c>
      <c r="K853" t="s">
        <v>150</v>
      </c>
      <c r="L853">
        <f>VLOOKUP(AbsDoKorelacji_Tech[[#This Row],[Usługi edukacyjne ocenianej uczelni mają wysoką wartość (okazja / szansa rozwoju własnego lub kariery).3]],SkalaLikerta[],2,0)</f>
        <v>6</v>
      </c>
    </row>
    <row r="854" spans="2:12" x14ac:dyDescent="0.45">
      <c r="B854" t="s">
        <v>2462</v>
      </c>
      <c r="C854">
        <v>1</v>
      </c>
      <c r="D854">
        <v>1</v>
      </c>
      <c r="E854" t="s">
        <v>237</v>
      </c>
      <c r="F854">
        <f>IF(AbsDoKorelacji_Tech[[#This Row],[CzyUczelniaTechniczna]]="Techniczna",1,0)</f>
        <v>1</v>
      </c>
      <c r="G854">
        <v>500</v>
      </c>
      <c r="H854">
        <v>1500</v>
      </c>
      <c r="I854" t="s">
        <v>150</v>
      </c>
      <c r="J854">
        <f>VLOOKUP(AbsDoKorelacji_Tech[[#This Row],[Moja satysfakcja z (efektów) usług edukacyjnych ocenianej uczelni jest wysoka.]],SkalaLikerta[],2,0)</f>
        <v>6</v>
      </c>
      <c r="K854" t="s">
        <v>150</v>
      </c>
      <c r="L854">
        <f>VLOOKUP(AbsDoKorelacji_Tech[[#This Row],[Usługi edukacyjne ocenianej uczelni mają wysoką wartość (okazja / szansa rozwoju własnego lub kariery).3]],SkalaLikerta[],2,0)</f>
        <v>6</v>
      </c>
    </row>
    <row r="855" spans="2:12" x14ac:dyDescent="0.45">
      <c r="B855" t="s">
        <v>2462</v>
      </c>
      <c r="C855">
        <v>1</v>
      </c>
      <c r="D855">
        <v>1</v>
      </c>
      <c r="E855" t="s">
        <v>237</v>
      </c>
      <c r="F855">
        <f>IF(AbsDoKorelacji_Tech[[#This Row],[CzyUczelniaTechniczna]]="Techniczna",1,0)</f>
        <v>1</v>
      </c>
      <c r="G855">
        <v>500</v>
      </c>
      <c r="H855">
        <v>5500</v>
      </c>
      <c r="I855" t="s">
        <v>150</v>
      </c>
      <c r="J855">
        <f>VLOOKUP(AbsDoKorelacji_Tech[[#This Row],[Moja satysfakcja z (efektów) usług edukacyjnych ocenianej uczelni jest wysoka.]],SkalaLikerta[],2,0)</f>
        <v>6</v>
      </c>
      <c r="K855" t="s">
        <v>150</v>
      </c>
      <c r="L855">
        <f>VLOOKUP(AbsDoKorelacji_Tech[[#This Row],[Usługi edukacyjne ocenianej uczelni mają wysoką wartość (okazja / szansa rozwoju własnego lub kariery).3]],SkalaLikerta[],2,0)</f>
        <v>6</v>
      </c>
    </row>
    <row r="856" spans="2:12" x14ac:dyDescent="0.45">
      <c r="B856" t="s">
        <v>2462</v>
      </c>
      <c r="C856">
        <v>1</v>
      </c>
      <c r="D856">
        <v>1</v>
      </c>
      <c r="E856" t="s">
        <v>1362</v>
      </c>
      <c r="F856">
        <f>IF(AbsDoKorelacji_Tech[[#This Row],[CzyUczelniaTechniczna]]="Techniczna",1,0)</f>
        <v>1</v>
      </c>
      <c r="G856">
        <v>1500</v>
      </c>
      <c r="H856">
        <v>5500</v>
      </c>
      <c r="I856" t="s">
        <v>150</v>
      </c>
      <c r="J856">
        <f>VLOOKUP(AbsDoKorelacji_Tech[[#This Row],[Moja satysfakcja z (efektów) usług edukacyjnych ocenianej uczelni jest wysoka.]],SkalaLikerta[],2,0)</f>
        <v>6</v>
      </c>
      <c r="K856" t="s">
        <v>162</v>
      </c>
      <c r="L856">
        <f>VLOOKUP(AbsDoKorelacji_Tech[[#This Row],[Usługi edukacyjne ocenianej uczelni mają wysoką wartość (okazja / szansa rozwoju własnego lub kariery).3]],SkalaLikerta[],2,0)</f>
        <v>5</v>
      </c>
    </row>
    <row r="857" spans="2:12" x14ac:dyDescent="0.45">
      <c r="B857" t="s">
        <v>2462</v>
      </c>
      <c r="C857">
        <v>1</v>
      </c>
      <c r="D857">
        <v>1</v>
      </c>
      <c r="E857" t="s">
        <v>883</v>
      </c>
      <c r="F857">
        <f>IF(AbsDoKorelacji_Tech[[#This Row],[CzyUczelniaTechniczna]]="Techniczna",1,0)</f>
        <v>1</v>
      </c>
      <c r="G857">
        <v>1500</v>
      </c>
      <c r="H857">
        <v>2500</v>
      </c>
      <c r="I857" t="s">
        <v>162</v>
      </c>
      <c r="J857">
        <f>VLOOKUP(AbsDoKorelacji_Tech[[#This Row],[Moja satysfakcja z (efektów) usług edukacyjnych ocenianej uczelni jest wysoka.]],SkalaLikerta[],2,0)</f>
        <v>5</v>
      </c>
      <c r="K857" t="s">
        <v>162</v>
      </c>
      <c r="L857">
        <f>VLOOKUP(AbsDoKorelacji_Tech[[#This Row],[Usługi edukacyjne ocenianej uczelni mają wysoką wartość (okazja / szansa rozwoju własnego lub kariery).3]],SkalaLikerta[],2,0)</f>
        <v>5</v>
      </c>
    </row>
    <row r="858" spans="2:12" x14ac:dyDescent="0.45">
      <c r="B858" t="s">
        <v>2462</v>
      </c>
      <c r="C858">
        <v>1</v>
      </c>
      <c r="D858">
        <v>1</v>
      </c>
      <c r="E858" t="s">
        <v>883</v>
      </c>
      <c r="F858">
        <f>IF(AbsDoKorelacji_Tech[[#This Row],[CzyUczelniaTechniczna]]="Techniczna",1,0)</f>
        <v>1</v>
      </c>
      <c r="G858">
        <v>10500</v>
      </c>
      <c r="H858">
        <v>10500</v>
      </c>
      <c r="I858" t="s">
        <v>150</v>
      </c>
      <c r="J858">
        <f>VLOOKUP(AbsDoKorelacji_Tech[[#This Row],[Moja satysfakcja z (efektów) usług edukacyjnych ocenianej uczelni jest wysoka.]],SkalaLikerta[],2,0)</f>
        <v>6</v>
      </c>
      <c r="K858" t="s">
        <v>162</v>
      </c>
      <c r="L858">
        <f>VLOOKUP(AbsDoKorelacji_Tech[[#This Row],[Usługi edukacyjne ocenianej uczelni mają wysoką wartość (okazja / szansa rozwoju własnego lub kariery).3]],SkalaLikerta[],2,0)</f>
        <v>5</v>
      </c>
    </row>
    <row r="859" spans="2:12" x14ac:dyDescent="0.45">
      <c r="B859" t="s">
        <v>2462</v>
      </c>
      <c r="C859">
        <v>1</v>
      </c>
      <c r="D859">
        <v>1</v>
      </c>
      <c r="E859" t="s">
        <v>959</v>
      </c>
      <c r="F859">
        <f>IF(AbsDoKorelacji_Tech[[#This Row],[CzyUczelniaTechniczna]]="Techniczna",1,0)</f>
        <v>1</v>
      </c>
      <c r="G859">
        <v>2500</v>
      </c>
      <c r="H859">
        <v>4500</v>
      </c>
      <c r="I859" t="s">
        <v>151</v>
      </c>
      <c r="J859">
        <f>VLOOKUP(AbsDoKorelacji_Tech[[#This Row],[Moja satysfakcja z (efektów) usług edukacyjnych ocenianej uczelni jest wysoka.]],SkalaLikerta[],2,0)</f>
        <v>4</v>
      </c>
      <c r="K859" t="s">
        <v>162</v>
      </c>
      <c r="L859">
        <f>VLOOKUP(AbsDoKorelacji_Tech[[#This Row],[Usługi edukacyjne ocenianej uczelni mają wysoką wartość (okazja / szansa rozwoju własnego lub kariery).3]],SkalaLikerta[],2,0)</f>
        <v>5</v>
      </c>
    </row>
    <row r="860" spans="2:12" x14ac:dyDescent="0.45">
      <c r="B860" t="s">
        <v>2462</v>
      </c>
      <c r="C860">
        <v>1</v>
      </c>
      <c r="D860">
        <v>1</v>
      </c>
      <c r="E860" t="s">
        <v>1868</v>
      </c>
      <c r="F860">
        <f>IF(AbsDoKorelacji_Tech[[#This Row],[CzyUczelniaTechniczna]]="Techniczna",1,0)</f>
        <v>1</v>
      </c>
      <c r="G860">
        <v>3500</v>
      </c>
      <c r="H860">
        <v>4500</v>
      </c>
      <c r="I860" t="s">
        <v>162</v>
      </c>
      <c r="J860">
        <f>VLOOKUP(AbsDoKorelacji_Tech[[#This Row],[Moja satysfakcja z (efektów) usług edukacyjnych ocenianej uczelni jest wysoka.]],SkalaLikerta[],2,0)</f>
        <v>5</v>
      </c>
      <c r="K860" t="s">
        <v>150</v>
      </c>
      <c r="L860">
        <f>VLOOKUP(AbsDoKorelacji_Tech[[#This Row],[Usługi edukacyjne ocenianej uczelni mają wysoką wartość (okazja / szansa rozwoju własnego lub kariery).3]],SkalaLikerta[],2,0)</f>
        <v>6</v>
      </c>
    </row>
    <row r="861" spans="2:12" x14ac:dyDescent="0.45">
      <c r="B861" t="s">
        <v>2462</v>
      </c>
      <c r="C861">
        <v>1</v>
      </c>
      <c r="D861">
        <v>1</v>
      </c>
      <c r="E861" t="s">
        <v>331</v>
      </c>
      <c r="F861">
        <f>IF(AbsDoKorelacji_Tech[[#This Row],[CzyUczelniaTechniczna]]="Techniczna",1,0)</f>
        <v>1</v>
      </c>
      <c r="G861">
        <v>2500</v>
      </c>
      <c r="H861">
        <v>4500</v>
      </c>
      <c r="I861" t="s">
        <v>169</v>
      </c>
      <c r="J861">
        <f>VLOOKUP(AbsDoKorelacji_Tech[[#This Row],[Moja satysfakcja z (efektów) usług edukacyjnych ocenianej uczelni jest wysoka.]],SkalaLikerta[],2,0)</f>
        <v>7</v>
      </c>
      <c r="K861" t="s">
        <v>169</v>
      </c>
      <c r="L861">
        <f>VLOOKUP(AbsDoKorelacji_Tech[[#This Row],[Usługi edukacyjne ocenianej uczelni mają wysoką wartość (okazja / szansa rozwoju własnego lub kariery).3]],SkalaLikerta[],2,0)</f>
        <v>7</v>
      </c>
    </row>
    <row r="862" spans="2:12" x14ac:dyDescent="0.45">
      <c r="B862" t="s">
        <v>2462</v>
      </c>
      <c r="C862">
        <v>0</v>
      </c>
      <c r="D862">
        <v>0</v>
      </c>
      <c r="E862" t="s">
        <v>350</v>
      </c>
      <c r="F862">
        <f>IF(AbsDoKorelacji_Tech[[#This Row],[CzyUczelniaTechniczna]]="Techniczna",1,0)</f>
        <v>1</v>
      </c>
      <c r="G862">
        <v>2500</v>
      </c>
      <c r="H862">
        <v>2500</v>
      </c>
      <c r="I862" t="s">
        <v>150</v>
      </c>
      <c r="J862">
        <f>VLOOKUP(AbsDoKorelacji_Tech[[#This Row],[Moja satysfakcja z (efektów) usług edukacyjnych ocenianej uczelni jest wysoka.]],SkalaLikerta[],2,0)</f>
        <v>6</v>
      </c>
      <c r="K862" t="s">
        <v>128</v>
      </c>
      <c r="L862">
        <f>VLOOKUP(AbsDoKorelacji_Tech[[#This Row],[Usługi edukacyjne ocenianej uczelni mają wysoką wartość (okazja / szansa rozwoju własnego lub kariery).3]],SkalaLikerta[],2,0)</f>
        <v>3</v>
      </c>
    </row>
    <row r="863" spans="2:12" x14ac:dyDescent="0.45">
      <c r="B863" t="s">
        <v>2462</v>
      </c>
      <c r="C863">
        <v>1</v>
      </c>
      <c r="D863">
        <v>1</v>
      </c>
      <c r="E863" t="s">
        <v>907</v>
      </c>
      <c r="F863">
        <f>IF(AbsDoKorelacji_Tech[[#This Row],[CzyUczelniaTechniczna]]="Techniczna",1,0)</f>
        <v>1</v>
      </c>
      <c r="G863">
        <v>1500</v>
      </c>
      <c r="H863">
        <v>5500</v>
      </c>
      <c r="I863" t="s">
        <v>151</v>
      </c>
      <c r="J863">
        <f>VLOOKUP(AbsDoKorelacji_Tech[[#This Row],[Moja satysfakcja z (efektów) usług edukacyjnych ocenianej uczelni jest wysoka.]],SkalaLikerta[],2,0)</f>
        <v>4</v>
      </c>
      <c r="K863" t="s">
        <v>151</v>
      </c>
      <c r="L863">
        <f>VLOOKUP(AbsDoKorelacji_Tech[[#This Row],[Usługi edukacyjne ocenianej uczelni mają wysoką wartość (okazja / szansa rozwoju własnego lub kariery).3]],SkalaLikerta[],2,0)</f>
        <v>4</v>
      </c>
    </row>
    <row r="864" spans="2:12" x14ac:dyDescent="0.45">
      <c r="B864" t="s">
        <v>2462</v>
      </c>
      <c r="C864">
        <v>1</v>
      </c>
      <c r="D864">
        <v>1</v>
      </c>
      <c r="E864" t="s">
        <v>718</v>
      </c>
      <c r="F864">
        <f>IF(AbsDoKorelacji_Tech[[#This Row],[CzyUczelniaTechniczna]]="Techniczna",1,0)</f>
        <v>1</v>
      </c>
      <c r="G864">
        <v>1500</v>
      </c>
      <c r="H864">
        <v>2500</v>
      </c>
      <c r="I864" t="s">
        <v>162</v>
      </c>
      <c r="J864">
        <f>VLOOKUP(AbsDoKorelacji_Tech[[#This Row],[Moja satysfakcja z (efektów) usług edukacyjnych ocenianej uczelni jest wysoka.]],SkalaLikerta[],2,0)</f>
        <v>5</v>
      </c>
      <c r="K864" t="s">
        <v>151</v>
      </c>
      <c r="L864">
        <f>VLOOKUP(AbsDoKorelacji_Tech[[#This Row],[Usługi edukacyjne ocenianej uczelni mają wysoką wartość (okazja / szansa rozwoju własnego lub kariery).3]],SkalaLikerta[],2,0)</f>
        <v>4</v>
      </c>
    </row>
    <row r="865" spans="2:12" x14ac:dyDescent="0.45">
      <c r="B865" t="s">
        <v>2462</v>
      </c>
      <c r="C865">
        <v>1</v>
      </c>
      <c r="D865">
        <v>1</v>
      </c>
      <c r="E865" t="s">
        <v>718</v>
      </c>
      <c r="F865">
        <f>IF(AbsDoKorelacji_Tech[[#This Row],[CzyUczelniaTechniczna]]="Techniczna",1,0)</f>
        <v>1</v>
      </c>
      <c r="G865" t="s">
        <v>2329</v>
      </c>
      <c r="H865" t="s">
        <v>2329</v>
      </c>
      <c r="I865" t="s">
        <v>150</v>
      </c>
      <c r="J865">
        <f>VLOOKUP(AbsDoKorelacji_Tech[[#This Row],[Moja satysfakcja z (efektów) usług edukacyjnych ocenianej uczelni jest wysoka.]],SkalaLikerta[],2,0)</f>
        <v>6</v>
      </c>
      <c r="K865" t="s">
        <v>150</v>
      </c>
      <c r="L865">
        <f>VLOOKUP(AbsDoKorelacji_Tech[[#This Row],[Usługi edukacyjne ocenianej uczelni mają wysoką wartość (okazja / szansa rozwoju własnego lub kariery).3]],SkalaLikerta[],2,0)</f>
        <v>6</v>
      </c>
    </row>
    <row r="866" spans="2:12" x14ac:dyDescent="0.45">
      <c r="C866">
        <f>SUBTOTAL(109,AbsDoKorelacji_Tech[Zatrudnienie w 1 roku])</f>
        <v>47</v>
      </c>
      <c r="D866">
        <f>SUBTOTAL(109,AbsDoKorelacji_Tech[Zatrudnienie w 3 lata])</f>
        <v>48</v>
      </c>
    </row>
    <row r="869" spans="2:12" x14ac:dyDescent="0.45">
      <c r="E869" s="20" t="s">
        <v>2486</v>
      </c>
    </row>
    <row r="871" spans="2:12" x14ac:dyDescent="0.45">
      <c r="E871" s="20" t="s">
        <v>2483</v>
      </c>
      <c r="G871">
        <f>CORREL(AbsDoKorelacji_Tech[Satysfakcja_wartości],AbsDoKorelacji_Tech[Wartość usługi_wartość])</f>
        <v>0.83592468883576287</v>
      </c>
    </row>
    <row r="872" spans="2:12" x14ac:dyDescent="0.45">
      <c r="E872" s="20" t="s">
        <v>2481</v>
      </c>
      <c r="G872">
        <f>CORREL(AbsDoKorelacji_Tech[Satysfakcja_wartości],AbsDoKorelacji_Tech[Wartości_po1roku])</f>
        <v>0.22775226107467697</v>
      </c>
    </row>
    <row r="873" spans="2:12" x14ac:dyDescent="0.45">
      <c r="E873" s="20" t="s">
        <v>2482</v>
      </c>
      <c r="G873">
        <f>CORREL(AbsDoKorelacji_Tech[Wartości_po1roku],AbsDoKorelacji_Tech[Wartość usługi_wartość])</f>
        <v>0.16414275661860597</v>
      </c>
    </row>
    <row r="874" spans="2:12" x14ac:dyDescent="0.45">
      <c r="E874" s="20" t="s">
        <v>2501</v>
      </c>
      <c r="G874">
        <f>CORREL(AbsDoKorelacji_Tech[Satysfakcja_wartości],AbsDoKorelacji_Tech[Zatrudnienie w 1 roku])</f>
        <v>6.9936910394718055E-2</v>
      </c>
    </row>
    <row r="875" spans="2:12" x14ac:dyDescent="0.45">
      <c r="E875" s="20" t="s">
        <v>2502</v>
      </c>
      <c r="G875">
        <f>CORREL(AbsDoKorelacji_Tech[Wartości_po1roku],AbsDoKorelacji_Tech[Zatrudnienie w 1 roku])</f>
        <v>0.13787344337652419</v>
      </c>
    </row>
    <row r="877" spans="2:12" x14ac:dyDescent="0.45">
      <c r="E877" s="20" t="s">
        <v>2484</v>
      </c>
      <c r="G877">
        <f>CORREL(AbsDoKorelacji_Tech[Satysfakcja_wartości],AbsDoKorelacji_Tech[Wartości_po3latach])</f>
        <v>0.27088549788252131</v>
      </c>
    </row>
    <row r="878" spans="2:12" x14ac:dyDescent="0.45">
      <c r="E878" s="20" t="s">
        <v>2485</v>
      </c>
      <c r="G878">
        <f>CORREL(AbsDoKorelacji_Tech[Wartości_po3latach],AbsDoKorelacji_Tech[Wartość usługi_wartość])</f>
        <v>0.26218414598146661</v>
      </c>
    </row>
    <row r="879" spans="2:12" x14ac:dyDescent="0.45">
      <c r="E879" s="20" t="s">
        <v>2503</v>
      </c>
      <c r="G879">
        <f>CORREL(AbsDoKorelacji_Tech[Satysfakcja_wartości],AbsDoKorelacji_Tech[Zatrudnienie w 3 lata])</f>
        <v>0.11219093348196885</v>
      </c>
    </row>
    <row r="880" spans="2:12" x14ac:dyDescent="0.45">
      <c r="E880" s="20" t="s">
        <v>2504</v>
      </c>
      <c r="G880">
        <f>CORREL(AbsDoKorelacji_Tech[Wartości_po3latach],AbsDoKorelacji_Tech[Zatrudnienie w 3 lata])</f>
        <v>0.30329028117331919</v>
      </c>
    </row>
    <row r="882" spans="2:12" ht="199.5" x14ac:dyDescent="0.45">
      <c r="B882" t="s">
        <v>2464</v>
      </c>
      <c r="C882" s="20" t="s">
        <v>2473</v>
      </c>
      <c r="D882" s="20" t="s">
        <v>2474</v>
      </c>
      <c r="E882" t="s">
        <v>29</v>
      </c>
      <c r="F882" s="20" t="s">
        <v>2472</v>
      </c>
      <c r="G882" t="s">
        <v>2470</v>
      </c>
      <c r="H882" s="20" t="s">
        <v>2471</v>
      </c>
      <c r="I882" s="28" t="s">
        <v>86</v>
      </c>
      <c r="J882" s="49" t="s">
        <v>2477</v>
      </c>
      <c r="K882" s="28" t="s">
        <v>2071</v>
      </c>
      <c r="L882" s="20" t="s">
        <v>2478</v>
      </c>
    </row>
    <row r="883" spans="2:12" x14ac:dyDescent="0.45">
      <c r="B883" t="s">
        <v>2463</v>
      </c>
      <c r="C883">
        <v>1</v>
      </c>
      <c r="D883">
        <v>1</v>
      </c>
      <c r="E883">
        <v>0</v>
      </c>
      <c r="F883">
        <f>IF(AbsDoKorelacji_NTech[[#This Row],[CzyUczelniaTechniczna]]="Techniczna",1,0)</f>
        <v>0</v>
      </c>
      <c r="G883">
        <v>500</v>
      </c>
      <c r="H883">
        <v>500</v>
      </c>
      <c r="I883" t="s">
        <v>169</v>
      </c>
      <c r="J883">
        <f>VLOOKUP(AbsDoKorelacji_NTech[[#This Row],[Moja satysfakcja z (efektów) usług edukacyjnych ocenianej uczelni jest wysoka.]],SkalaLikerta[],2,0)</f>
        <v>7</v>
      </c>
      <c r="K883" t="s">
        <v>169</v>
      </c>
      <c r="L883">
        <f>VLOOKUP(AbsDoKorelacji_NTech[[#This Row],[Usługi edukacyjne ocenianej uczelni mają wysoką wartość (okazja / szansa rozwoju własnego lub kariery).3]],SkalaLikerta[],2,0)</f>
        <v>7</v>
      </c>
    </row>
    <row r="884" spans="2:12" x14ac:dyDescent="0.45">
      <c r="B884" t="s">
        <v>2463</v>
      </c>
      <c r="C884">
        <v>1</v>
      </c>
      <c r="D884">
        <v>1</v>
      </c>
      <c r="E884">
        <v>0</v>
      </c>
      <c r="F884">
        <f>IF(AbsDoKorelacji_NTech[[#This Row],[CzyUczelniaTechniczna]]="Techniczna",1,0)</f>
        <v>0</v>
      </c>
      <c r="G884">
        <v>3500</v>
      </c>
      <c r="H884" t="s">
        <v>2329</v>
      </c>
      <c r="I884" t="s">
        <v>162</v>
      </c>
      <c r="J884">
        <f>VLOOKUP(AbsDoKorelacji_NTech[[#This Row],[Moja satysfakcja z (efektów) usług edukacyjnych ocenianej uczelni jest wysoka.]],SkalaLikerta[],2,0)</f>
        <v>5</v>
      </c>
      <c r="K884" t="s">
        <v>162</v>
      </c>
      <c r="L884">
        <f>VLOOKUP(AbsDoKorelacji_NTech[[#This Row],[Usługi edukacyjne ocenianej uczelni mają wysoką wartość (okazja / szansa rozwoju własnego lub kariery).3]],SkalaLikerta[],2,0)</f>
        <v>5</v>
      </c>
    </row>
    <row r="885" spans="2:12" x14ac:dyDescent="0.45">
      <c r="B885" t="s">
        <v>2463</v>
      </c>
      <c r="C885">
        <v>1</v>
      </c>
      <c r="D885">
        <v>1</v>
      </c>
      <c r="E885">
        <v>0</v>
      </c>
      <c r="F885">
        <f>IF(AbsDoKorelacji_NTech[[#This Row],[CzyUczelniaTechniczna]]="Techniczna",1,0)</f>
        <v>0</v>
      </c>
      <c r="G885">
        <v>1500</v>
      </c>
      <c r="H885">
        <v>1500</v>
      </c>
      <c r="I885" t="s">
        <v>128</v>
      </c>
      <c r="J885">
        <f>VLOOKUP(AbsDoKorelacji_NTech[[#This Row],[Moja satysfakcja z (efektów) usług edukacyjnych ocenianej uczelni jest wysoka.]],SkalaLikerta[],2,0)</f>
        <v>3</v>
      </c>
      <c r="K885" t="s">
        <v>151</v>
      </c>
      <c r="L885">
        <f>VLOOKUP(AbsDoKorelacji_NTech[[#This Row],[Usługi edukacyjne ocenianej uczelni mają wysoką wartość (okazja / szansa rozwoju własnego lub kariery).3]],SkalaLikerta[],2,0)</f>
        <v>4</v>
      </c>
    </row>
    <row r="886" spans="2:12" x14ac:dyDescent="0.45">
      <c r="B886" t="s">
        <v>2463</v>
      </c>
      <c r="C886">
        <v>1</v>
      </c>
      <c r="D886">
        <v>1</v>
      </c>
      <c r="E886">
        <v>0</v>
      </c>
      <c r="F886">
        <f>IF(AbsDoKorelacji_NTech[[#This Row],[CzyUczelniaTechniczna]]="Techniczna",1,0)</f>
        <v>0</v>
      </c>
      <c r="G886">
        <v>1500</v>
      </c>
      <c r="H886">
        <v>2500</v>
      </c>
      <c r="I886" t="s">
        <v>162</v>
      </c>
      <c r="J886">
        <f>VLOOKUP(AbsDoKorelacji_NTech[[#This Row],[Moja satysfakcja z (efektów) usług edukacyjnych ocenianej uczelni jest wysoka.]],SkalaLikerta[],2,0)</f>
        <v>5</v>
      </c>
      <c r="K886" t="s">
        <v>151</v>
      </c>
      <c r="L886">
        <f>VLOOKUP(AbsDoKorelacji_NTech[[#This Row],[Usługi edukacyjne ocenianej uczelni mają wysoką wartość (okazja / szansa rozwoju własnego lub kariery).3]],SkalaLikerta[],2,0)</f>
        <v>4</v>
      </c>
    </row>
    <row r="887" spans="2:12" x14ac:dyDescent="0.45">
      <c r="B887" t="s">
        <v>2463</v>
      </c>
      <c r="C887">
        <v>1</v>
      </c>
      <c r="D887">
        <v>1</v>
      </c>
      <c r="E887">
        <v>0</v>
      </c>
      <c r="F887">
        <f>IF(AbsDoKorelacji_NTech[[#This Row],[CzyUczelniaTechniczna]]="Techniczna",1,0)</f>
        <v>0</v>
      </c>
      <c r="G887">
        <v>500</v>
      </c>
      <c r="H887">
        <v>500</v>
      </c>
      <c r="I887" t="s">
        <v>150</v>
      </c>
      <c r="J887">
        <f>VLOOKUP(AbsDoKorelacji_NTech[[#This Row],[Moja satysfakcja z (efektów) usług edukacyjnych ocenianej uczelni jest wysoka.]],SkalaLikerta[],2,0)</f>
        <v>6</v>
      </c>
      <c r="K887" t="s">
        <v>150</v>
      </c>
      <c r="L887">
        <f>VLOOKUP(AbsDoKorelacji_NTech[[#This Row],[Usługi edukacyjne ocenianej uczelni mają wysoką wartość (okazja / szansa rozwoju własnego lub kariery).3]],SkalaLikerta[],2,0)</f>
        <v>6</v>
      </c>
    </row>
    <row r="888" spans="2:12" x14ac:dyDescent="0.45">
      <c r="B888" t="s">
        <v>2463</v>
      </c>
      <c r="C888">
        <v>1</v>
      </c>
      <c r="D888">
        <v>1</v>
      </c>
      <c r="E888">
        <v>0</v>
      </c>
      <c r="F888">
        <f>IF(AbsDoKorelacji_NTech[[#This Row],[CzyUczelniaTechniczna]]="Techniczna",1,0)</f>
        <v>0</v>
      </c>
      <c r="G888">
        <v>1500</v>
      </c>
      <c r="H888">
        <v>2500</v>
      </c>
      <c r="I888" t="s">
        <v>150</v>
      </c>
      <c r="J888">
        <f>VLOOKUP(AbsDoKorelacji_NTech[[#This Row],[Moja satysfakcja z (efektów) usług edukacyjnych ocenianej uczelni jest wysoka.]],SkalaLikerta[],2,0)</f>
        <v>6</v>
      </c>
      <c r="K888" t="s">
        <v>169</v>
      </c>
      <c r="L888">
        <f>VLOOKUP(AbsDoKorelacji_NTech[[#This Row],[Usługi edukacyjne ocenianej uczelni mają wysoką wartość (okazja / szansa rozwoju własnego lub kariery).3]],SkalaLikerta[],2,0)</f>
        <v>7</v>
      </c>
    </row>
    <row r="889" spans="2:12" x14ac:dyDescent="0.45">
      <c r="B889" t="s">
        <v>2463</v>
      </c>
      <c r="C889">
        <v>1</v>
      </c>
      <c r="D889">
        <v>1</v>
      </c>
      <c r="E889">
        <v>1</v>
      </c>
      <c r="F889">
        <f>IF(AbsDoKorelacji_NTech[[#This Row],[CzyUczelniaTechniczna]]="Techniczna",1,0)</f>
        <v>0</v>
      </c>
      <c r="G889">
        <v>1500</v>
      </c>
      <c r="H889">
        <v>3500</v>
      </c>
      <c r="I889" t="s">
        <v>150</v>
      </c>
      <c r="J889">
        <f>VLOOKUP(AbsDoKorelacji_NTech[[#This Row],[Moja satysfakcja z (efektów) usług edukacyjnych ocenianej uczelni jest wysoka.]],SkalaLikerta[],2,0)</f>
        <v>6</v>
      </c>
      <c r="K889" t="s">
        <v>150</v>
      </c>
      <c r="L889">
        <f>VLOOKUP(AbsDoKorelacji_NTech[[#This Row],[Usługi edukacyjne ocenianej uczelni mają wysoką wartość (okazja / szansa rozwoju własnego lub kariery).3]],SkalaLikerta[],2,0)</f>
        <v>6</v>
      </c>
    </row>
    <row r="890" spans="2:12" x14ac:dyDescent="0.45">
      <c r="B890" t="s">
        <v>2463</v>
      </c>
      <c r="C890">
        <v>1</v>
      </c>
      <c r="D890">
        <v>1</v>
      </c>
      <c r="E890">
        <v>1</v>
      </c>
      <c r="F890">
        <f>IF(AbsDoKorelacji_NTech[[#This Row],[CzyUczelniaTechniczna]]="Techniczna",1,0)</f>
        <v>0</v>
      </c>
      <c r="G890">
        <v>1500</v>
      </c>
      <c r="H890">
        <v>1500</v>
      </c>
      <c r="I890" t="s">
        <v>128</v>
      </c>
      <c r="J890">
        <f>VLOOKUP(AbsDoKorelacji_NTech[[#This Row],[Moja satysfakcja z (efektów) usług edukacyjnych ocenianej uczelni jest wysoka.]],SkalaLikerta[],2,0)</f>
        <v>3</v>
      </c>
      <c r="K890" t="s">
        <v>128</v>
      </c>
      <c r="L890">
        <f>VLOOKUP(AbsDoKorelacji_NTech[[#This Row],[Usługi edukacyjne ocenianej uczelni mają wysoką wartość (okazja / szansa rozwoju własnego lub kariery).3]],SkalaLikerta[],2,0)</f>
        <v>3</v>
      </c>
    </row>
    <row r="891" spans="2:12" x14ac:dyDescent="0.45">
      <c r="B891" t="s">
        <v>2463</v>
      </c>
      <c r="C891">
        <v>1</v>
      </c>
      <c r="D891">
        <v>1</v>
      </c>
      <c r="E891">
        <v>2</v>
      </c>
      <c r="F891">
        <f>IF(AbsDoKorelacji_NTech[[#This Row],[CzyUczelniaTechniczna]]="Techniczna",1,0)</f>
        <v>0</v>
      </c>
      <c r="G891">
        <v>1500</v>
      </c>
      <c r="H891">
        <v>2500</v>
      </c>
      <c r="I891" t="s">
        <v>162</v>
      </c>
      <c r="J891">
        <f>VLOOKUP(AbsDoKorelacji_NTech[[#This Row],[Moja satysfakcja z (efektów) usług edukacyjnych ocenianej uczelni jest wysoka.]],SkalaLikerta[],2,0)</f>
        <v>5</v>
      </c>
      <c r="K891" t="s">
        <v>162</v>
      </c>
      <c r="L891">
        <f>VLOOKUP(AbsDoKorelacji_NTech[[#This Row],[Usługi edukacyjne ocenianej uczelni mają wysoką wartość (okazja / szansa rozwoju własnego lub kariery).3]],SkalaLikerta[],2,0)</f>
        <v>5</v>
      </c>
    </row>
    <row r="892" spans="2:12" x14ac:dyDescent="0.45">
      <c r="B892" t="s">
        <v>2463</v>
      </c>
      <c r="C892">
        <v>1</v>
      </c>
      <c r="D892">
        <v>1</v>
      </c>
      <c r="E892">
        <v>2</v>
      </c>
      <c r="F892">
        <f>IF(AbsDoKorelacji_NTech[[#This Row],[CzyUczelniaTechniczna]]="Techniczna",1,0)</f>
        <v>0</v>
      </c>
      <c r="G892">
        <v>1500</v>
      </c>
      <c r="H892">
        <v>3500</v>
      </c>
      <c r="I892" t="s">
        <v>162</v>
      </c>
      <c r="J892">
        <f>VLOOKUP(AbsDoKorelacji_NTech[[#This Row],[Moja satysfakcja z (efektów) usług edukacyjnych ocenianej uczelni jest wysoka.]],SkalaLikerta[],2,0)</f>
        <v>5</v>
      </c>
      <c r="K892" t="s">
        <v>162</v>
      </c>
      <c r="L892">
        <f>VLOOKUP(AbsDoKorelacji_NTech[[#This Row],[Usługi edukacyjne ocenianej uczelni mają wysoką wartość (okazja / szansa rozwoju własnego lub kariery).3]],SkalaLikerta[],2,0)</f>
        <v>5</v>
      </c>
    </row>
    <row r="893" spans="2:12" x14ac:dyDescent="0.45">
      <c r="B893" t="s">
        <v>2463</v>
      </c>
      <c r="C893">
        <v>1</v>
      </c>
      <c r="D893">
        <v>1</v>
      </c>
      <c r="E893">
        <v>2</v>
      </c>
      <c r="F893">
        <f>IF(AbsDoKorelacji_NTech[[#This Row],[CzyUczelniaTechniczna]]="Techniczna",1,0)</f>
        <v>0</v>
      </c>
      <c r="G893">
        <v>1500</v>
      </c>
      <c r="H893">
        <v>3500</v>
      </c>
      <c r="I893" t="s">
        <v>150</v>
      </c>
      <c r="J893">
        <f>VLOOKUP(AbsDoKorelacji_NTech[[#This Row],[Moja satysfakcja z (efektów) usług edukacyjnych ocenianej uczelni jest wysoka.]],SkalaLikerta[],2,0)</f>
        <v>6</v>
      </c>
      <c r="K893" t="s">
        <v>162</v>
      </c>
      <c r="L893">
        <f>VLOOKUP(AbsDoKorelacji_NTech[[#This Row],[Usługi edukacyjne ocenianej uczelni mają wysoką wartość (okazja / szansa rozwoju własnego lub kariery).3]],SkalaLikerta[],2,0)</f>
        <v>5</v>
      </c>
    </row>
    <row r="894" spans="2:12" x14ac:dyDescent="0.45">
      <c r="B894" t="s">
        <v>2463</v>
      </c>
      <c r="C894">
        <v>1</v>
      </c>
      <c r="D894">
        <v>1</v>
      </c>
      <c r="E894">
        <v>2</v>
      </c>
      <c r="F894">
        <f>IF(AbsDoKorelacji_NTech[[#This Row],[CzyUczelniaTechniczna]]="Techniczna",1,0)</f>
        <v>0</v>
      </c>
      <c r="G894">
        <v>2500</v>
      </c>
      <c r="H894">
        <v>2500</v>
      </c>
      <c r="I894" t="s">
        <v>162</v>
      </c>
      <c r="J894">
        <f>VLOOKUP(AbsDoKorelacji_NTech[[#This Row],[Moja satysfakcja z (efektów) usług edukacyjnych ocenianej uczelni jest wysoka.]],SkalaLikerta[],2,0)</f>
        <v>5</v>
      </c>
      <c r="K894" t="s">
        <v>151</v>
      </c>
      <c r="L894">
        <f>VLOOKUP(AbsDoKorelacji_NTech[[#This Row],[Usługi edukacyjne ocenianej uczelni mają wysoką wartość (okazja / szansa rozwoju własnego lub kariery).3]],SkalaLikerta[],2,0)</f>
        <v>4</v>
      </c>
    </row>
    <row r="895" spans="2:12" x14ac:dyDescent="0.45">
      <c r="B895" t="s">
        <v>2463</v>
      </c>
      <c r="C895">
        <v>1</v>
      </c>
      <c r="D895">
        <v>1</v>
      </c>
      <c r="E895">
        <v>2</v>
      </c>
      <c r="F895">
        <f>IF(AbsDoKorelacji_NTech[[#This Row],[CzyUczelniaTechniczna]]="Techniczna",1,0)</f>
        <v>0</v>
      </c>
      <c r="G895">
        <v>2500</v>
      </c>
      <c r="H895">
        <v>3500</v>
      </c>
      <c r="I895" t="s">
        <v>150</v>
      </c>
      <c r="J895">
        <f>VLOOKUP(AbsDoKorelacji_NTech[[#This Row],[Moja satysfakcja z (efektów) usług edukacyjnych ocenianej uczelni jest wysoka.]],SkalaLikerta[],2,0)</f>
        <v>6</v>
      </c>
      <c r="K895" t="s">
        <v>162</v>
      </c>
      <c r="L895">
        <f>VLOOKUP(AbsDoKorelacji_NTech[[#This Row],[Usługi edukacyjne ocenianej uczelni mają wysoką wartość (okazja / szansa rozwoju własnego lub kariery).3]],SkalaLikerta[],2,0)</f>
        <v>5</v>
      </c>
    </row>
    <row r="896" spans="2:12" x14ac:dyDescent="0.45">
      <c r="B896" t="s">
        <v>2463</v>
      </c>
      <c r="C896">
        <v>1</v>
      </c>
      <c r="D896">
        <v>1</v>
      </c>
      <c r="E896">
        <v>2</v>
      </c>
      <c r="F896">
        <f>IF(AbsDoKorelacji_NTech[[#This Row],[CzyUczelniaTechniczna]]="Techniczna",1,0)</f>
        <v>0</v>
      </c>
      <c r="G896">
        <v>1500</v>
      </c>
      <c r="H896">
        <v>2500</v>
      </c>
      <c r="I896" t="s">
        <v>150</v>
      </c>
      <c r="J896">
        <f>VLOOKUP(AbsDoKorelacji_NTech[[#This Row],[Moja satysfakcja z (efektów) usług edukacyjnych ocenianej uczelni jest wysoka.]],SkalaLikerta[],2,0)</f>
        <v>6</v>
      </c>
      <c r="K896" t="s">
        <v>162</v>
      </c>
      <c r="L896">
        <f>VLOOKUP(AbsDoKorelacji_NTech[[#This Row],[Usługi edukacyjne ocenianej uczelni mają wysoką wartość (okazja / szansa rozwoju własnego lub kariery).3]],SkalaLikerta[],2,0)</f>
        <v>5</v>
      </c>
    </row>
    <row r="897" spans="2:12" x14ac:dyDescent="0.45">
      <c r="B897" t="s">
        <v>2463</v>
      </c>
      <c r="C897">
        <v>1</v>
      </c>
      <c r="D897">
        <v>1</v>
      </c>
      <c r="E897">
        <v>3</v>
      </c>
      <c r="F897">
        <f>IF(AbsDoKorelacji_NTech[[#This Row],[CzyUczelniaTechniczna]]="Techniczna",1,0)</f>
        <v>0</v>
      </c>
      <c r="G897">
        <v>500</v>
      </c>
      <c r="H897">
        <v>3500</v>
      </c>
      <c r="I897" t="s">
        <v>150</v>
      </c>
      <c r="J897">
        <f>VLOOKUP(AbsDoKorelacji_NTech[[#This Row],[Moja satysfakcja z (efektów) usług edukacyjnych ocenianej uczelni jest wysoka.]],SkalaLikerta[],2,0)</f>
        <v>6</v>
      </c>
      <c r="K897" t="s">
        <v>150</v>
      </c>
      <c r="L897">
        <f>VLOOKUP(AbsDoKorelacji_NTech[[#This Row],[Usługi edukacyjne ocenianej uczelni mają wysoką wartość (okazja / szansa rozwoju własnego lub kariery).3]],SkalaLikerta[],2,0)</f>
        <v>6</v>
      </c>
    </row>
    <row r="898" spans="2:12" x14ac:dyDescent="0.45">
      <c r="B898" t="s">
        <v>2463</v>
      </c>
      <c r="C898">
        <v>1</v>
      </c>
      <c r="D898">
        <v>1</v>
      </c>
      <c r="E898">
        <v>3</v>
      </c>
      <c r="F898">
        <f>IF(AbsDoKorelacji_NTech[[#This Row],[CzyUczelniaTechniczna]]="Techniczna",1,0)</f>
        <v>0</v>
      </c>
      <c r="G898">
        <v>1500</v>
      </c>
      <c r="H898">
        <v>2500</v>
      </c>
      <c r="I898" t="s">
        <v>151</v>
      </c>
      <c r="J898">
        <f>VLOOKUP(AbsDoKorelacji_NTech[[#This Row],[Moja satysfakcja z (efektów) usług edukacyjnych ocenianej uczelni jest wysoka.]],SkalaLikerta[],2,0)</f>
        <v>4</v>
      </c>
      <c r="K898" t="s">
        <v>151</v>
      </c>
      <c r="L898">
        <f>VLOOKUP(AbsDoKorelacji_NTech[[#This Row],[Usługi edukacyjne ocenianej uczelni mają wysoką wartość (okazja / szansa rozwoju własnego lub kariery).3]],SkalaLikerta[],2,0)</f>
        <v>4</v>
      </c>
    </row>
    <row r="899" spans="2:12" x14ac:dyDescent="0.45">
      <c r="B899" t="s">
        <v>2463</v>
      </c>
      <c r="C899">
        <v>1</v>
      </c>
      <c r="D899">
        <v>1</v>
      </c>
      <c r="E899">
        <v>3</v>
      </c>
      <c r="F899">
        <f>IF(AbsDoKorelacji_NTech[[#This Row],[CzyUczelniaTechniczna]]="Techniczna",1,0)</f>
        <v>0</v>
      </c>
      <c r="G899">
        <v>500</v>
      </c>
      <c r="H899">
        <v>500</v>
      </c>
      <c r="I899" t="s">
        <v>150</v>
      </c>
      <c r="J899">
        <f>VLOOKUP(AbsDoKorelacji_NTech[[#This Row],[Moja satysfakcja z (efektów) usług edukacyjnych ocenianej uczelni jest wysoka.]],SkalaLikerta[],2,0)</f>
        <v>6</v>
      </c>
      <c r="K899" t="s">
        <v>162</v>
      </c>
      <c r="L899">
        <f>VLOOKUP(AbsDoKorelacji_NTech[[#This Row],[Usługi edukacyjne ocenianej uczelni mają wysoką wartość (okazja / szansa rozwoju własnego lub kariery).3]],SkalaLikerta[],2,0)</f>
        <v>5</v>
      </c>
    </row>
    <row r="900" spans="2:12" x14ac:dyDescent="0.45">
      <c r="B900" t="s">
        <v>2463</v>
      </c>
      <c r="C900">
        <v>1</v>
      </c>
      <c r="D900">
        <v>1</v>
      </c>
      <c r="E900">
        <v>3</v>
      </c>
      <c r="F900">
        <f>IF(AbsDoKorelacji_NTech[[#This Row],[CzyUczelniaTechniczna]]="Techniczna",1,0)</f>
        <v>0</v>
      </c>
      <c r="G900">
        <v>2500</v>
      </c>
      <c r="H900">
        <v>8500</v>
      </c>
      <c r="I900" t="s">
        <v>150</v>
      </c>
      <c r="J900">
        <f>VLOOKUP(AbsDoKorelacji_NTech[[#This Row],[Moja satysfakcja z (efektów) usług edukacyjnych ocenianej uczelni jest wysoka.]],SkalaLikerta[],2,0)</f>
        <v>6</v>
      </c>
      <c r="K900" t="s">
        <v>150</v>
      </c>
      <c r="L900">
        <f>VLOOKUP(AbsDoKorelacji_NTech[[#This Row],[Usługi edukacyjne ocenianej uczelni mają wysoką wartość (okazja / szansa rozwoju własnego lub kariery).3]],SkalaLikerta[],2,0)</f>
        <v>6</v>
      </c>
    </row>
    <row r="901" spans="2:12" x14ac:dyDescent="0.45">
      <c r="B901" t="s">
        <v>2463</v>
      </c>
      <c r="C901">
        <v>1</v>
      </c>
      <c r="D901">
        <v>1</v>
      </c>
      <c r="E901">
        <v>3</v>
      </c>
      <c r="F901">
        <f>IF(AbsDoKorelacji_NTech[[#This Row],[CzyUczelniaTechniczna]]="Techniczna",1,0)</f>
        <v>0</v>
      </c>
      <c r="G901">
        <v>1500</v>
      </c>
      <c r="H901">
        <v>2500</v>
      </c>
      <c r="I901" t="s">
        <v>162</v>
      </c>
      <c r="J901">
        <f>VLOOKUP(AbsDoKorelacji_NTech[[#This Row],[Moja satysfakcja z (efektów) usług edukacyjnych ocenianej uczelni jest wysoka.]],SkalaLikerta[],2,0)</f>
        <v>5</v>
      </c>
      <c r="K901" t="s">
        <v>162</v>
      </c>
      <c r="L901">
        <f>VLOOKUP(AbsDoKorelacji_NTech[[#This Row],[Usługi edukacyjne ocenianej uczelni mają wysoką wartość (okazja / szansa rozwoju własnego lub kariery).3]],SkalaLikerta[],2,0)</f>
        <v>5</v>
      </c>
    </row>
    <row r="902" spans="2:12" x14ac:dyDescent="0.45">
      <c r="B902" t="s">
        <v>2463</v>
      </c>
      <c r="C902">
        <v>1</v>
      </c>
      <c r="D902">
        <v>1</v>
      </c>
      <c r="E902">
        <v>3</v>
      </c>
      <c r="F902">
        <f>IF(AbsDoKorelacji_NTech[[#This Row],[CzyUczelniaTechniczna]]="Techniczna",1,0)</f>
        <v>0</v>
      </c>
      <c r="G902">
        <v>1500</v>
      </c>
      <c r="H902">
        <v>3500</v>
      </c>
      <c r="I902" t="s">
        <v>128</v>
      </c>
      <c r="J902">
        <f>VLOOKUP(AbsDoKorelacji_NTech[[#This Row],[Moja satysfakcja z (efektów) usług edukacyjnych ocenianej uczelni jest wysoka.]],SkalaLikerta[],2,0)</f>
        <v>3</v>
      </c>
      <c r="K902" t="s">
        <v>128</v>
      </c>
      <c r="L902">
        <f>VLOOKUP(AbsDoKorelacji_NTech[[#This Row],[Usługi edukacyjne ocenianej uczelni mają wysoką wartość (okazja / szansa rozwoju własnego lub kariery).3]],SkalaLikerta[],2,0)</f>
        <v>3</v>
      </c>
    </row>
    <row r="903" spans="2:12" x14ac:dyDescent="0.45">
      <c r="B903" t="s">
        <v>2463</v>
      </c>
      <c r="C903">
        <v>1</v>
      </c>
      <c r="D903">
        <v>1</v>
      </c>
      <c r="E903">
        <v>4</v>
      </c>
      <c r="F903">
        <f>IF(AbsDoKorelacji_NTech[[#This Row],[CzyUczelniaTechniczna]]="Techniczna",1,0)</f>
        <v>0</v>
      </c>
      <c r="G903">
        <v>1500</v>
      </c>
      <c r="H903">
        <v>1500</v>
      </c>
      <c r="I903" t="s">
        <v>151</v>
      </c>
      <c r="J903">
        <f>VLOOKUP(AbsDoKorelacji_NTech[[#This Row],[Moja satysfakcja z (efektów) usług edukacyjnych ocenianej uczelni jest wysoka.]],SkalaLikerta[],2,0)</f>
        <v>4</v>
      </c>
      <c r="K903" t="s">
        <v>236</v>
      </c>
      <c r="L903">
        <f>VLOOKUP(AbsDoKorelacji_NTech[[#This Row],[Usługi edukacyjne ocenianej uczelni mają wysoką wartość (okazja / szansa rozwoju własnego lub kariery).3]],SkalaLikerta[],2,0)</f>
        <v>2</v>
      </c>
    </row>
    <row r="904" spans="2:12" x14ac:dyDescent="0.45">
      <c r="B904" t="s">
        <v>2463</v>
      </c>
      <c r="C904">
        <v>1</v>
      </c>
      <c r="D904">
        <v>1</v>
      </c>
      <c r="E904">
        <v>4</v>
      </c>
      <c r="F904">
        <f>IF(AbsDoKorelacji_NTech[[#This Row],[CzyUczelniaTechniczna]]="Techniczna",1,0)</f>
        <v>0</v>
      </c>
      <c r="G904">
        <v>500</v>
      </c>
      <c r="H904">
        <v>1500</v>
      </c>
      <c r="I904" t="s">
        <v>162</v>
      </c>
      <c r="J904">
        <f>VLOOKUP(AbsDoKorelacji_NTech[[#This Row],[Moja satysfakcja z (efektów) usług edukacyjnych ocenianej uczelni jest wysoka.]],SkalaLikerta[],2,0)</f>
        <v>5</v>
      </c>
      <c r="K904" t="s">
        <v>162</v>
      </c>
      <c r="L904">
        <f>VLOOKUP(AbsDoKorelacji_NTech[[#This Row],[Usługi edukacyjne ocenianej uczelni mają wysoką wartość (okazja / szansa rozwoju własnego lub kariery).3]],SkalaLikerta[],2,0)</f>
        <v>5</v>
      </c>
    </row>
    <row r="905" spans="2:12" x14ac:dyDescent="0.45">
      <c r="B905" t="s">
        <v>2463</v>
      </c>
      <c r="C905">
        <v>1</v>
      </c>
      <c r="D905">
        <v>1</v>
      </c>
      <c r="E905">
        <v>4</v>
      </c>
      <c r="F905">
        <f>IF(AbsDoKorelacji_NTech[[#This Row],[CzyUczelniaTechniczna]]="Techniczna",1,0)</f>
        <v>0</v>
      </c>
      <c r="G905">
        <v>1500</v>
      </c>
      <c r="H905">
        <v>1500</v>
      </c>
      <c r="I905" t="s">
        <v>169</v>
      </c>
      <c r="J905">
        <f>VLOOKUP(AbsDoKorelacji_NTech[[#This Row],[Moja satysfakcja z (efektów) usług edukacyjnych ocenianej uczelni jest wysoka.]],SkalaLikerta[],2,0)</f>
        <v>7</v>
      </c>
      <c r="K905" t="s">
        <v>169</v>
      </c>
      <c r="L905">
        <f>VLOOKUP(AbsDoKorelacji_NTech[[#This Row],[Usługi edukacyjne ocenianej uczelni mają wysoką wartość (okazja / szansa rozwoju własnego lub kariery).3]],SkalaLikerta[],2,0)</f>
        <v>7</v>
      </c>
    </row>
    <row r="906" spans="2:12" x14ac:dyDescent="0.45">
      <c r="B906" t="s">
        <v>2463</v>
      </c>
      <c r="C906">
        <v>1</v>
      </c>
      <c r="D906">
        <v>1</v>
      </c>
      <c r="E906">
        <v>5</v>
      </c>
      <c r="F906">
        <f>IF(AbsDoKorelacji_NTech[[#This Row],[CzyUczelniaTechniczna]]="Techniczna",1,0)</f>
        <v>0</v>
      </c>
      <c r="G906">
        <v>2500</v>
      </c>
      <c r="H906">
        <v>2500</v>
      </c>
      <c r="I906" t="s">
        <v>162</v>
      </c>
      <c r="J906">
        <f>VLOOKUP(AbsDoKorelacji_NTech[[#This Row],[Moja satysfakcja z (efektów) usług edukacyjnych ocenianej uczelni jest wysoka.]],SkalaLikerta[],2,0)</f>
        <v>5</v>
      </c>
      <c r="K906" t="s">
        <v>162</v>
      </c>
      <c r="L906">
        <f>VLOOKUP(AbsDoKorelacji_NTech[[#This Row],[Usługi edukacyjne ocenianej uczelni mają wysoką wartość (okazja / szansa rozwoju własnego lub kariery).3]],SkalaLikerta[],2,0)</f>
        <v>5</v>
      </c>
    </row>
    <row r="907" spans="2:12" x14ac:dyDescent="0.45">
      <c r="B907" t="s">
        <v>2463</v>
      </c>
      <c r="C907">
        <v>1</v>
      </c>
      <c r="D907">
        <v>1</v>
      </c>
      <c r="E907">
        <v>9</v>
      </c>
      <c r="F907">
        <f>IF(AbsDoKorelacji_NTech[[#This Row],[CzyUczelniaTechniczna]]="Techniczna",1,0)</f>
        <v>0</v>
      </c>
      <c r="G907">
        <v>1500</v>
      </c>
      <c r="H907">
        <v>3500</v>
      </c>
      <c r="I907" t="s">
        <v>162</v>
      </c>
      <c r="J907">
        <f>VLOOKUP(AbsDoKorelacji_NTech[[#This Row],[Moja satysfakcja z (efektów) usług edukacyjnych ocenianej uczelni jest wysoka.]],SkalaLikerta[],2,0)</f>
        <v>5</v>
      </c>
      <c r="K907" t="s">
        <v>151</v>
      </c>
      <c r="L907">
        <f>VLOOKUP(AbsDoKorelacji_NTech[[#This Row],[Usługi edukacyjne ocenianej uczelni mają wysoką wartość (okazja / szansa rozwoju własnego lub kariery).3]],SkalaLikerta[],2,0)</f>
        <v>4</v>
      </c>
    </row>
    <row r="908" spans="2:12" x14ac:dyDescent="0.45">
      <c r="B908" t="s">
        <v>2463</v>
      </c>
      <c r="C908">
        <v>1</v>
      </c>
      <c r="D908">
        <v>1</v>
      </c>
      <c r="E908" t="s">
        <v>814</v>
      </c>
      <c r="F908">
        <f>IF(AbsDoKorelacji_NTech[[#This Row],[CzyUczelniaTechniczna]]="Techniczna",1,0)</f>
        <v>0</v>
      </c>
      <c r="G908">
        <v>1500</v>
      </c>
      <c r="H908">
        <v>1500</v>
      </c>
      <c r="I908" t="s">
        <v>162</v>
      </c>
      <c r="J908">
        <f>VLOOKUP(AbsDoKorelacji_NTech[[#This Row],[Moja satysfakcja z (efektów) usług edukacyjnych ocenianej uczelni jest wysoka.]],SkalaLikerta[],2,0)</f>
        <v>5</v>
      </c>
      <c r="K908" t="s">
        <v>162</v>
      </c>
      <c r="L908">
        <f>VLOOKUP(AbsDoKorelacji_NTech[[#This Row],[Usługi edukacyjne ocenianej uczelni mają wysoką wartość (okazja / szansa rozwoju własnego lub kariery).3]],SkalaLikerta[],2,0)</f>
        <v>5</v>
      </c>
    </row>
    <row r="909" spans="2:12" x14ac:dyDescent="0.45">
      <c r="B909" t="s">
        <v>2463</v>
      </c>
      <c r="C909">
        <v>1</v>
      </c>
      <c r="D909">
        <v>1</v>
      </c>
      <c r="E909" t="s">
        <v>814</v>
      </c>
      <c r="F909">
        <f>IF(AbsDoKorelacji_NTech[[#This Row],[CzyUczelniaTechniczna]]="Techniczna",1,0)</f>
        <v>0</v>
      </c>
      <c r="G909">
        <v>1500</v>
      </c>
      <c r="H909">
        <v>1500</v>
      </c>
      <c r="I909" t="s">
        <v>150</v>
      </c>
      <c r="J909">
        <f>VLOOKUP(AbsDoKorelacji_NTech[[#This Row],[Moja satysfakcja z (efektów) usług edukacyjnych ocenianej uczelni jest wysoka.]],SkalaLikerta[],2,0)</f>
        <v>6</v>
      </c>
      <c r="K909" t="s">
        <v>150</v>
      </c>
      <c r="L909">
        <f>VLOOKUP(AbsDoKorelacji_NTech[[#This Row],[Usługi edukacyjne ocenianej uczelni mają wysoką wartość (okazja / szansa rozwoju własnego lub kariery).3]],SkalaLikerta[],2,0)</f>
        <v>6</v>
      </c>
    </row>
    <row r="910" spans="2:12" x14ac:dyDescent="0.45">
      <c r="B910" t="s">
        <v>2463</v>
      </c>
      <c r="C910">
        <v>1</v>
      </c>
      <c r="D910">
        <v>1</v>
      </c>
      <c r="E910" t="s">
        <v>405</v>
      </c>
      <c r="F910">
        <f>IF(AbsDoKorelacji_NTech[[#This Row],[CzyUczelniaTechniczna]]="Techniczna",1,0)</f>
        <v>0</v>
      </c>
      <c r="G910">
        <v>1500</v>
      </c>
      <c r="H910">
        <v>2500</v>
      </c>
      <c r="I910" t="s">
        <v>151</v>
      </c>
      <c r="J910">
        <f>VLOOKUP(AbsDoKorelacji_NTech[[#This Row],[Moja satysfakcja z (efektów) usług edukacyjnych ocenianej uczelni jest wysoka.]],SkalaLikerta[],2,0)</f>
        <v>4</v>
      </c>
      <c r="K910" t="s">
        <v>150</v>
      </c>
      <c r="L910">
        <f>VLOOKUP(AbsDoKorelacji_NTech[[#This Row],[Usługi edukacyjne ocenianej uczelni mają wysoką wartość (okazja / szansa rozwoju własnego lub kariery).3]],SkalaLikerta[],2,0)</f>
        <v>6</v>
      </c>
    </row>
    <row r="911" spans="2:12" x14ac:dyDescent="0.45">
      <c r="B911" t="s">
        <v>2463</v>
      </c>
      <c r="C911">
        <v>1</v>
      </c>
      <c r="D911">
        <v>1</v>
      </c>
      <c r="E911" t="s">
        <v>1484</v>
      </c>
      <c r="F911">
        <f>IF(AbsDoKorelacji_NTech[[#This Row],[CzyUczelniaTechniczna]]="Techniczna",1,0)</f>
        <v>0</v>
      </c>
      <c r="G911">
        <v>3500</v>
      </c>
      <c r="H911">
        <v>3500</v>
      </c>
      <c r="I911" t="s">
        <v>151</v>
      </c>
      <c r="J911">
        <f>VLOOKUP(AbsDoKorelacji_NTech[[#This Row],[Moja satysfakcja z (efektów) usług edukacyjnych ocenianej uczelni jest wysoka.]],SkalaLikerta[],2,0)</f>
        <v>4</v>
      </c>
      <c r="K911" t="s">
        <v>128</v>
      </c>
      <c r="L911">
        <f>VLOOKUP(AbsDoKorelacji_NTech[[#This Row],[Usługi edukacyjne ocenianej uczelni mają wysoką wartość (okazja / szansa rozwoju własnego lub kariery).3]],SkalaLikerta[],2,0)</f>
        <v>3</v>
      </c>
    </row>
    <row r="912" spans="2:12" x14ac:dyDescent="0.45">
      <c r="B912" t="s">
        <v>2463</v>
      </c>
      <c r="C912">
        <v>1</v>
      </c>
      <c r="D912">
        <v>1</v>
      </c>
      <c r="E912" t="s">
        <v>920</v>
      </c>
      <c r="F912">
        <f>IF(AbsDoKorelacji_NTech[[#This Row],[CzyUczelniaTechniczna]]="Techniczna",1,0)</f>
        <v>0</v>
      </c>
      <c r="G912">
        <v>2500</v>
      </c>
      <c r="H912">
        <v>2500</v>
      </c>
      <c r="I912" t="s">
        <v>169</v>
      </c>
      <c r="J912">
        <f>VLOOKUP(AbsDoKorelacji_NTech[[#This Row],[Moja satysfakcja z (efektów) usług edukacyjnych ocenianej uczelni jest wysoka.]],SkalaLikerta[],2,0)</f>
        <v>7</v>
      </c>
      <c r="K912" t="s">
        <v>169</v>
      </c>
      <c r="L912">
        <f>VLOOKUP(AbsDoKorelacji_NTech[[#This Row],[Usługi edukacyjne ocenianej uczelni mają wysoką wartość (okazja / szansa rozwoju własnego lub kariery).3]],SkalaLikerta[],2,0)</f>
        <v>7</v>
      </c>
    </row>
    <row r="913" spans="2:12" x14ac:dyDescent="0.45">
      <c r="B913" t="s">
        <v>2463</v>
      </c>
      <c r="C913">
        <v>1</v>
      </c>
      <c r="D913">
        <v>1</v>
      </c>
      <c r="E913" t="s">
        <v>1516</v>
      </c>
      <c r="F913">
        <f>IF(AbsDoKorelacji_NTech[[#This Row],[CzyUczelniaTechniczna]]="Techniczna",1,0)</f>
        <v>0</v>
      </c>
      <c r="G913">
        <v>10500</v>
      </c>
      <c r="H913">
        <v>10500</v>
      </c>
      <c r="I913" t="s">
        <v>162</v>
      </c>
      <c r="J913">
        <f>VLOOKUP(AbsDoKorelacji_NTech[[#This Row],[Moja satysfakcja z (efektów) usług edukacyjnych ocenianej uczelni jest wysoka.]],SkalaLikerta[],2,0)</f>
        <v>5</v>
      </c>
      <c r="K913" t="s">
        <v>151</v>
      </c>
      <c r="L913">
        <f>VLOOKUP(AbsDoKorelacji_NTech[[#This Row],[Usługi edukacyjne ocenianej uczelni mają wysoką wartość (okazja / szansa rozwoju własnego lub kariery).3]],SkalaLikerta[],2,0)</f>
        <v>4</v>
      </c>
    </row>
    <row r="914" spans="2:12" x14ac:dyDescent="0.45">
      <c r="B914" t="s">
        <v>2463</v>
      </c>
      <c r="C914">
        <v>1</v>
      </c>
      <c r="D914">
        <v>1</v>
      </c>
      <c r="E914" t="s">
        <v>1714</v>
      </c>
      <c r="F914">
        <f>IF(AbsDoKorelacji_NTech[[#This Row],[CzyUczelniaTechniczna]]="Techniczna",1,0)</f>
        <v>0</v>
      </c>
      <c r="G914">
        <v>1500</v>
      </c>
      <c r="H914">
        <v>1500</v>
      </c>
      <c r="I914" t="s">
        <v>162</v>
      </c>
      <c r="J914">
        <f>VLOOKUP(AbsDoKorelacji_NTech[[#This Row],[Moja satysfakcja z (efektów) usług edukacyjnych ocenianej uczelni jest wysoka.]],SkalaLikerta[],2,0)</f>
        <v>5</v>
      </c>
      <c r="K914" t="s">
        <v>162</v>
      </c>
      <c r="L914">
        <f>VLOOKUP(AbsDoKorelacji_NTech[[#This Row],[Usługi edukacyjne ocenianej uczelni mają wysoką wartość (okazja / szansa rozwoju własnego lub kariery).3]],SkalaLikerta[],2,0)</f>
        <v>5</v>
      </c>
    </row>
    <row r="915" spans="2:12" x14ac:dyDescent="0.45">
      <c r="B915" t="s">
        <v>2463</v>
      </c>
      <c r="C915">
        <v>1</v>
      </c>
      <c r="D915">
        <v>1</v>
      </c>
      <c r="E915" t="s">
        <v>1848</v>
      </c>
      <c r="F915">
        <f>IF(AbsDoKorelacji_NTech[[#This Row],[CzyUczelniaTechniczna]]="Techniczna",1,0)</f>
        <v>0</v>
      </c>
      <c r="G915">
        <v>2500</v>
      </c>
      <c r="H915" t="s">
        <v>2329</v>
      </c>
      <c r="I915" t="s">
        <v>162</v>
      </c>
      <c r="J915">
        <f>VLOOKUP(AbsDoKorelacji_NTech[[#This Row],[Moja satysfakcja z (efektów) usług edukacyjnych ocenianej uczelni jest wysoka.]],SkalaLikerta[],2,0)</f>
        <v>5</v>
      </c>
      <c r="K915" t="s">
        <v>162</v>
      </c>
      <c r="L915">
        <f>VLOOKUP(AbsDoKorelacji_NTech[[#This Row],[Usługi edukacyjne ocenianej uczelni mają wysoką wartość (okazja / szansa rozwoju własnego lub kariery).3]],SkalaLikerta[],2,0)</f>
        <v>5</v>
      </c>
    </row>
    <row r="916" spans="2:12" x14ac:dyDescent="0.45">
      <c r="B916" t="s">
        <v>2463</v>
      </c>
      <c r="C916">
        <v>0</v>
      </c>
      <c r="D916">
        <v>0</v>
      </c>
      <c r="E916" t="s">
        <v>2036</v>
      </c>
      <c r="F916">
        <f>IF(AbsDoKorelacji_NTech[[#This Row],[CzyUczelniaTechniczna]]="Techniczna",1,0)</f>
        <v>0</v>
      </c>
      <c r="G916" t="s">
        <v>2329</v>
      </c>
      <c r="H916" t="s">
        <v>2329</v>
      </c>
      <c r="I916" t="s">
        <v>132</v>
      </c>
      <c r="J916" t="str">
        <f>VLOOKUP(AbsDoKorelacji_NTech[[#This Row],[Moja satysfakcja z (efektów) usług edukacyjnych ocenianej uczelni jest wysoka.]],SkalaLikerta[],2,0)</f>
        <v>N/D</v>
      </c>
      <c r="K916" t="s">
        <v>132</v>
      </c>
      <c r="L916" t="str">
        <f>VLOOKUP(AbsDoKorelacji_NTech[[#This Row],[Usługi edukacyjne ocenianej uczelni mają wysoką wartość (okazja / szansa rozwoju własnego lub kariery).3]],SkalaLikerta[],2,0)</f>
        <v>N/D</v>
      </c>
    </row>
    <row r="917" spans="2:12" x14ac:dyDescent="0.45">
      <c r="B917" t="s">
        <v>2463</v>
      </c>
      <c r="C917">
        <v>1</v>
      </c>
      <c r="D917">
        <v>1</v>
      </c>
      <c r="E917" t="s">
        <v>1441</v>
      </c>
      <c r="F917">
        <f>IF(AbsDoKorelacji_NTech[[#This Row],[CzyUczelniaTechniczna]]="Techniczna",1,0)</f>
        <v>0</v>
      </c>
      <c r="G917">
        <v>2500</v>
      </c>
      <c r="H917">
        <v>4500</v>
      </c>
      <c r="I917" t="s">
        <v>128</v>
      </c>
      <c r="J917">
        <f>VLOOKUP(AbsDoKorelacji_NTech[[#This Row],[Moja satysfakcja z (efektów) usług edukacyjnych ocenianej uczelni jest wysoka.]],SkalaLikerta[],2,0)</f>
        <v>3</v>
      </c>
      <c r="K917" t="s">
        <v>128</v>
      </c>
      <c r="L917">
        <f>VLOOKUP(AbsDoKorelacji_NTech[[#This Row],[Usługi edukacyjne ocenianej uczelni mają wysoką wartość (okazja / szansa rozwoju własnego lub kariery).3]],SkalaLikerta[],2,0)</f>
        <v>3</v>
      </c>
    </row>
    <row r="918" spans="2:12" x14ac:dyDescent="0.45">
      <c r="B918" t="s">
        <v>2463</v>
      </c>
      <c r="C918">
        <v>1</v>
      </c>
      <c r="D918">
        <v>1</v>
      </c>
      <c r="E918" t="s">
        <v>515</v>
      </c>
      <c r="F918">
        <f>IF(AbsDoKorelacji_NTech[[#This Row],[CzyUczelniaTechniczna]]="Techniczna",1,0)</f>
        <v>0</v>
      </c>
      <c r="G918">
        <v>2500</v>
      </c>
      <c r="H918" t="s">
        <v>2329</v>
      </c>
      <c r="I918" t="s">
        <v>150</v>
      </c>
      <c r="J918">
        <f>VLOOKUP(AbsDoKorelacji_NTech[[#This Row],[Moja satysfakcja z (efektów) usług edukacyjnych ocenianej uczelni jest wysoka.]],SkalaLikerta[],2,0)</f>
        <v>6</v>
      </c>
      <c r="K918" t="s">
        <v>169</v>
      </c>
      <c r="L918">
        <f>VLOOKUP(AbsDoKorelacji_NTech[[#This Row],[Usługi edukacyjne ocenianej uczelni mają wysoką wartość (okazja / szansa rozwoju własnego lub kariery).3]],SkalaLikerta[],2,0)</f>
        <v>7</v>
      </c>
    </row>
    <row r="919" spans="2:12" x14ac:dyDescent="0.45">
      <c r="B919" t="s">
        <v>2463</v>
      </c>
      <c r="C919">
        <v>1</v>
      </c>
      <c r="D919">
        <v>1</v>
      </c>
      <c r="E919" t="s">
        <v>383</v>
      </c>
      <c r="F919">
        <f>IF(AbsDoKorelacji_NTech[[#This Row],[CzyUczelniaTechniczna]]="Techniczna",1,0)</f>
        <v>0</v>
      </c>
      <c r="G919">
        <v>500</v>
      </c>
      <c r="H919">
        <v>500</v>
      </c>
      <c r="I919" t="s">
        <v>169</v>
      </c>
      <c r="J919">
        <f>VLOOKUP(AbsDoKorelacji_NTech[[#This Row],[Moja satysfakcja z (efektów) usług edukacyjnych ocenianej uczelni jest wysoka.]],SkalaLikerta[],2,0)</f>
        <v>7</v>
      </c>
      <c r="K919" t="s">
        <v>169</v>
      </c>
      <c r="L919">
        <f>VLOOKUP(AbsDoKorelacji_NTech[[#This Row],[Usługi edukacyjne ocenianej uczelni mają wysoką wartość (okazja / szansa rozwoju własnego lub kariery).3]],SkalaLikerta[],2,0)</f>
        <v>7</v>
      </c>
    </row>
    <row r="920" spans="2:12" x14ac:dyDescent="0.45">
      <c r="B920" t="s">
        <v>2463</v>
      </c>
      <c r="C920">
        <v>0</v>
      </c>
      <c r="D920">
        <v>0</v>
      </c>
      <c r="E920" t="s">
        <v>661</v>
      </c>
      <c r="F920">
        <f>IF(AbsDoKorelacji_NTech[[#This Row],[CzyUczelniaTechniczna]]="Techniczna",1,0)</f>
        <v>0</v>
      </c>
      <c r="G920">
        <v>2500</v>
      </c>
      <c r="H920" t="s">
        <v>2329</v>
      </c>
      <c r="I920" t="s">
        <v>169</v>
      </c>
      <c r="J920">
        <f>VLOOKUP(AbsDoKorelacji_NTech[[#This Row],[Moja satysfakcja z (efektów) usług edukacyjnych ocenianej uczelni jest wysoka.]],SkalaLikerta[],2,0)</f>
        <v>7</v>
      </c>
      <c r="K920" t="s">
        <v>169</v>
      </c>
      <c r="L920">
        <f>VLOOKUP(AbsDoKorelacji_NTech[[#This Row],[Usługi edukacyjne ocenianej uczelni mają wysoką wartość (okazja / szansa rozwoju własnego lub kariery).3]],SkalaLikerta[],2,0)</f>
        <v>7</v>
      </c>
    </row>
    <row r="921" spans="2:12" x14ac:dyDescent="0.45">
      <c r="B921" t="s">
        <v>2463</v>
      </c>
      <c r="C921">
        <v>1</v>
      </c>
      <c r="D921">
        <v>1</v>
      </c>
      <c r="E921" t="s">
        <v>1638</v>
      </c>
      <c r="F921">
        <f>IF(AbsDoKorelacji_NTech[[#This Row],[CzyUczelniaTechniczna]]="Techniczna",1,0)</f>
        <v>0</v>
      </c>
      <c r="G921">
        <v>500</v>
      </c>
      <c r="H921">
        <v>3500</v>
      </c>
      <c r="I921" t="s">
        <v>150</v>
      </c>
      <c r="J921">
        <f>VLOOKUP(AbsDoKorelacji_NTech[[#This Row],[Moja satysfakcja z (efektów) usług edukacyjnych ocenianej uczelni jest wysoka.]],SkalaLikerta[],2,0)</f>
        <v>6</v>
      </c>
      <c r="K921" t="s">
        <v>150</v>
      </c>
      <c r="L921">
        <f>VLOOKUP(AbsDoKorelacji_NTech[[#This Row],[Usługi edukacyjne ocenianej uczelni mają wysoką wartość (okazja / szansa rozwoju własnego lub kariery).3]],SkalaLikerta[],2,0)</f>
        <v>6</v>
      </c>
    </row>
    <row r="922" spans="2:12" x14ac:dyDescent="0.45">
      <c r="B922" t="s">
        <v>2463</v>
      </c>
      <c r="C922">
        <v>1</v>
      </c>
      <c r="D922">
        <v>1</v>
      </c>
      <c r="E922" t="s">
        <v>1216</v>
      </c>
      <c r="F922">
        <f>IF(AbsDoKorelacji_NTech[[#This Row],[CzyUczelniaTechniczna]]="Techniczna",1,0)</f>
        <v>0</v>
      </c>
      <c r="G922">
        <v>1500</v>
      </c>
      <c r="H922">
        <v>1500</v>
      </c>
      <c r="I922" t="s">
        <v>150</v>
      </c>
      <c r="J922">
        <f>VLOOKUP(AbsDoKorelacji_NTech[[#This Row],[Moja satysfakcja z (efektów) usług edukacyjnych ocenianej uczelni jest wysoka.]],SkalaLikerta[],2,0)</f>
        <v>6</v>
      </c>
      <c r="K922" t="s">
        <v>150</v>
      </c>
      <c r="L922">
        <f>VLOOKUP(AbsDoKorelacji_NTech[[#This Row],[Usługi edukacyjne ocenianej uczelni mają wysoką wartość (okazja / szansa rozwoju własnego lub kariery).3]],SkalaLikerta[],2,0)</f>
        <v>6</v>
      </c>
    </row>
    <row r="923" spans="2:12" x14ac:dyDescent="0.45">
      <c r="B923" t="s">
        <v>2463</v>
      </c>
      <c r="C923">
        <v>1</v>
      </c>
      <c r="D923">
        <v>1</v>
      </c>
      <c r="E923" t="s">
        <v>225</v>
      </c>
      <c r="F923">
        <f>IF(AbsDoKorelacji_NTech[[#This Row],[CzyUczelniaTechniczna]]="Techniczna",1,0)</f>
        <v>0</v>
      </c>
      <c r="G923">
        <v>3500</v>
      </c>
      <c r="H923">
        <v>4500</v>
      </c>
      <c r="I923" t="s">
        <v>162</v>
      </c>
      <c r="J923">
        <f>VLOOKUP(AbsDoKorelacji_NTech[[#This Row],[Moja satysfakcja z (efektów) usług edukacyjnych ocenianej uczelni jest wysoka.]],SkalaLikerta[],2,0)</f>
        <v>5</v>
      </c>
      <c r="K923" t="s">
        <v>162</v>
      </c>
      <c r="L923">
        <f>VLOOKUP(AbsDoKorelacji_NTech[[#This Row],[Usługi edukacyjne ocenianej uczelni mają wysoką wartość (okazja / szansa rozwoju własnego lub kariery).3]],SkalaLikerta[],2,0)</f>
        <v>5</v>
      </c>
    </row>
    <row r="924" spans="2:12" x14ac:dyDescent="0.45">
      <c r="B924" t="s">
        <v>2463</v>
      </c>
      <c r="C924">
        <v>1</v>
      </c>
      <c r="D924">
        <v>1</v>
      </c>
      <c r="E924" t="s">
        <v>208</v>
      </c>
      <c r="F924">
        <f>IF(AbsDoKorelacji_NTech[[#This Row],[CzyUczelniaTechniczna]]="Techniczna",1,0)</f>
        <v>0</v>
      </c>
      <c r="G924">
        <v>7500</v>
      </c>
      <c r="H924">
        <v>7500</v>
      </c>
      <c r="I924" t="s">
        <v>150</v>
      </c>
      <c r="J924">
        <f>VLOOKUP(AbsDoKorelacji_NTech[[#This Row],[Moja satysfakcja z (efektów) usług edukacyjnych ocenianej uczelni jest wysoka.]],SkalaLikerta[],2,0)</f>
        <v>6</v>
      </c>
      <c r="K924" t="s">
        <v>150</v>
      </c>
      <c r="L924">
        <f>VLOOKUP(AbsDoKorelacji_NTech[[#This Row],[Usługi edukacyjne ocenianej uczelni mają wysoką wartość (okazja / szansa rozwoju własnego lub kariery).3]],SkalaLikerta[],2,0)</f>
        <v>6</v>
      </c>
    </row>
    <row r="925" spans="2:12" x14ac:dyDescent="0.45">
      <c r="B925" t="s">
        <v>2463</v>
      </c>
      <c r="C925">
        <v>1</v>
      </c>
      <c r="D925">
        <v>1</v>
      </c>
      <c r="E925" t="s">
        <v>1610</v>
      </c>
      <c r="F925">
        <f>IF(AbsDoKorelacji_NTech[[#This Row],[CzyUczelniaTechniczna]]="Techniczna",1,0)</f>
        <v>0</v>
      </c>
      <c r="G925">
        <v>2500</v>
      </c>
      <c r="H925">
        <v>3500</v>
      </c>
      <c r="I925" t="s">
        <v>162</v>
      </c>
      <c r="J925">
        <f>VLOOKUP(AbsDoKorelacji_NTech[[#This Row],[Moja satysfakcja z (efektów) usług edukacyjnych ocenianej uczelni jest wysoka.]],SkalaLikerta[],2,0)</f>
        <v>5</v>
      </c>
      <c r="K925" t="s">
        <v>162</v>
      </c>
      <c r="L925">
        <f>VLOOKUP(AbsDoKorelacji_NTech[[#This Row],[Usługi edukacyjne ocenianej uczelni mają wysoką wartość (okazja / szansa rozwoju własnego lub kariery).3]],SkalaLikerta[],2,0)</f>
        <v>5</v>
      </c>
    </row>
    <row r="926" spans="2:12" x14ac:dyDescent="0.45">
      <c r="B926" t="s">
        <v>2463</v>
      </c>
      <c r="C926">
        <v>1</v>
      </c>
      <c r="D926">
        <v>1</v>
      </c>
      <c r="E926" t="s">
        <v>237</v>
      </c>
      <c r="F926">
        <f>IF(AbsDoKorelacji_NTech[[#This Row],[CzyUczelniaTechniczna]]="Techniczna",1,0)</f>
        <v>0</v>
      </c>
      <c r="G926">
        <v>4500</v>
      </c>
      <c r="H926" t="s">
        <v>2329</v>
      </c>
      <c r="I926" t="s">
        <v>150</v>
      </c>
      <c r="J926">
        <f>VLOOKUP(AbsDoKorelacji_NTech[[#This Row],[Moja satysfakcja z (efektów) usług edukacyjnych ocenianej uczelni jest wysoka.]],SkalaLikerta[],2,0)</f>
        <v>6</v>
      </c>
      <c r="K926" t="s">
        <v>150</v>
      </c>
      <c r="L926">
        <f>VLOOKUP(AbsDoKorelacji_NTech[[#This Row],[Usługi edukacyjne ocenianej uczelni mają wysoką wartość (okazja / szansa rozwoju własnego lub kariery).3]],SkalaLikerta[],2,0)</f>
        <v>6</v>
      </c>
    </row>
    <row r="927" spans="2:12" x14ac:dyDescent="0.45">
      <c r="B927" t="s">
        <v>2463</v>
      </c>
      <c r="C927">
        <v>1</v>
      </c>
      <c r="D927">
        <v>1</v>
      </c>
      <c r="E927" t="s">
        <v>237</v>
      </c>
      <c r="F927">
        <f>IF(AbsDoKorelacji_NTech[[#This Row],[CzyUczelniaTechniczna]]="Techniczna",1,0)</f>
        <v>0</v>
      </c>
      <c r="G927" t="s">
        <v>2329</v>
      </c>
      <c r="H927" t="s">
        <v>2329</v>
      </c>
      <c r="I927" t="s">
        <v>162</v>
      </c>
      <c r="J927">
        <f>VLOOKUP(AbsDoKorelacji_NTech[[#This Row],[Moja satysfakcja z (efektów) usług edukacyjnych ocenianej uczelni jest wysoka.]],SkalaLikerta[],2,0)</f>
        <v>5</v>
      </c>
      <c r="K927" t="s">
        <v>162</v>
      </c>
      <c r="L927">
        <f>VLOOKUP(AbsDoKorelacji_NTech[[#This Row],[Usługi edukacyjne ocenianej uczelni mają wysoką wartość (okazja / szansa rozwoju własnego lub kariery).3]],SkalaLikerta[],2,0)</f>
        <v>5</v>
      </c>
    </row>
    <row r="928" spans="2:12" x14ac:dyDescent="0.45">
      <c r="B928" t="s">
        <v>2463</v>
      </c>
      <c r="C928">
        <v>1</v>
      </c>
      <c r="D928">
        <v>1</v>
      </c>
      <c r="E928" t="s">
        <v>237</v>
      </c>
      <c r="F928">
        <f>IF(AbsDoKorelacji_NTech[[#This Row],[CzyUczelniaTechniczna]]="Techniczna",1,0)</f>
        <v>0</v>
      </c>
      <c r="G928">
        <v>2500</v>
      </c>
      <c r="H928">
        <v>3500</v>
      </c>
      <c r="I928" t="s">
        <v>236</v>
      </c>
      <c r="J928">
        <f>VLOOKUP(AbsDoKorelacji_NTech[[#This Row],[Moja satysfakcja z (efektów) usług edukacyjnych ocenianej uczelni jest wysoka.]],SkalaLikerta[],2,0)</f>
        <v>2</v>
      </c>
      <c r="K928" t="s">
        <v>129</v>
      </c>
      <c r="L928">
        <f>VLOOKUP(AbsDoKorelacji_NTech[[#This Row],[Usługi edukacyjne ocenianej uczelni mają wysoką wartość (okazja / szansa rozwoju własnego lub kariery).3]],SkalaLikerta[],2,0)</f>
        <v>1</v>
      </c>
    </row>
    <row r="929" spans="2:12" x14ac:dyDescent="0.45">
      <c r="B929" t="s">
        <v>2463</v>
      </c>
      <c r="C929">
        <v>1</v>
      </c>
      <c r="D929">
        <v>1</v>
      </c>
      <c r="E929" t="s">
        <v>237</v>
      </c>
      <c r="F929">
        <f>IF(AbsDoKorelacji_NTech[[#This Row],[CzyUczelniaTechniczna]]="Techniczna",1,0)</f>
        <v>0</v>
      </c>
      <c r="G929">
        <v>2500</v>
      </c>
      <c r="H929">
        <v>3500</v>
      </c>
      <c r="I929" t="s">
        <v>236</v>
      </c>
      <c r="J929">
        <f>VLOOKUP(AbsDoKorelacji_NTech[[#This Row],[Moja satysfakcja z (efektów) usług edukacyjnych ocenianej uczelni jest wysoka.]],SkalaLikerta[],2,0)</f>
        <v>2</v>
      </c>
      <c r="K929" t="s">
        <v>236</v>
      </c>
      <c r="L929">
        <f>VLOOKUP(AbsDoKorelacji_NTech[[#This Row],[Usługi edukacyjne ocenianej uczelni mają wysoką wartość (okazja / szansa rozwoju własnego lub kariery).3]],SkalaLikerta[],2,0)</f>
        <v>2</v>
      </c>
    </row>
    <row r="930" spans="2:12" x14ac:dyDescent="0.45">
      <c r="B930" t="s">
        <v>2463</v>
      </c>
      <c r="C930">
        <v>1</v>
      </c>
      <c r="D930">
        <v>1</v>
      </c>
      <c r="E930" t="s">
        <v>237</v>
      </c>
      <c r="F930">
        <f>IF(AbsDoKorelacji_NTech[[#This Row],[CzyUczelniaTechniczna]]="Techniczna",1,0)</f>
        <v>0</v>
      </c>
      <c r="G930">
        <v>2500</v>
      </c>
      <c r="H930">
        <v>8500</v>
      </c>
      <c r="I930" t="s">
        <v>150</v>
      </c>
      <c r="J930">
        <f>VLOOKUP(AbsDoKorelacji_NTech[[#This Row],[Moja satysfakcja z (efektów) usług edukacyjnych ocenianej uczelni jest wysoka.]],SkalaLikerta[],2,0)</f>
        <v>6</v>
      </c>
      <c r="K930" t="s">
        <v>150</v>
      </c>
      <c r="L930">
        <f>VLOOKUP(AbsDoKorelacji_NTech[[#This Row],[Usługi edukacyjne ocenianej uczelni mają wysoką wartość (okazja / szansa rozwoju własnego lub kariery).3]],SkalaLikerta[],2,0)</f>
        <v>6</v>
      </c>
    </row>
    <row r="931" spans="2:12" x14ac:dyDescent="0.45">
      <c r="B931" t="s">
        <v>2463</v>
      </c>
      <c r="C931">
        <v>1</v>
      </c>
      <c r="D931">
        <v>1</v>
      </c>
      <c r="E931" t="s">
        <v>237</v>
      </c>
      <c r="F931">
        <f>IF(AbsDoKorelacji_NTech[[#This Row],[CzyUczelniaTechniczna]]="Techniczna",1,0)</f>
        <v>0</v>
      </c>
      <c r="G931">
        <v>1500</v>
      </c>
      <c r="H931">
        <v>2500</v>
      </c>
      <c r="I931" t="s">
        <v>151</v>
      </c>
      <c r="J931">
        <f>VLOOKUP(AbsDoKorelacji_NTech[[#This Row],[Moja satysfakcja z (efektów) usług edukacyjnych ocenianej uczelni jest wysoka.]],SkalaLikerta[],2,0)</f>
        <v>4</v>
      </c>
      <c r="K931" t="s">
        <v>151</v>
      </c>
      <c r="L931">
        <f>VLOOKUP(AbsDoKorelacji_NTech[[#This Row],[Usługi edukacyjne ocenianej uczelni mają wysoką wartość (okazja / szansa rozwoju własnego lub kariery).3]],SkalaLikerta[],2,0)</f>
        <v>4</v>
      </c>
    </row>
    <row r="932" spans="2:12" x14ac:dyDescent="0.45">
      <c r="B932" t="s">
        <v>2463</v>
      </c>
      <c r="C932">
        <v>1</v>
      </c>
      <c r="D932">
        <v>1</v>
      </c>
      <c r="E932" t="s">
        <v>237</v>
      </c>
      <c r="F932">
        <f>IF(AbsDoKorelacji_NTech[[#This Row],[CzyUczelniaTechniczna]]="Techniczna",1,0)</f>
        <v>0</v>
      </c>
      <c r="G932" t="s">
        <v>2329</v>
      </c>
      <c r="H932" t="s">
        <v>2329</v>
      </c>
      <c r="I932" t="s">
        <v>162</v>
      </c>
      <c r="J932">
        <f>VLOOKUP(AbsDoKorelacji_NTech[[#This Row],[Moja satysfakcja z (efektów) usług edukacyjnych ocenianej uczelni jest wysoka.]],SkalaLikerta[],2,0)</f>
        <v>5</v>
      </c>
      <c r="K932" t="s">
        <v>151</v>
      </c>
      <c r="L932">
        <f>VLOOKUP(AbsDoKorelacji_NTech[[#This Row],[Usługi edukacyjne ocenianej uczelni mają wysoką wartość (okazja / szansa rozwoju własnego lub kariery).3]],SkalaLikerta[],2,0)</f>
        <v>4</v>
      </c>
    </row>
    <row r="933" spans="2:12" x14ac:dyDescent="0.45">
      <c r="B933" t="s">
        <v>2463</v>
      </c>
      <c r="C933">
        <v>1</v>
      </c>
      <c r="D933">
        <v>1</v>
      </c>
      <c r="E933" t="s">
        <v>237</v>
      </c>
      <c r="F933">
        <f>IF(AbsDoKorelacji_NTech[[#This Row],[CzyUczelniaTechniczna]]="Techniczna",1,0)</f>
        <v>0</v>
      </c>
      <c r="G933">
        <v>1500</v>
      </c>
      <c r="H933">
        <v>1500</v>
      </c>
      <c r="I933" t="s">
        <v>128</v>
      </c>
      <c r="J933">
        <f>VLOOKUP(AbsDoKorelacji_NTech[[#This Row],[Moja satysfakcja z (efektów) usług edukacyjnych ocenianej uczelni jest wysoka.]],SkalaLikerta[],2,0)</f>
        <v>3</v>
      </c>
      <c r="K933" t="s">
        <v>236</v>
      </c>
      <c r="L933">
        <f>VLOOKUP(AbsDoKorelacji_NTech[[#This Row],[Usługi edukacyjne ocenianej uczelni mają wysoką wartość (okazja / szansa rozwoju własnego lub kariery).3]],SkalaLikerta[],2,0)</f>
        <v>2</v>
      </c>
    </row>
    <row r="934" spans="2:12" x14ac:dyDescent="0.45">
      <c r="B934" t="s">
        <v>2463</v>
      </c>
      <c r="C934">
        <v>1</v>
      </c>
      <c r="D934">
        <v>1</v>
      </c>
      <c r="E934" t="s">
        <v>237</v>
      </c>
      <c r="F934">
        <f>IF(AbsDoKorelacji_NTech[[#This Row],[CzyUczelniaTechniczna]]="Techniczna",1,0)</f>
        <v>0</v>
      </c>
      <c r="G934">
        <v>1500</v>
      </c>
      <c r="H934">
        <v>2500</v>
      </c>
      <c r="I934" t="s">
        <v>150</v>
      </c>
      <c r="J934">
        <f>VLOOKUP(AbsDoKorelacji_NTech[[#This Row],[Moja satysfakcja z (efektów) usług edukacyjnych ocenianej uczelni jest wysoka.]],SkalaLikerta[],2,0)</f>
        <v>6</v>
      </c>
      <c r="K934" t="s">
        <v>169</v>
      </c>
      <c r="L934">
        <f>VLOOKUP(AbsDoKorelacji_NTech[[#This Row],[Usługi edukacyjne ocenianej uczelni mają wysoką wartość (okazja / szansa rozwoju własnego lub kariery).3]],SkalaLikerta[],2,0)</f>
        <v>7</v>
      </c>
    </row>
    <row r="935" spans="2:12" x14ac:dyDescent="0.45">
      <c r="B935" t="s">
        <v>2463</v>
      </c>
      <c r="C935">
        <v>1</v>
      </c>
      <c r="D935">
        <v>1</v>
      </c>
      <c r="E935" t="s">
        <v>237</v>
      </c>
      <c r="F935">
        <f>IF(AbsDoKorelacji_NTech[[#This Row],[CzyUczelniaTechniczna]]="Techniczna",1,0)</f>
        <v>0</v>
      </c>
      <c r="G935" t="s">
        <v>2329</v>
      </c>
      <c r="H935" t="s">
        <v>2329</v>
      </c>
      <c r="I935" t="s">
        <v>150</v>
      </c>
      <c r="J935">
        <f>VLOOKUP(AbsDoKorelacji_NTech[[#This Row],[Moja satysfakcja z (efektów) usług edukacyjnych ocenianej uczelni jest wysoka.]],SkalaLikerta[],2,0)</f>
        <v>6</v>
      </c>
      <c r="K935" t="s">
        <v>162</v>
      </c>
      <c r="L935">
        <f>VLOOKUP(AbsDoKorelacji_NTech[[#This Row],[Usługi edukacyjne ocenianej uczelni mają wysoką wartość (okazja / szansa rozwoju własnego lub kariery).3]],SkalaLikerta[],2,0)</f>
        <v>5</v>
      </c>
    </row>
    <row r="936" spans="2:12" x14ac:dyDescent="0.45">
      <c r="B936" t="s">
        <v>2463</v>
      </c>
      <c r="C936">
        <v>1</v>
      </c>
      <c r="D936">
        <v>1</v>
      </c>
      <c r="E936" t="s">
        <v>237</v>
      </c>
      <c r="F936">
        <f>IF(AbsDoKorelacji_NTech[[#This Row],[CzyUczelniaTechniczna]]="Techniczna",1,0)</f>
        <v>0</v>
      </c>
      <c r="G936">
        <v>2500</v>
      </c>
      <c r="H936">
        <v>3500</v>
      </c>
      <c r="I936" t="s">
        <v>162</v>
      </c>
      <c r="J936">
        <f>VLOOKUP(AbsDoKorelacji_NTech[[#This Row],[Moja satysfakcja z (efektów) usług edukacyjnych ocenianej uczelni jest wysoka.]],SkalaLikerta[],2,0)</f>
        <v>5</v>
      </c>
      <c r="K936" t="s">
        <v>169</v>
      </c>
      <c r="L936">
        <f>VLOOKUP(AbsDoKorelacji_NTech[[#This Row],[Usługi edukacyjne ocenianej uczelni mają wysoką wartość (okazja / szansa rozwoju własnego lub kariery).3]],SkalaLikerta[],2,0)</f>
        <v>7</v>
      </c>
    </row>
    <row r="937" spans="2:12" x14ac:dyDescent="0.45">
      <c r="B937" t="s">
        <v>2463</v>
      </c>
      <c r="C937">
        <v>1</v>
      </c>
      <c r="D937">
        <v>1</v>
      </c>
      <c r="E937" t="s">
        <v>530</v>
      </c>
      <c r="F937">
        <f>IF(AbsDoKorelacji_NTech[[#This Row],[CzyUczelniaTechniczna]]="Techniczna",1,0)</f>
        <v>0</v>
      </c>
      <c r="G937">
        <v>2500</v>
      </c>
      <c r="H937">
        <v>1500</v>
      </c>
      <c r="I937" t="s">
        <v>128</v>
      </c>
      <c r="J937">
        <f>VLOOKUP(AbsDoKorelacji_NTech[[#This Row],[Moja satysfakcja z (efektów) usług edukacyjnych ocenianej uczelni jest wysoka.]],SkalaLikerta[],2,0)</f>
        <v>3</v>
      </c>
      <c r="K937" t="s">
        <v>162</v>
      </c>
      <c r="L937">
        <f>VLOOKUP(AbsDoKorelacji_NTech[[#This Row],[Usługi edukacyjne ocenianej uczelni mają wysoką wartość (okazja / szansa rozwoju własnego lub kariery).3]],SkalaLikerta[],2,0)</f>
        <v>5</v>
      </c>
    </row>
    <row r="938" spans="2:12" x14ac:dyDescent="0.45">
      <c r="B938" t="s">
        <v>2463</v>
      </c>
      <c r="C938">
        <v>1</v>
      </c>
      <c r="D938">
        <v>1</v>
      </c>
      <c r="E938" t="s">
        <v>1362</v>
      </c>
      <c r="F938">
        <f>IF(AbsDoKorelacji_NTech[[#This Row],[CzyUczelniaTechniczna]]="Techniczna",1,0)</f>
        <v>0</v>
      </c>
      <c r="G938">
        <v>3500</v>
      </c>
      <c r="H938">
        <v>3500</v>
      </c>
      <c r="I938" t="s">
        <v>236</v>
      </c>
      <c r="J938">
        <f>VLOOKUP(AbsDoKorelacji_NTech[[#This Row],[Moja satysfakcja z (efektów) usług edukacyjnych ocenianej uczelni jest wysoka.]],SkalaLikerta[],2,0)</f>
        <v>2</v>
      </c>
      <c r="K938" t="s">
        <v>150</v>
      </c>
      <c r="L938">
        <f>VLOOKUP(AbsDoKorelacji_NTech[[#This Row],[Usługi edukacyjne ocenianej uczelni mają wysoką wartość (okazja / szansa rozwoju własnego lub kariery).3]],SkalaLikerta[],2,0)</f>
        <v>6</v>
      </c>
    </row>
    <row r="939" spans="2:12" x14ac:dyDescent="0.45">
      <c r="B939" t="s">
        <v>2463</v>
      </c>
      <c r="C939">
        <v>1</v>
      </c>
      <c r="D939">
        <v>1</v>
      </c>
      <c r="E939" t="s">
        <v>703</v>
      </c>
      <c r="F939">
        <f>IF(AbsDoKorelacji_NTech[[#This Row],[CzyUczelniaTechniczna]]="Techniczna",1,0)</f>
        <v>0</v>
      </c>
      <c r="G939">
        <v>1500</v>
      </c>
      <c r="H939" t="s">
        <v>2329</v>
      </c>
      <c r="I939" t="s">
        <v>162</v>
      </c>
      <c r="J939">
        <f>VLOOKUP(AbsDoKorelacji_NTech[[#This Row],[Moja satysfakcja z (efektów) usług edukacyjnych ocenianej uczelni jest wysoka.]],SkalaLikerta[],2,0)</f>
        <v>5</v>
      </c>
      <c r="K939" t="s">
        <v>162</v>
      </c>
      <c r="L939">
        <f>VLOOKUP(AbsDoKorelacji_NTech[[#This Row],[Usługi edukacyjne ocenianej uczelni mają wysoką wartość (okazja / szansa rozwoju własnego lub kariery).3]],SkalaLikerta[],2,0)</f>
        <v>5</v>
      </c>
    </row>
    <row r="940" spans="2:12" x14ac:dyDescent="0.45">
      <c r="B940" t="s">
        <v>2463</v>
      </c>
      <c r="C940">
        <v>1</v>
      </c>
      <c r="D940">
        <v>1</v>
      </c>
      <c r="E940" t="s">
        <v>883</v>
      </c>
      <c r="F940">
        <f>IF(AbsDoKorelacji_NTech[[#This Row],[CzyUczelniaTechniczna]]="Techniczna",1,0)</f>
        <v>0</v>
      </c>
      <c r="G940">
        <v>1500</v>
      </c>
      <c r="H940">
        <v>2500</v>
      </c>
      <c r="I940" t="s">
        <v>169</v>
      </c>
      <c r="J940">
        <f>VLOOKUP(AbsDoKorelacji_NTech[[#This Row],[Moja satysfakcja z (efektów) usług edukacyjnych ocenianej uczelni jest wysoka.]],SkalaLikerta[],2,0)</f>
        <v>7</v>
      </c>
      <c r="K940" t="s">
        <v>150</v>
      </c>
      <c r="L940">
        <f>VLOOKUP(AbsDoKorelacji_NTech[[#This Row],[Usługi edukacyjne ocenianej uczelni mają wysoką wartość (okazja / szansa rozwoju własnego lub kariery).3]],SkalaLikerta[],2,0)</f>
        <v>6</v>
      </c>
    </row>
    <row r="941" spans="2:12" x14ac:dyDescent="0.45">
      <c r="B941" t="s">
        <v>2463</v>
      </c>
      <c r="C941">
        <v>1</v>
      </c>
      <c r="D941">
        <v>1</v>
      </c>
      <c r="E941" t="s">
        <v>883</v>
      </c>
      <c r="F941">
        <f>IF(AbsDoKorelacji_NTech[[#This Row],[CzyUczelniaTechniczna]]="Techniczna",1,0)</f>
        <v>0</v>
      </c>
      <c r="G941">
        <v>500</v>
      </c>
      <c r="H941">
        <v>1500</v>
      </c>
      <c r="I941" t="s">
        <v>169</v>
      </c>
      <c r="J941">
        <f>VLOOKUP(AbsDoKorelacji_NTech[[#This Row],[Moja satysfakcja z (efektów) usług edukacyjnych ocenianej uczelni jest wysoka.]],SkalaLikerta[],2,0)</f>
        <v>7</v>
      </c>
      <c r="K941" t="s">
        <v>169</v>
      </c>
      <c r="L941">
        <f>VLOOKUP(AbsDoKorelacji_NTech[[#This Row],[Usługi edukacyjne ocenianej uczelni mają wysoką wartość (okazja / szansa rozwoju własnego lub kariery).3]],SkalaLikerta[],2,0)</f>
        <v>7</v>
      </c>
    </row>
    <row r="942" spans="2:12" x14ac:dyDescent="0.45">
      <c r="B942" t="s">
        <v>2463</v>
      </c>
      <c r="C942">
        <v>1</v>
      </c>
      <c r="D942">
        <v>1</v>
      </c>
      <c r="E942" t="s">
        <v>864</v>
      </c>
      <c r="F942">
        <f>IF(AbsDoKorelacji_NTech[[#This Row],[CzyUczelniaTechniczna]]="Techniczna",1,0)</f>
        <v>0</v>
      </c>
      <c r="G942">
        <v>2500</v>
      </c>
      <c r="H942">
        <v>5500</v>
      </c>
      <c r="I942" t="s">
        <v>150</v>
      </c>
      <c r="J942">
        <f>VLOOKUP(AbsDoKorelacji_NTech[[#This Row],[Moja satysfakcja z (efektów) usług edukacyjnych ocenianej uczelni jest wysoka.]],SkalaLikerta[],2,0)</f>
        <v>6</v>
      </c>
      <c r="K942" t="s">
        <v>150</v>
      </c>
      <c r="L942">
        <f>VLOOKUP(AbsDoKorelacji_NTech[[#This Row],[Usługi edukacyjne ocenianej uczelni mają wysoką wartość (okazja / szansa rozwoju własnego lub kariery).3]],SkalaLikerta[],2,0)</f>
        <v>6</v>
      </c>
    </row>
    <row r="943" spans="2:12" x14ac:dyDescent="0.45">
      <c r="B943" t="s">
        <v>2463</v>
      </c>
      <c r="C943">
        <v>1</v>
      </c>
      <c r="D943">
        <v>1</v>
      </c>
      <c r="E943" t="s">
        <v>1018</v>
      </c>
      <c r="F943">
        <f>IF(AbsDoKorelacji_NTech[[#This Row],[CzyUczelniaTechniczna]]="Techniczna",1,0)</f>
        <v>0</v>
      </c>
      <c r="G943">
        <v>1500</v>
      </c>
      <c r="H943">
        <v>1500</v>
      </c>
      <c r="I943" t="s">
        <v>128</v>
      </c>
      <c r="J943">
        <f>VLOOKUP(AbsDoKorelacji_NTech[[#This Row],[Moja satysfakcja z (efektów) usług edukacyjnych ocenianej uczelni jest wysoka.]],SkalaLikerta[],2,0)</f>
        <v>3</v>
      </c>
      <c r="K943" t="s">
        <v>128</v>
      </c>
      <c r="L943">
        <f>VLOOKUP(AbsDoKorelacji_NTech[[#This Row],[Usługi edukacyjne ocenianej uczelni mają wysoką wartość (okazja / szansa rozwoju własnego lub kariery).3]],SkalaLikerta[],2,0)</f>
        <v>3</v>
      </c>
    </row>
    <row r="944" spans="2:12" x14ac:dyDescent="0.45">
      <c r="B944" t="s">
        <v>2463</v>
      </c>
      <c r="C944">
        <v>1</v>
      </c>
      <c r="D944">
        <v>1</v>
      </c>
      <c r="E944" t="s">
        <v>602</v>
      </c>
      <c r="F944">
        <f>IF(AbsDoKorelacji_NTech[[#This Row],[CzyUczelniaTechniczna]]="Techniczna",1,0)</f>
        <v>0</v>
      </c>
      <c r="G944">
        <v>1500</v>
      </c>
      <c r="H944" t="s">
        <v>2329</v>
      </c>
      <c r="I944" t="s">
        <v>150</v>
      </c>
      <c r="J944">
        <f>VLOOKUP(AbsDoKorelacji_NTech[[#This Row],[Moja satysfakcja z (efektów) usług edukacyjnych ocenianej uczelni jest wysoka.]],SkalaLikerta[],2,0)</f>
        <v>6</v>
      </c>
      <c r="K944" t="s">
        <v>162</v>
      </c>
      <c r="L944">
        <f>VLOOKUP(AbsDoKorelacji_NTech[[#This Row],[Usługi edukacyjne ocenianej uczelni mają wysoką wartość (okazja / szansa rozwoju własnego lub kariery).3]],SkalaLikerta[],2,0)</f>
        <v>5</v>
      </c>
    </row>
    <row r="945" spans="2:12" x14ac:dyDescent="0.45">
      <c r="B945" t="s">
        <v>2463</v>
      </c>
      <c r="C945">
        <v>1</v>
      </c>
      <c r="D945">
        <v>1</v>
      </c>
      <c r="E945" t="s">
        <v>1932</v>
      </c>
      <c r="F945">
        <f>IF(AbsDoKorelacji_NTech[[#This Row],[CzyUczelniaTechniczna]]="Techniczna",1,0)</f>
        <v>0</v>
      </c>
      <c r="G945">
        <v>2500</v>
      </c>
      <c r="H945">
        <v>3500</v>
      </c>
      <c r="I945" t="s">
        <v>162</v>
      </c>
      <c r="J945">
        <f>VLOOKUP(AbsDoKorelacji_NTech[[#This Row],[Moja satysfakcja z (efektów) usług edukacyjnych ocenianej uczelni jest wysoka.]],SkalaLikerta[],2,0)</f>
        <v>5</v>
      </c>
      <c r="K945" t="s">
        <v>162</v>
      </c>
      <c r="L945">
        <f>VLOOKUP(AbsDoKorelacji_NTech[[#This Row],[Usługi edukacyjne ocenianej uczelni mają wysoką wartość (okazja / szansa rozwoju własnego lub kariery).3]],SkalaLikerta[],2,0)</f>
        <v>5</v>
      </c>
    </row>
    <row r="946" spans="2:12" x14ac:dyDescent="0.45">
      <c r="B946" t="s">
        <v>2463</v>
      </c>
      <c r="C946">
        <v>1</v>
      </c>
      <c r="D946">
        <v>1</v>
      </c>
      <c r="E946" t="s">
        <v>976</v>
      </c>
      <c r="F946">
        <f>IF(AbsDoKorelacji_NTech[[#This Row],[CzyUczelniaTechniczna]]="Techniczna",1,0)</f>
        <v>0</v>
      </c>
      <c r="G946">
        <v>1500</v>
      </c>
      <c r="H946">
        <v>1500</v>
      </c>
      <c r="I946" t="s">
        <v>128</v>
      </c>
      <c r="J946">
        <f>VLOOKUP(AbsDoKorelacji_NTech[[#This Row],[Moja satysfakcja z (efektów) usług edukacyjnych ocenianej uczelni jest wysoka.]],SkalaLikerta[],2,0)</f>
        <v>3</v>
      </c>
      <c r="K946" t="s">
        <v>151</v>
      </c>
      <c r="L946">
        <f>VLOOKUP(AbsDoKorelacji_NTech[[#This Row],[Usługi edukacyjne ocenianej uczelni mają wysoką wartość (okazja / szansa rozwoju własnego lub kariery).3]],SkalaLikerta[],2,0)</f>
        <v>4</v>
      </c>
    </row>
    <row r="947" spans="2:12" x14ac:dyDescent="0.45">
      <c r="B947" t="s">
        <v>2463</v>
      </c>
      <c r="C947">
        <v>1</v>
      </c>
      <c r="D947">
        <v>1</v>
      </c>
      <c r="E947" t="s">
        <v>1070</v>
      </c>
      <c r="F947">
        <f>IF(AbsDoKorelacji_NTech[[#This Row],[CzyUczelniaTechniczna]]="Techniczna",1,0)</f>
        <v>0</v>
      </c>
      <c r="G947">
        <v>3500</v>
      </c>
      <c r="H947" t="s">
        <v>2329</v>
      </c>
      <c r="I947" t="s">
        <v>128</v>
      </c>
      <c r="J947">
        <f>VLOOKUP(AbsDoKorelacji_NTech[[#This Row],[Moja satysfakcja z (efektów) usług edukacyjnych ocenianej uczelni jest wysoka.]],SkalaLikerta[],2,0)</f>
        <v>3</v>
      </c>
      <c r="K947" t="s">
        <v>151</v>
      </c>
      <c r="L947">
        <f>VLOOKUP(AbsDoKorelacji_NTech[[#This Row],[Usługi edukacyjne ocenianej uczelni mają wysoką wartość (okazja / szansa rozwoju własnego lub kariery).3]],SkalaLikerta[],2,0)</f>
        <v>4</v>
      </c>
    </row>
    <row r="948" spans="2:12" x14ac:dyDescent="0.45">
      <c r="B948" t="s">
        <v>2463</v>
      </c>
      <c r="C948">
        <v>1</v>
      </c>
      <c r="D948">
        <v>1</v>
      </c>
      <c r="E948" t="s">
        <v>683</v>
      </c>
      <c r="F948">
        <f>IF(AbsDoKorelacji_NTech[[#This Row],[CzyUczelniaTechniczna]]="Techniczna",1,0)</f>
        <v>0</v>
      </c>
      <c r="G948">
        <v>1500</v>
      </c>
      <c r="H948">
        <v>3500</v>
      </c>
      <c r="I948" t="s">
        <v>169</v>
      </c>
      <c r="J948">
        <f>VLOOKUP(AbsDoKorelacji_NTech[[#This Row],[Moja satysfakcja z (efektów) usług edukacyjnych ocenianej uczelni jest wysoka.]],SkalaLikerta[],2,0)</f>
        <v>7</v>
      </c>
      <c r="K948" t="s">
        <v>169</v>
      </c>
      <c r="L948">
        <f>VLOOKUP(AbsDoKorelacji_NTech[[#This Row],[Usługi edukacyjne ocenianej uczelni mają wysoką wartość (okazja / szansa rozwoju własnego lub kariery).3]],SkalaLikerta[],2,0)</f>
        <v>7</v>
      </c>
    </row>
    <row r="949" spans="2:12" x14ac:dyDescent="0.45">
      <c r="B949" t="s">
        <v>2463</v>
      </c>
      <c r="C949">
        <v>1</v>
      </c>
      <c r="D949">
        <v>1</v>
      </c>
      <c r="E949" t="s">
        <v>1051</v>
      </c>
      <c r="F949">
        <f>IF(AbsDoKorelacji_NTech[[#This Row],[CzyUczelniaTechniczna]]="Techniczna",1,0)</f>
        <v>0</v>
      </c>
      <c r="G949">
        <v>2500</v>
      </c>
      <c r="H949">
        <v>3500</v>
      </c>
      <c r="I949" t="s">
        <v>150</v>
      </c>
      <c r="J949">
        <f>VLOOKUP(AbsDoKorelacji_NTech[[#This Row],[Moja satysfakcja z (efektów) usług edukacyjnych ocenianej uczelni jest wysoka.]],SkalaLikerta[],2,0)</f>
        <v>6</v>
      </c>
      <c r="K949" t="s">
        <v>162</v>
      </c>
      <c r="L949">
        <f>VLOOKUP(AbsDoKorelacji_NTech[[#This Row],[Usługi edukacyjne ocenianej uczelni mają wysoką wartość (okazja / szansa rozwoju własnego lub kariery).3]],SkalaLikerta[],2,0)</f>
        <v>5</v>
      </c>
    </row>
    <row r="950" spans="2:12" x14ac:dyDescent="0.45">
      <c r="B950" t="s">
        <v>2463</v>
      </c>
      <c r="C950">
        <v>1</v>
      </c>
      <c r="D950">
        <v>1</v>
      </c>
      <c r="E950" t="s">
        <v>1475</v>
      </c>
      <c r="F950">
        <f>IF(AbsDoKorelacji_NTech[[#This Row],[CzyUczelniaTechniczna]]="Techniczna",1,0)</f>
        <v>0</v>
      </c>
      <c r="G950" t="s">
        <v>2329</v>
      </c>
      <c r="H950" t="s">
        <v>2329</v>
      </c>
      <c r="I950" t="s">
        <v>169</v>
      </c>
      <c r="J950">
        <f>VLOOKUP(AbsDoKorelacji_NTech[[#This Row],[Moja satysfakcja z (efektów) usług edukacyjnych ocenianej uczelni jest wysoka.]],SkalaLikerta[],2,0)</f>
        <v>7</v>
      </c>
      <c r="K950" t="s">
        <v>169</v>
      </c>
      <c r="L950">
        <f>VLOOKUP(AbsDoKorelacji_NTech[[#This Row],[Usługi edukacyjne ocenianej uczelni mają wysoką wartość (okazja / szansa rozwoju własnego lub kariery).3]],SkalaLikerta[],2,0)</f>
        <v>7</v>
      </c>
    </row>
    <row r="951" spans="2:12" x14ac:dyDescent="0.45">
      <c r="C951">
        <f>SUBTOTAL(109,AbsDoKorelacji_NTech[Zatrudnienie w 1 roku])</f>
        <v>66</v>
      </c>
      <c r="D951">
        <f>SUBTOTAL(109,AbsDoKorelacji_NTech[Zatrudnienie w 3 lata])</f>
        <v>66</v>
      </c>
    </row>
    <row r="955" spans="2:12" x14ac:dyDescent="0.45">
      <c r="E955" s="20" t="s">
        <v>2487</v>
      </c>
    </row>
    <row r="957" spans="2:12" x14ac:dyDescent="0.45">
      <c r="E957" s="20" t="s">
        <v>2483</v>
      </c>
      <c r="G957" s="50">
        <f>CORREL(AbsDoKorelacji_NTech[Satysfakcja_wartości],AbsDoKorelacji_NTech[Wartość usługi_wartość])</f>
        <v>0.79228662975144515</v>
      </c>
    </row>
    <row r="958" spans="2:12" x14ac:dyDescent="0.45">
      <c r="E958" s="20" t="s">
        <v>2481</v>
      </c>
      <c r="G958" s="50">
        <f>CORREL(AbsDoKorelacji_NTech[Satysfakcja_wartości],AbsDoKorelacji_NTech[Wartości_po1roku])</f>
        <v>-0.11535577681071868</v>
      </c>
    </row>
    <row r="959" spans="2:12" x14ac:dyDescent="0.45">
      <c r="E959" s="20" t="s">
        <v>2482</v>
      </c>
      <c r="G959" s="50">
        <f>CORREL(AbsDoKorelacji_NTech[Wartości_po1roku],AbsDoKorelacji_NTech[Wartość usługi_wartość])</f>
        <v>-0.10363095249788996</v>
      </c>
    </row>
    <row r="960" spans="2:12" x14ac:dyDescent="0.45">
      <c r="E960" s="20" t="s">
        <v>2502</v>
      </c>
      <c r="G960" s="50">
        <f>CORREL(AbsDoKorelacji_NTech[Satysfakcja_wartości],AbsDoKorelacji_NTech[Wartości_po1roku])</f>
        <v>-0.11535577681071868</v>
      </c>
    </row>
    <row r="961" spans="5:7" x14ac:dyDescent="0.45">
      <c r="E961" s="20" t="s">
        <v>2501</v>
      </c>
      <c r="G961" s="50">
        <f>CORREL(AbsDoKorelacji_NTech[Wartości_po1roku],AbsDoKorelacji_NTech[Wartość usługi_wartość])</f>
        <v>-0.10363095249788996</v>
      </c>
    </row>
    <row r="963" spans="5:7" x14ac:dyDescent="0.45">
      <c r="E963" s="20" t="s">
        <v>2484</v>
      </c>
      <c r="G963" s="50">
        <f>CORREL(AbsDoKorelacji_NTech[Satysfakcja_wartości],AbsDoKorelacji_NTech[Wartości_po3latach])</f>
        <v>4.2848563272251512E-2</v>
      </c>
    </row>
    <row r="964" spans="5:7" x14ac:dyDescent="0.45">
      <c r="E964" s="20" t="s">
        <v>2485</v>
      </c>
      <c r="G964" s="50">
        <f>CORREL(AbsDoKorelacji_NTech[Wartości_po3latach],AbsDoKorelacji_NTech[Wartość usługi_wartość])</f>
        <v>-1.7116846538124043E-17</v>
      </c>
    </row>
    <row r="965" spans="5:7" x14ac:dyDescent="0.45">
      <c r="E965" s="20" t="s">
        <v>2503</v>
      </c>
      <c r="G965" s="50">
        <f>CORREL(AbsDoKorelacji_NTech[Satysfakcja_wartości],AbsDoKorelacji_NTech[Zatrudnienie w 3 lata])</f>
        <v>-0.17132216340885012</v>
      </c>
    </row>
    <row r="966" spans="5:7" x14ac:dyDescent="0.45">
      <c r="E966" s="20" t="s">
        <v>2504</v>
      </c>
      <c r="G966" s="50">
        <f>CORREL(AbsDoKorelacji_NTech[Zatrudnienie w 3 lata],AbsDoKorelacji_NTech[Wartość usługi_wartość])</f>
        <v>-0.16719160763198623</v>
      </c>
    </row>
  </sheetData>
  <conditionalFormatting sqref="N141">
    <cfRule type="cellIs" dxfId="7" priority="6" operator="lessThan">
      <formula>O141</formula>
    </cfRule>
  </conditionalFormatting>
  <conditionalFormatting sqref="N180">
    <cfRule type="cellIs" dxfId="6" priority="5" operator="lessThan">
      <formula>O180</formula>
    </cfRule>
  </conditionalFormatting>
  <conditionalFormatting sqref="N330">
    <cfRule type="cellIs" dxfId="5" priority="2" operator="lessThan">
      <formula>O330</formula>
    </cfRule>
  </conditionalFormatting>
  <conditionalFormatting sqref="T217">
    <cfRule type="cellIs" dxfId="4" priority="3" operator="lessThan">
      <formula>U217</formula>
    </cfRule>
  </conditionalFormatting>
  <conditionalFormatting sqref="T500">
    <cfRule type="cellIs" dxfId="3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2B5B-1450-4563-AF2B-1BBFB3D268BF}">
  <dimension ref="A1:AJ132"/>
  <sheetViews>
    <sheetView workbookViewId="0">
      <selection activeCell="D48" sqref="D48"/>
    </sheetView>
  </sheetViews>
  <sheetFormatPr defaultRowHeight="14.25" x14ac:dyDescent="0.45"/>
  <cols>
    <col min="1" max="1" width="48.3984375" bestFit="1" customWidth="1"/>
    <col min="2" max="2" width="31.53125" bestFit="1" customWidth="1"/>
    <col min="3" max="3" width="5.33203125" bestFit="1" customWidth="1"/>
    <col min="4" max="4" width="115.53125" bestFit="1" customWidth="1"/>
    <col min="5" max="5" width="16" bestFit="1" customWidth="1"/>
    <col min="6" max="6" width="18.19921875" bestFit="1" customWidth="1"/>
    <col min="7" max="7" width="20.86328125" bestFit="1" customWidth="1"/>
    <col min="8" max="8" width="5.33203125" bestFit="1" customWidth="1"/>
    <col min="9" max="9" width="17.6640625" bestFit="1" customWidth="1"/>
    <col min="10" max="10" width="8" bestFit="1" customWidth="1"/>
    <col min="11" max="11" width="20.265625" bestFit="1" customWidth="1"/>
    <col min="12" max="12" width="29.59765625" bestFit="1" customWidth="1"/>
    <col min="13" max="14" width="13.1328125" bestFit="1" customWidth="1"/>
    <col min="15" max="15" width="22.73046875" bestFit="1" customWidth="1"/>
    <col min="16" max="16" width="12.3984375" bestFit="1" customWidth="1"/>
    <col min="17" max="17" width="16.796875" bestFit="1" customWidth="1"/>
    <col min="18" max="18" width="5.33203125" bestFit="1" customWidth="1"/>
    <col min="19" max="19" width="4.1328125" bestFit="1" customWidth="1"/>
    <col min="20" max="20" width="19.86328125" bestFit="1" customWidth="1"/>
    <col min="21" max="21" width="29.3984375" bestFit="1" customWidth="1"/>
    <col min="22" max="22" width="19.19921875" bestFit="1" customWidth="1"/>
    <col min="23" max="23" width="28.796875" bestFit="1" customWidth="1"/>
    <col min="24" max="24" width="37.33203125" bestFit="1" customWidth="1"/>
    <col min="25" max="25" width="11.06640625" bestFit="1" customWidth="1"/>
    <col min="26" max="26" width="33.6640625" bestFit="1" customWidth="1"/>
    <col min="27" max="27" width="35.796875" bestFit="1" customWidth="1"/>
    <col min="28" max="28" width="31.86328125" bestFit="1" customWidth="1"/>
    <col min="29" max="29" width="15.53125" bestFit="1" customWidth="1"/>
    <col min="30" max="30" width="33.6640625" bestFit="1" customWidth="1"/>
    <col min="31" max="31" width="33.33203125" bestFit="1" customWidth="1"/>
    <col min="32" max="32" width="19.86328125" bestFit="1" customWidth="1"/>
    <col min="33" max="33" width="28" bestFit="1" customWidth="1"/>
    <col min="34" max="34" width="49.46484375" bestFit="1" customWidth="1"/>
    <col min="35" max="35" width="17.6640625" bestFit="1" customWidth="1"/>
    <col min="36" max="36" width="13.1328125" bestFit="1" customWidth="1"/>
  </cols>
  <sheetData>
    <row r="1" spans="1:14" x14ac:dyDescent="0.45">
      <c r="A1" s="77" t="s">
        <v>2296</v>
      </c>
      <c r="C1" s="13"/>
    </row>
    <row r="3" spans="1:14" x14ac:dyDescent="0.45">
      <c r="A3" s="15" t="s">
        <v>2279</v>
      </c>
      <c r="B3" s="14" t="s">
        <v>2505</v>
      </c>
      <c r="D3" s="15" t="s">
        <v>2505</v>
      </c>
      <c r="E3" s="15" t="s">
        <v>2287</v>
      </c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45">
      <c r="A4" s="16" t="s">
        <v>147</v>
      </c>
      <c r="B4" s="14">
        <v>1</v>
      </c>
      <c r="D4" s="15" t="s">
        <v>2279</v>
      </c>
      <c r="E4" s="9" t="s">
        <v>2282</v>
      </c>
      <c r="F4" s="80" t="s">
        <v>445</v>
      </c>
      <c r="G4" s="18" t="s">
        <v>179</v>
      </c>
      <c r="H4" s="18" t="s">
        <v>1439</v>
      </c>
      <c r="I4" s="18" t="s">
        <v>160</v>
      </c>
      <c r="J4" s="78" t="s">
        <v>223</v>
      </c>
      <c r="K4" s="79" t="s">
        <v>191</v>
      </c>
      <c r="L4" s="18" t="s">
        <v>147</v>
      </c>
      <c r="M4" s="18" t="s">
        <v>813</v>
      </c>
      <c r="N4" s="14" t="s">
        <v>2280</v>
      </c>
    </row>
    <row r="5" spans="1:14" x14ac:dyDescent="0.45">
      <c r="A5" s="74" t="s">
        <v>191</v>
      </c>
      <c r="B5" s="62">
        <v>1</v>
      </c>
      <c r="D5" s="16">
        <v>2</v>
      </c>
      <c r="E5" s="9"/>
      <c r="F5" s="18"/>
      <c r="G5" s="18"/>
      <c r="H5" s="18"/>
      <c r="I5" s="18"/>
      <c r="J5" s="18"/>
      <c r="K5" s="18"/>
      <c r="L5" s="18">
        <v>1</v>
      </c>
      <c r="M5" s="18"/>
      <c r="N5" s="14">
        <v>1</v>
      </c>
    </row>
    <row r="6" spans="1:14" x14ac:dyDescent="0.45">
      <c r="A6" s="17" t="s">
        <v>179</v>
      </c>
      <c r="B6" s="62">
        <v>1</v>
      </c>
      <c r="D6" s="17">
        <v>3</v>
      </c>
      <c r="E6" s="64"/>
      <c r="F6" s="65"/>
      <c r="G6" s="65"/>
      <c r="H6" s="65"/>
      <c r="I6" s="65">
        <v>1</v>
      </c>
      <c r="J6" s="65"/>
      <c r="K6" s="65"/>
      <c r="L6" s="65"/>
      <c r="M6" s="65"/>
      <c r="N6" s="62">
        <v>1</v>
      </c>
    </row>
    <row r="7" spans="1:14" x14ac:dyDescent="0.45">
      <c r="A7" s="75" t="s">
        <v>223</v>
      </c>
      <c r="B7" s="62">
        <v>1</v>
      </c>
      <c r="D7" s="17">
        <v>4</v>
      </c>
      <c r="E7" s="64"/>
      <c r="F7" s="65"/>
      <c r="G7" s="65"/>
      <c r="H7" s="65">
        <v>1</v>
      </c>
      <c r="I7" s="65"/>
      <c r="J7" s="65">
        <v>1</v>
      </c>
      <c r="K7" s="65"/>
      <c r="L7" s="65"/>
      <c r="M7" s="65"/>
      <c r="N7" s="62">
        <v>2</v>
      </c>
    </row>
    <row r="8" spans="1:14" x14ac:dyDescent="0.45">
      <c r="A8" s="76" t="s">
        <v>445</v>
      </c>
      <c r="B8" s="62">
        <v>7</v>
      </c>
      <c r="D8" s="17">
        <v>5</v>
      </c>
      <c r="E8" s="64"/>
      <c r="F8" s="65">
        <v>2</v>
      </c>
      <c r="G8" s="65">
        <v>1</v>
      </c>
      <c r="H8" s="65"/>
      <c r="I8" s="65"/>
      <c r="J8" s="65"/>
      <c r="K8" s="65">
        <v>1</v>
      </c>
      <c r="L8" s="65"/>
      <c r="M8" s="65">
        <v>1</v>
      </c>
      <c r="N8" s="62">
        <v>5</v>
      </c>
    </row>
    <row r="9" spans="1:14" x14ac:dyDescent="0.45">
      <c r="A9" s="17" t="s">
        <v>813</v>
      </c>
      <c r="B9" s="62">
        <v>1</v>
      </c>
      <c r="D9" s="17">
        <v>6</v>
      </c>
      <c r="E9" s="64"/>
      <c r="F9" s="65">
        <v>2</v>
      </c>
      <c r="G9" s="65"/>
      <c r="H9" s="65"/>
      <c r="I9" s="65"/>
      <c r="J9" s="65"/>
      <c r="K9" s="65"/>
      <c r="L9" s="65"/>
      <c r="M9" s="65"/>
      <c r="N9" s="62">
        <v>2</v>
      </c>
    </row>
    <row r="10" spans="1:14" x14ac:dyDescent="0.45">
      <c r="A10" s="17" t="s">
        <v>160</v>
      </c>
      <c r="B10" s="62">
        <v>1</v>
      </c>
      <c r="D10" s="17">
        <v>7</v>
      </c>
      <c r="E10" s="64"/>
      <c r="F10" s="65">
        <v>3</v>
      </c>
      <c r="G10" s="65"/>
      <c r="H10" s="65"/>
      <c r="I10" s="65"/>
      <c r="J10" s="65"/>
      <c r="K10" s="65"/>
      <c r="L10" s="65"/>
      <c r="M10" s="65"/>
      <c r="N10" s="62">
        <v>3</v>
      </c>
    </row>
    <row r="11" spans="1:14" x14ac:dyDescent="0.45">
      <c r="A11" s="17" t="s">
        <v>1439</v>
      </c>
      <c r="B11" s="62">
        <v>1</v>
      </c>
      <c r="D11" s="17" t="s">
        <v>2517</v>
      </c>
      <c r="E11" s="64">
        <v>119</v>
      </c>
      <c r="F11" s="65"/>
      <c r="G11" s="65"/>
      <c r="H11" s="65"/>
      <c r="I11" s="65"/>
      <c r="J11" s="65"/>
      <c r="K11" s="65"/>
      <c r="L11" s="65"/>
      <c r="M11" s="65"/>
      <c r="N11" s="62">
        <v>119</v>
      </c>
    </row>
    <row r="12" spans="1:14" x14ac:dyDescent="0.45">
      <c r="A12" s="17" t="s">
        <v>2282</v>
      </c>
      <c r="B12" s="62">
        <v>119</v>
      </c>
      <c r="D12" s="63" t="s">
        <v>2280</v>
      </c>
      <c r="E12" s="66">
        <v>119</v>
      </c>
      <c r="F12" s="67">
        <v>7</v>
      </c>
      <c r="G12" s="67">
        <v>1</v>
      </c>
      <c r="H12" s="67">
        <v>1</v>
      </c>
      <c r="I12" s="67">
        <v>1</v>
      </c>
      <c r="J12" s="67">
        <v>1</v>
      </c>
      <c r="K12" s="67">
        <v>1</v>
      </c>
      <c r="L12" s="67">
        <v>1</v>
      </c>
      <c r="M12" s="67">
        <v>1</v>
      </c>
      <c r="N12" s="13">
        <v>133</v>
      </c>
    </row>
    <row r="13" spans="1:14" x14ac:dyDescent="0.45">
      <c r="A13" s="63" t="s">
        <v>2280</v>
      </c>
      <c r="B13" s="13">
        <v>133</v>
      </c>
    </row>
    <row r="15" spans="1:14" x14ac:dyDescent="0.45">
      <c r="A15" s="77" t="s">
        <v>2297</v>
      </c>
    </row>
    <row r="17" spans="1:36" x14ac:dyDescent="0.45">
      <c r="A17" s="15" t="s">
        <v>2279</v>
      </c>
      <c r="B17" s="14" t="s">
        <v>2281</v>
      </c>
      <c r="D17" s="15" t="s">
        <v>2281</v>
      </c>
      <c r="E17" s="15" t="s">
        <v>2287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1"/>
    </row>
    <row r="18" spans="1:36" x14ac:dyDescent="0.45">
      <c r="A18" s="16" t="s">
        <v>987</v>
      </c>
      <c r="B18" s="14">
        <v>1</v>
      </c>
      <c r="D18" s="15" t="s">
        <v>2279</v>
      </c>
      <c r="E18" s="9" t="s">
        <v>191</v>
      </c>
      <c r="F18" s="18" t="s">
        <v>223</v>
      </c>
      <c r="G18" s="18" t="s">
        <v>2282</v>
      </c>
      <c r="H18" s="18" t="s">
        <v>445</v>
      </c>
      <c r="I18" s="18" t="s">
        <v>234</v>
      </c>
      <c r="J18" s="18" t="s">
        <v>1439</v>
      </c>
      <c r="K18" s="18" t="s">
        <v>428</v>
      </c>
      <c r="L18" s="18" t="s">
        <v>813</v>
      </c>
      <c r="M18" s="18" t="s">
        <v>160</v>
      </c>
      <c r="N18" s="18" t="s">
        <v>1090</v>
      </c>
      <c r="O18" s="18" t="s">
        <v>1503</v>
      </c>
      <c r="P18" s="18" t="s">
        <v>1461</v>
      </c>
      <c r="Q18" s="18" t="s">
        <v>1415</v>
      </c>
      <c r="R18" s="18" t="s">
        <v>1290</v>
      </c>
      <c r="S18" s="18" t="s">
        <v>862</v>
      </c>
      <c r="T18" s="18" t="s">
        <v>975</v>
      </c>
      <c r="U18" s="18" t="s">
        <v>1712</v>
      </c>
      <c r="V18" s="18" t="s">
        <v>987</v>
      </c>
      <c r="W18" s="18" t="s">
        <v>800</v>
      </c>
      <c r="X18" s="18" t="s">
        <v>2271</v>
      </c>
      <c r="Y18" s="18" t="s">
        <v>995</v>
      </c>
      <c r="Z18" s="18" t="s">
        <v>553</v>
      </c>
      <c r="AA18" s="18" t="s">
        <v>1636</v>
      </c>
      <c r="AB18" s="18" t="s">
        <v>1472</v>
      </c>
      <c r="AC18" s="18" t="s">
        <v>701</v>
      </c>
      <c r="AD18" s="18" t="s">
        <v>2268</v>
      </c>
      <c r="AE18" s="18" t="s">
        <v>2270</v>
      </c>
      <c r="AF18" s="18" t="s">
        <v>2318</v>
      </c>
      <c r="AG18" s="18" t="s">
        <v>2269</v>
      </c>
      <c r="AH18" s="18" t="s">
        <v>2272</v>
      </c>
      <c r="AI18" s="18" t="s">
        <v>1514</v>
      </c>
      <c r="AJ18" s="14" t="s">
        <v>2280</v>
      </c>
    </row>
    <row r="19" spans="1:36" x14ac:dyDescent="0.45">
      <c r="A19" s="17" t="s">
        <v>1503</v>
      </c>
      <c r="B19" s="62">
        <v>2</v>
      </c>
      <c r="D19" s="16">
        <v>1</v>
      </c>
      <c r="E19" s="9">
        <v>1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4">
        <v>1</v>
      </c>
    </row>
    <row r="20" spans="1:36" x14ac:dyDescent="0.45">
      <c r="A20" s="17" t="s">
        <v>234</v>
      </c>
      <c r="B20" s="62">
        <v>3</v>
      </c>
      <c r="D20" s="17">
        <v>2</v>
      </c>
      <c r="E20" s="64">
        <v>3</v>
      </c>
      <c r="F20" s="65">
        <v>2</v>
      </c>
      <c r="G20" s="65"/>
      <c r="H20" s="65"/>
      <c r="I20" s="65"/>
      <c r="J20" s="65"/>
      <c r="K20" s="65"/>
      <c r="L20" s="65"/>
      <c r="M20" s="65">
        <v>1</v>
      </c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2">
        <v>6</v>
      </c>
    </row>
    <row r="21" spans="1:36" x14ac:dyDescent="0.45">
      <c r="A21" s="17" t="s">
        <v>2270</v>
      </c>
      <c r="B21" s="62">
        <v>1</v>
      </c>
      <c r="D21" s="17">
        <v>3</v>
      </c>
      <c r="E21" s="64">
        <v>2</v>
      </c>
      <c r="F21" s="65">
        <v>5</v>
      </c>
      <c r="G21" s="65"/>
      <c r="H21" s="65"/>
      <c r="I21" s="65"/>
      <c r="J21" s="65">
        <v>2</v>
      </c>
      <c r="K21" s="65"/>
      <c r="L21" s="65"/>
      <c r="M21" s="65"/>
      <c r="N21" s="65"/>
      <c r="O21" s="65"/>
      <c r="P21" s="65">
        <v>1</v>
      </c>
      <c r="Q21" s="65"/>
      <c r="R21" s="65"/>
      <c r="S21" s="65"/>
      <c r="T21" s="65">
        <v>1</v>
      </c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>
        <v>1</v>
      </c>
      <c r="AG21" s="65"/>
      <c r="AH21" s="65"/>
      <c r="AI21" s="65"/>
      <c r="AJ21" s="62">
        <v>12</v>
      </c>
    </row>
    <row r="22" spans="1:36" x14ac:dyDescent="0.45">
      <c r="A22" s="17" t="s">
        <v>2269</v>
      </c>
      <c r="B22" s="62">
        <v>1</v>
      </c>
      <c r="D22" s="17">
        <v>4</v>
      </c>
      <c r="E22" s="64">
        <v>3</v>
      </c>
      <c r="F22" s="65">
        <v>4</v>
      </c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>
        <v>1</v>
      </c>
      <c r="AI22" s="65"/>
      <c r="AJ22" s="62">
        <v>8</v>
      </c>
    </row>
    <row r="23" spans="1:36" x14ac:dyDescent="0.45">
      <c r="A23" s="17" t="s">
        <v>2268</v>
      </c>
      <c r="B23" s="62">
        <v>1</v>
      </c>
      <c r="D23" s="17">
        <v>5</v>
      </c>
      <c r="E23" s="64">
        <v>11</v>
      </c>
      <c r="F23" s="65">
        <v>8</v>
      </c>
      <c r="G23" s="65"/>
      <c r="H23" s="65">
        <v>3</v>
      </c>
      <c r="I23" s="65"/>
      <c r="J23" s="65"/>
      <c r="K23" s="65">
        <v>1</v>
      </c>
      <c r="L23" s="65">
        <v>1</v>
      </c>
      <c r="M23" s="65"/>
      <c r="N23" s="65">
        <v>1</v>
      </c>
      <c r="O23" s="65"/>
      <c r="P23" s="65">
        <v>1</v>
      </c>
      <c r="Q23" s="65"/>
      <c r="R23" s="65">
        <v>1</v>
      </c>
      <c r="S23" s="65"/>
      <c r="T23" s="65"/>
      <c r="U23" s="65">
        <v>1</v>
      </c>
      <c r="V23" s="65"/>
      <c r="W23" s="65"/>
      <c r="X23" s="65"/>
      <c r="Y23" s="65"/>
      <c r="Z23" s="65">
        <v>1</v>
      </c>
      <c r="AA23" s="65"/>
      <c r="AB23" s="65"/>
      <c r="AC23" s="65">
        <v>1</v>
      </c>
      <c r="AD23" s="65"/>
      <c r="AE23" s="65">
        <v>1</v>
      </c>
      <c r="AF23" s="65"/>
      <c r="AG23" s="65"/>
      <c r="AH23" s="65"/>
      <c r="AI23" s="65">
        <v>1</v>
      </c>
      <c r="AJ23" s="62">
        <v>32</v>
      </c>
    </row>
    <row r="24" spans="1:36" x14ac:dyDescent="0.45">
      <c r="A24" s="17" t="s">
        <v>995</v>
      </c>
      <c r="B24" s="62">
        <v>1</v>
      </c>
      <c r="D24" s="17">
        <v>6</v>
      </c>
      <c r="E24" s="64">
        <v>18</v>
      </c>
      <c r="F24" s="65">
        <v>7</v>
      </c>
      <c r="G24" s="65"/>
      <c r="H24" s="65">
        <v>3</v>
      </c>
      <c r="I24" s="65">
        <v>2</v>
      </c>
      <c r="J24" s="65">
        <v>1</v>
      </c>
      <c r="K24" s="65">
        <v>1</v>
      </c>
      <c r="L24" s="65">
        <v>1</v>
      </c>
      <c r="M24" s="65"/>
      <c r="N24" s="65">
        <v>1</v>
      </c>
      <c r="O24" s="65">
        <v>2</v>
      </c>
      <c r="P24" s="65"/>
      <c r="Q24" s="65">
        <v>1</v>
      </c>
      <c r="R24" s="65">
        <v>1</v>
      </c>
      <c r="S24" s="65">
        <v>1</v>
      </c>
      <c r="T24" s="65"/>
      <c r="U24" s="65"/>
      <c r="V24" s="65"/>
      <c r="W24" s="65">
        <v>1</v>
      </c>
      <c r="X24" s="65">
        <v>1</v>
      </c>
      <c r="Y24" s="65"/>
      <c r="Z24" s="65"/>
      <c r="AA24" s="65">
        <v>1</v>
      </c>
      <c r="AB24" s="65"/>
      <c r="AC24" s="65"/>
      <c r="AD24" s="65"/>
      <c r="AE24" s="65"/>
      <c r="AF24" s="65"/>
      <c r="AG24" s="65">
        <v>1</v>
      </c>
      <c r="AH24" s="65"/>
      <c r="AI24" s="65"/>
      <c r="AJ24" s="62">
        <v>43</v>
      </c>
    </row>
    <row r="25" spans="1:36" x14ac:dyDescent="0.45">
      <c r="A25" s="17" t="s">
        <v>1461</v>
      </c>
      <c r="B25" s="62">
        <v>2</v>
      </c>
      <c r="D25" s="17">
        <v>7</v>
      </c>
      <c r="E25" s="64">
        <v>7</v>
      </c>
      <c r="F25" s="65">
        <v>1</v>
      </c>
      <c r="G25" s="65"/>
      <c r="H25" s="65">
        <v>2</v>
      </c>
      <c r="I25" s="65">
        <v>1</v>
      </c>
      <c r="J25" s="65"/>
      <c r="K25" s="65"/>
      <c r="L25" s="65"/>
      <c r="M25" s="65">
        <v>1</v>
      </c>
      <c r="N25" s="65"/>
      <c r="O25" s="65"/>
      <c r="P25" s="65"/>
      <c r="Q25" s="65">
        <v>1</v>
      </c>
      <c r="R25" s="65"/>
      <c r="S25" s="65"/>
      <c r="T25" s="65"/>
      <c r="U25" s="65"/>
      <c r="V25" s="65">
        <v>1</v>
      </c>
      <c r="W25" s="65"/>
      <c r="X25" s="65"/>
      <c r="Y25" s="65">
        <v>1</v>
      </c>
      <c r="Z25" s="65"/>
      <c r="AA25" s="65"/>
      <c r="AB25" s="65">
        <v>1</v>
      </c>
      <c r="AC25" s="65"/>
      <c r="AD25" s="65">
        <v>1</v>
      </c>
      <c r="AE25" s="65"/>
      <c r="AF25" s="65"/>
      <c r="AG25" s="65"/>
      <c r="AH25" s="65"/>
      <c r="AI25" s="65"/>
      <c r="AJ25" s="62">
        <v>17</v>
      </c>
    </row>
    <row r="26" spans="1:36" x14ac:dyDescent="0.45">
      <c r="A26" s="17" t="s">
        <v>428</v>
      </c>
      <c r="B26" s="62">
        <v>2</v>
      </c>
      <c r="D26" s="17" t="s">
        <v>2329</v>
      </c>
      <c r="E26" s="64"/>
      <c r="F26" s="65">
        <v>1</v>
      </c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2">
        <v>1</v>
      </c>
    </row>
    <row r="27" spans="1:36" x14ac:dyDescent="0.45">
      <c r="A27" s="74" t="s">
        <v>191</v>
      </c>
      <c r="B27" s="62">
        <v>45</v>
      </c>
      <c r="D27" s="17" t="s">
        <v>2517</v>
      </c>
      <c r="E27" s="64"/>
      <c r="F27" s="65"/>
      <c r="G27" s="65">
        <v>13</v>
      </c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2">
        <v>13</v>
      </c>
    </row>
    <row r="28" spans="1:36" x14ac:dyDescent="0.45">
      <c r="A28" s="17" t="s">
        <v>2318</v>
      </c>
      <c r="B28" s="62">
        <v>1</v>
      </c>
      <c r="D28" s="63" t="s">
        <v>2280</v>
      </c>
      <c r="E28" s="66">
        <v>45</v>
      </c>
      <c r="F28" s="67">
        <v>28</v>
      </c>
      <c r="G28" s="67">
        <v>13</v>
      </c>
      <c r="H28" s="67">
        <v>8</v>
      </c>
      <c r="I28" s="67">
        <v>3</v>
      </c>
      <c r="J28" s="67">
        <v>3</v>
      </c>
      <c r="K28" s="67">
        <v>2</v>
      </c>
      <c r="L28" s="67">
        <v>2</v>
      </c>
      <c r="M28" s="67">
        <v>2</v>
      </c>
      <c r="N28" s="67">
        <v>2</v>
      </c>
      <c r="O28" s="67">
        <v>2</v>
      </c>
      <c r="P28" s="67">
        <v>2</v>
      </c>
      <c r="Q28" s="67">
        <v>2</v>
      </c>
      <c r="R28" s="67">
        <v>2</v>
      </c>
      <c r="S28" s="67">
        <v>1</v>
      </c>
      <c r="T28" s="67">
        <v>1</v>
      </c>
      <c r="U28" s="67">
        <v>1</v>
      </c>
      <c r="V28" s="67">
        <v>1</v>
      </c>
      <c r="W28" s="67">
        <v>1</v>
      </c>
      <c r="X28" s="67">
        <v>1</v>
      </c>
      <c r="Y28" s="67">
        <v>1</v>
      </c>
      <c r="Z28" s="67">
        <v>1</v>
      </c>
      <c r="AA28" s="67">
        <v>1</v>
      </c>
      <c r="AB28" s="67">
        <v>1</v>
      </c>
      <c r="AC28" s="67">
        <v>1</v>
      </c>
      <c r="AD28" s="67">
        <v>1</v>
      </c>
      <c r="AE28" s="67">
        <v>1</v>
      </c>
      <c r="AF28" s="67">
        <v>1</v>
      </c>
      <c r="AG28" s="67">
        <v>1</v>
      </c>
      <c r="AH28" s="67">
        <v>1</v>
      </c>
      <c r="AI28" s="67">
        <v>1</v>
      </c>
      <c r="AJ28" s="13">
        <v>133</v>
      </c>
    </row>
    <row r="29" spans="1:36" x14ac:dyDescent="0.45">
      <c r="A29" s="17" t="s">
        <v>1415</v>
      </c>
      <c r="B29" s="62">
        <v>2</v>
      </c>
    </row>
    <row r="30" spans="1:36" x14ac:dyDescent="0.45">
      <c r="A30" s="17" t="s">
        <v>1090</v>
      </c>
      <c r="B30" s="62">
        <v>2</v>
      </c>
    </row>
    <row r="31" spans="1:36" x14ac:dyDescent="0.45">
      <c r="A31" s="17" t="s">
        <v>862</v>
      </c>
      <c r="B31" s="62">
        <v>1</v>
      </c>
    </row>
    <row r="32" spans="1:36" x14ac:dyDescent="0.45">
      <c r="A32" s="17" t="s">
        <v>1290</v>
      </c>
      <c r="B32" s="62">
        <v>2</v>
      </c>
    </row>
    <row r="33" spans="1:2" x14ac:dyDescent="0.45">
      <c r="A33" s="17" t="s">
        <v>1514</v>
      </c>
      <c r="B33" s="62">
        <v>1</v>
      </c>
    </row>
    <row r="34" spans="1:2" x14ac:dyDescent="0.45">
      <c r="A34" s="17" t="s">
        <v>2271</v>
      </c>
      <c r="B34" s="62">
        <v>1</v>
      </c>
    </row>
    <row r="35" spans="1:2" x14ac:dyDescent="0.45">
      <c r="A35" s="17" t="s">
        <v>553</v>
      </c>
      <c r="B35" s="62">
        <v>1</v>
      </c>
    </row>
    <row r="36" spans="1:2" x14ac:dyDescent="0.45">
      <c r="A36" s="17" t="s">
        <v>1472</v>
      </c>
      <c r="B36" s="62">
        <v>1</v>
      </c>
    </row>
    <row r="37" spans="1:2" x14ac:dyDescent="0.45">
      <c r="A37" s="75" t="s">
        <v>223</v>
      </c>
      <c r="B37" s="62">
        <v>28</v>
      </c>
    </row>
    <row r="38" spans="1:2" x14ac:dyDescent="0.45">
      <c r="A38" s="76" t="s">
        <v>445</v>
      </c>
      <c r="B38" s="62">
        <v>8</v>
      </c>
    </row>
    <row r="39" spans="1:2" x14ac:dyDescent="0.45">
      <c r="A39" s="17" t="s">
        <v>2272</v>
      </c>
      <c r="B39" s="62">
        <v>1</v>
      </c>
    </row>
    <row r="40" spans="1:2" x14ac:dyDescent="0.45">
      <c r="A40" s="17" t="s">
        <v>813</v>
      </c>
      <c r="B40" s="62">
        <v>2</v>
      </c>
    </row>
    <row r="41" spans="1:2" x14ac:dyDescent="0.45">
      <c r="A41" s="17" t="s">
        <v>1712</v>
      </c>
      <c r="B41" s="62">
        <v>1</v>
      </c>
    </row>
    <row r="42" spans="1:2" x14ac:dyDescent="0.45">
      <c r="A42" s="17" t="s">
        <v>1636</v>
      </c>
      <c r="B42" s="62">
        <v>1</v>
      </c>
    </row>
    <row r="43" spans="1:2" x14ac:dyDescent="0.45">
      <c r="A43" s="17" t="s">
        <v>975</v>
      </c>
      <c r="B43" s="62">
        <v>1</v>
      </c>
    </row>
    <row r="44" spans="1:2" x14ac:dyDescent="0.45">
      <c r="A44" s="17" t="s">
        <v>701</v>
      </c>
      <c r="B44" s="62">
        <v>1</v>
      </c>
    </row>
    <row r="45" spans="1:2" x14ac:dyDescent="0.45">
      <c r="A45" s="17" t="s">
        <v>800</v>
      </c>
      <c r="B45" s="62">
        <v>1</v>
      </c>
    </row>
    <row r="46" spans="1:2" x14ac:dyDescent="0.45">
      <c r="A46" s="17" t="s">
        <v>160</v>
      </c>
      <c r="B46" s="62">
        <v>2</v>
      </c>
    </row>
    <row r="47" spans="1:2" x14ac:dyDescent="0.45">
      <c r="A47" s="17" t="s">
        <v>1439</v>
      </c>
      <c r="B47" s="62">
        <v>3</v>
      </c>
    </row>
    <row r="48" spans="1:2" x14ac:dyDescent="0.45">
      <c r="A48" s="17" t="s">
        <v>2282</v>
      </c>
      <c r="B48" s="62">
        <v>13</v>
      </c>
    </row>
    <row r="49" spans="1:13" x14ac:dyDescent="0.45">
      <c r="A49" s="63" t="s">
        <v>2280</v>
      </c>
      <c r="B49" s="13">
        <v>133</v>
      </c>
    </row>
    <row r="51" spans="1:13" x14ac:dyDescent="0.45">
      <c r="A51" s="68"/>
    </row>
    <row r="53" spans="1:13" x14ac:dyDescent="0.45">
      <c r="A53" s="77" t="s">
        <v>2506</v>
      </c>
    </row>
    <row r="54" spans="1:13" x14ac:dyDescent="0.45">
      <c r="A54" s="20"/>
    </row>
    <row r="55" spans="1:13" x14ac:dyDescent="0.45">
      <c r="A55" s="12" t="s">
        <v>2078</v>
      </c>
      <c r="B55" s="13" t="s">
        <v>2278</v>
      </c>
    </row>
    <row r="56" spans="1:13" x14ac:dyDescent="0.45">
      <c r="A56" s="12" t="s">
        <v>2092</v>
      </c>
      <c r="B56" s="13" t="s">
        <v>2278</v>
      </c>
      <c r="D56" s="12" t="s">
        <v>2092</v>
      </c>
      <c r="E56" s="13" t="s">
        <v>2278</v>
      </c>
    </row>
    <row r="58" spans="1:13" x14ac:dyDescent="0.45">
      <c r="A58" s="15" t="s">
        <v>2279</v>
      </c>
      <c r="B58" s="14" t="s">
        <v>2505</v>
      </c>
      <c r="D58" s="15" t="s">
        <v>2505</v>
      </c>
      <c r="E58" s="15" t="s">
        <v>2287</v>
      </c>
      <c r="F58" s="10"/>
      <c r="G58" s="10"/>
      <c r="H58" s="10"/>
      <c r="I58" s="10"/>
      <c r="J58" s="10"/>
      <c r="K58" s="10"/>
      <c r="L58" s="10"/>
      <c r="M58" s="11"/>
    </row>
    <row r="59" spans="1:13" x14ac:dyDescent="0.45">
      <c r="A59" s="16" t="s">
        <v>1230</v>
      </c>
      <c r="B59" s="14">
        <v>1</v>
      </c>
      <c r="D59" s="15" t="s">
        <v>2279</v>
      </c>
      <c r="E59" s="9" t="s">
        <v>2282</v>
      </c>
      <c r="F59" s="79" t="s">
        <v>191</v>
      </c>
      <c r="G59" s="18" t="s">
        <v>160</v>
      </c>
      <c r="H59" s="18" t="s">
        <v>1290</v>
      </c>
      <c r="I59" s="78" t="s">
        <v>223</v>
      </c>
      <c r="J59" s="18" t="s">
        <v>1230</v>
      </c>
      <c r="K59" s="80" t="s">
        <v>445</v>
      </c>
      <c r="L59" s="18" t="s">
        <v>893</v>
      </c>
      <c r="M59" s="14" t="s">
        <v>2280</v>
      </c>
    </row>
    <row r="60" spans="1:13" x14ac:dyDescent="0.45">
      <c r="A60" s="74" t="s">
        <v>191</v>
      </c>
      <c r="B60" s="62">
        <v>8</v>
      </c>
      <c r="D60" s="16">
        <v>2</v>
      </c>
      <c r="E60" s="9"/>
      <c r="F60" s="18">
        <v>1</v>
      </c>
      <c r="G60" s="18"/>
      <c r="H60" s="18"/>
      <c r="I60" s="18"/>
      <c r="J60" s="18"/>
      <c r="K60" s="18"/>
      <c r="L60" s="18"/>
      <c r="M60" s="14">
        <v>1</v>
      </c>
    </row>
    <row r="61" spans="1:13" x14ac:dyDescent="0.45">
      <c r="A61" s="17" t="s">
        <v>1290</v>
      </c>
      <c r="B61" s="62">
        <v>2</v>
      </c>
      <c r="D61" s="17">
        <v>4</v>
      </c>
      <c r="E61" s="64"/>
      <c r="F61" s="65">
        <v>2</v>
      </c>
      <c r="G61" s="65"/>
      <c r="H61" s="65"/>
      <c r="I61" s="65"/>
      <c r="J61" s="65"/>
      <c r="K61" s="65"/>
      <c r="L61" s="65"/>
      <c r="M61" s="62">
        <v>2</v>
      </c>
    </row>
    <row r="62" spans="1:13" x14ac:dyDescent="0.45">
      <c r="A62" s="75" t="s">
        <v>223</v>
      </c>
      <c r="B62" s="62">
        <v>2</v>
      </c>
      <c r="D62" s="17">
        <v>5</v>
      </c>
      <c r="E62" s="64"/>
      <c r="F62" s="65">
        <v>1</v>
      </c>
      <c r="G62" s="65">
        <v>1</v>
      </c>
      <c r="H62" s="65"/>
      <c r="I62" s="65"/>
      <c r="J62" s="65"/>
      <c r="K62" s="65"/>
      <c r="L62" s="65"/>
      <c r="M62" s="62">
        <v>2</v>
      </c>
    </row>
    <row r="63" spans="1:13" x14ac:dyDescent="0.45">
      <c r="A63" s="76" t="s">
        <v>445</v>
      </c>
      <c r="B63" s="62">
        <v>1</v>
      </c>
      <c r="D63" s="17">
        <v>6</v>
      </c>
      <c r="E63" s="64"/>
      <c r="F63" s="65">
        <v>3</v>
      </c>
      <c r="G63" s="65"/>
      <c r="H63" s="65"/>
      <c r="I63" s="65">
        <v>1</v>
      </c>
      <c r="J63" s="65"/>
      <c r="K63" s="65"/>
      <c r="L63" s="65">
        <v>1</v>
      </c>
      <c r="M63" s="62">
        <v>5</v>
      </c>
    </row>
    <row r="64" spans="1:13" x14ac:dyDescent="0.45">
      <c r="A64" s="17" t="s">
        <v>160</v>
      </c>
      <c r="B64" s="62">
        <v>2</v>
      </c>
      <c r="D64" s="17">
        <v>7</v>
      </c>
      <c r="E64" s="64"/>
      <c r="F64" s="65">
        <v>1</v>
      </c>
      <c r="G64" s="65">
        <v>1</v>
      </c>
      <c r="H64" s="65">
        <v>1</v>
      </c>
      <c r="I64" s="65">
        <v>1</v>
      </c>
      <c r="J64" s="65">
        <v>1</v>
      </c>
      <c r="K64" s="65">
        <v>1</v>
      </c>
      <c r="L64" s="65"/>
      <c r="M64" s="62">
        <v>6</v>
      </c>
    </row>
    <row r="65" spans="1:13" x14ac:dyDescent="0.45">
      <c r="A65" s="17" t="s">
        <v>893</v>
      </c>
      <c r="B65" s="62">
        <v>1</v>
      </c>
      <c r="D65" s="17" t="s">
        <v>2329</v>
      </c>
      <c r="E65" s="64"/>
      <c r="F65" s="65"/>
      <c r="G65" s="65"/>
      <c r="H65" s="65">
        <v>1</v>
      </c>
      <c r="I65" s="65"/>
      <c r="J65" s="65"/>
      <c r="K65" s="65"/>
      <c r="L65" s="65"/>
      <c r="M65" s="62">
        <v>1</v>
      </c>
    </row>
    <row r="66" spans="1:13" x14ac:dyDescent="0.45">
      <c r="A66" s="17" t="s">
        <v>2282</v>
      </c>
      <c r="B66" s="62">
        <v>116</v>
      </c>
      <c r="D66" s="17" t="s">
        <v>2517</v>
      </c>
      <c r="E66" s="64">
        <v>116</v>
      </c>
      <c r="F66" s="65"/>
      <c r="G66" s="65"/>
      <c r="H66" s="65"/>
      <c r="I66" s="65"/>
      <c r="J66" s="65"/>
      <c r="K66" s="65"/>
      <c r="L66" s="65"/>
      <c r="M66" s="62">
        <v>116</v>
      </c>
    </row>
    <row r="67" spans="1:13" x14ac:dyDescent="0.45">
      <c r="A67" s="63" t="s">
        <v>2280</v>
      </c>
      <c r="B67" s="13">
        <v>133</v>
      </c>
      <c r="D67" s="63" t="s">
        <v>2280</v>
      </c>
      <c r="E67" s="66">
        <v>116</v>
      </c>
      <c r="F67" s="67">
        <v>8</v>
      </c>
      <c r="G67" s="67">
        <v>2</v>
      </c>
      <c r="H67" s="67">
        <v>2</v>
      </c>
      <c r="I67" s="67">
        <v>2</v>
      </c>
      <c r="J67" s="67">
        <v>1</v>
      </c>
      <c r="K67" s="67">
        <v>1</v>
      </c>
      <c r="L67" s="67">
        <v>1</v>
      </c>
      <c r="M67" s="13">
        <v>133</v>
      </c>
    </row>
    <row r="68" spans="1:13" x14ac:dyDescent="0.45">
      <c r="A68" s="68"/>
    </row>
    <row r="71" spans="1:13" x14ac:dyDescent="0.45">
      <c r="A71" s="77" t="s">
        <v>2299</v>
      </c>
    </row>
    <row r="74" spans="1:13" x14ac:dyDescent="0.45">
      <c r="A74" s="15" t="s">
        <v>2279</v>
      </c>
      <c r="B74" s="14" t="s">
        <v>2505</v>
      </c>
    </row>
    <row r="75" spans="1:13" x14ac:dyDescent="0.45">
      <c r="A75" s="16" t="s">
        <v>388</v>
      </c>
      <c r="B75" s="14">
        <v>1</v>
      </c>
    </row>
    <row r="76" spans="1:13" x14ac:dyDescent="0.45">
      <c r="A76" s="74" t="s">
        <v>191</v>
      </c>
      <c r="B76" s="62">
        <v>1</v>
      </c>
    </row>
    <row r="77" spans="1:13" x14ac:dyDescent="0.45">
      <c r="A77" s="75" t="s">
        <v>223</v>
      </c>
      <c r="B77" s="62">
        <v>1</v>
      </c>
    </row>
    <row r="78" spans="1:13" x14ac:dyDescent="0.45">
      <c r="A78" s="76" t="s">
        <v>445</v>
      </c>
      <c r="B78" s="62">
        <v>1</v>
      </c>
    </row>
    <row r="79" spans="1:13" x14ac:dyDescent="0.45">
      <c r="A79" s="17" t="s">
        <v>2282</v>
      </c>
      <c r="B79" s="62">
        <v>129</v>
      </c>
    </row>
    <row r="80" spans="1:13" x14ac:dyDescent="0.45">
      <c r="A80" s="63" t="s">
        <v>2280</v>
      </c>
      <c r="B80" s="13">
        <v>133</v>
      </c>
    </row>
    <row r="83" spans="1:2" x14ac:dyDescent="0.45">
      <c r="A83" s="77" t="s">
        <v>2507</v>
      </c>
    </row>
    <row r="85" spans="1:2" x14ac:dyDescent="0.45">
      <c r="A85" s="15" t="s">
        <v>2279</v>
      </c>
      <c r="B85" s="14" t="s">
        <v>2505</v>
      </c>
    </row>
    <row r="86" spans="1:2" x14ac:dyDescent="0.45">
      <c r="A86" s="16" t="s">
        <v>234</v>
      </c>
      <c r="B86" s="14">
        <v>2</v>
      </c>
    </row>
    <row r="87" spans="1:2" x14ac:dyDescent="0.45">
      <c r="A87" s="17" t="s">
        <v>2275</v>
      </c>
      <c r="B87" s="62">
        <v>2</v>
      </c>
    </row>
    <row r="88" spans="1:2" x14ac:dyDescent="0.45">
      <c r="A88" s="17" t="s">
        <v>388</v>
      </c>
      <c r="B88" s="62">
        <v>1</v>
      </c>
    </row>
    <row r="89" spans="1:2" x14ac:dyDescent="0.45">
      <c r="A89" s="17" t="s">
        <v>1461</v>
      </c>
      <c r="B89" s="62">
        <v>1</v>
      </c>
    </row>
    <row r="90" spans="1:2" x14ac:dyDescent="0.45">
      <c r="A90" s="74" t="s">
        <v>191</v>
      </c>
      <c r="B90" s="62">
        <v>6</v>
      </c>
    </row>
    <row r="91" spans="1:2" x14ac:dyDescent="0.45">
      <c r="A91" s="17" t="s">
        <v>862</v>
      </c>
      <c r="B91" s="62">
        <v>1</v>
      </c>
    </row>
    <row r="92" spans="1:2" x14ac:dyDescent="0.45">
      <c r="A92" s="75" t="s">
        <v>223</v>
      </c>
      <c r="B92" s="62">
        <v>1</v>
      </c>
    </row>
    <row r="93" spans="1:2" x14ac:dyDescent="0.45">
      <c r="A93" s="76" t="s">
        <v>445</v>
      </c>
      <c r="B93" s="62">
        <v>2</v>
      </c>
    </row>
    <row r="94" spans="1:2" x14ac:dyDescent="0.45">
      <c r="A94" s="17" t="s">
        <v>2282</v>
      </c>
      <c r="B94" s="62">
        <v>117</v>
      </c>
    </row>
    <row r="95" spans="1:2" x14ac:dyDescent="0.45">
      <c r="A95" s="63" t="s">
        <v>2280</v>
      </c>
      <c r="B95" s="13">
        <v>133</v>
      </c>
    </row>
    <row r="97" spans="1:2" x14ac:dyDescent="0.45">
      <c r="A97" s="29" t="s">
        <v>2301</v>
      </c>
    </row>
    <row r="99" spans="1:2" x14ac:dyDescent="0.45">
      <c r="A99" s="15" t="s">
        <v>2279</v>
      </c>
      <c r="B99" s="14" t="s">
        <v>2505</v>
      </c>
    </row>
    <row r="100" spans="1:2" x14ac:dyDescent="0.45">
      <c r="A100" s="16" t="s">
        <v>234</v>
      </c>
      <c r="B100" s="14">
        <v>2</v>
      </c>
    </row>
    <row r="101" spans="1:2" x14ac:dyDescent="0.45">
      <c r="A101" s="17" t="s">
        <v>2282</v>
      </c>
      <c r="B101" s="62">
        <v>128</v>
      </c>
    </row>
    <row r="102" spans="1:2" x14ac:dyDescent="0.45">
      <c r="A102" s="17" t="s">
        <v>388</v>
      </c>
      <c r="B102" s="62">
        <v>1</v>
      </c>
    </row>
    <row r="103" spans="1:2" x14ac:dyDescent="0.45">
      <c r="A103" s="17" t="s">
        <v>2508</v>
      </c>
      <c r="B103" s="62">
        <v>1</v>
      </c>
    </row>
    <row r="104" spans="1:2" x14ac:dyDescent="0.45">
      <c r="A104" s="74" t="s">
        <v>191</v>
      </c>
      <c r="B104" s="62">
        <v>1</v>
      </c>
    </row>
    <row r="105" spans="1:2" x14ac:dyDescent="0.45">
      <c r="A105" s="63" t="s">
        <v>2280</v>
      </c>
      <c r="B105" s="13">
        <v>133</v>
      </c>
    </row>
    <row r="109" spans="1:2" x14ac:dyDescent="0.45">
      <c r="A109" s="77" t="s">
        <v>2302</v>
      </c>
    </row>
    <row r="110" spans="1:2" x14ac:dyDescent="0.45">
      <c r="A110" s="29"/>
    </row>
    <row r="111" spans="1:2" x14ac:dyDescent="0.45">
      <c r="A111" s="12" t="s">
        <v>2125</v>
      </c>
      <c r="B111" s="13" t="s">
        <v>2278</v>
      </c>
    </row>
    <row r="113" spans="1:2" x14ac:dyDescent="0.45">
      <c r="A113" s="15" t="s">
        <v>2279</v>
      </c>
      <c r="B113" s="14" t="s">
        <v>2505</v>
      </c>
    </row>
    <row r="114" spans="1:2" x14ac:dyDescent="0.45">
      <c r="A114" s="16" t="s">
        <v>2275</v>
      </c>
      <c r="B114" s="14">
        <v>1</v>
      </c>
    </row>
    <row r="115" spans="1:2" x14ac:dyDescent="0.45">
      <c r="A115" s="17" t="s">
        <v>783</v>
      </c>
      <c r="B115" s="62">
        <v>1</v>
      </c>
    </row>
    <row r="116" spans="1:2" x14ac:dyDescent="0.45">
      <c r="A116" s="74" t="s">
        <v>191</v>
      </c>
      <c r="B116" s="62">
        <v>10</v>
      </c>
    </row>
    <row r="117" spans="1:2" x14ac:dyDescent="0.45">
      <c r="A117" s="17" t="s">
        <v>179</v>
      </c>
      <c r="B117" s="62">
        <v>1</v>
      </c>
    </row>
    <row r="118" spans="1:2" x14ac:dyDescent="0.45">
      <c r="A118" s="17" t="s">
        <v>1520</v>
      </c>
      <c r="B118" s="62">
        <v>1</v>
      </c>
    </row>
    <row r="119" spans="1:2" x14ac:dyDescent="0.45">
      <c r="A119" s="17" t="s">
        <v>2271</v>
      </c>
      <c r="B119" s="62">
        <v>1</v>
      </c>
    </row>
    <row r="120" spans="1:2" x14ac:dyDescent="0.45">
      <c r="A120" s="75" t="s">
        <v>223</v>
      </c>
      <c r="B120" s="62">
        <v>2</v>
      </c>
    </row>
    <row r="121" spans="1:2" x14ac:dyDescent="0.45">
      <c r="A121" s="17" t="s">
        <v>2282</v>
      </c>
      <c r="B121" s="62">
        <v>116</v>
      </c>
    </row>
    <row r="122" spans="1:2" x14ac:dyDescent="0.45">
      <c r="A122" s="63" t="s">
        <v>2280</v>
      </c>
      <c r="B122" s="13">
        <v>133</v>
      </c>
    </row>
    <row r="125" spans="1:2" x14ac:dyDescent="0.45">
      <c r="A125" s="29" t="s">
        <v>2303</v>
      </c>
    </row>
    <row r="126" spans="1:2" x14ac:dyDescent="0.45">
      <c r="A126" s="29"/>
    </row>
    <row r="127" spans="1:2" x14ac:dyDescent="0.45">
      <c r="A127" s="12" t="s">
        <v>2146</v>
      </c>
      <c r="B127" s="13" t="s">
        <v>2278</v>
      </c>
    </row>
    <row r="129" spans="1:2" x14ac:dyDescent="0.45">
      <c r="A129" s="15" t="s">
        <v>2279</v>
      </c>
      <c r="B129" s="14" t="s">
        <v>2505</v>
      </c>
    </row>
    <row r="130" spans="1:2" x14ac:dyDescent="0.45">
      <c r="A130" s="73" t="s">
        <v>191</v>
      </c>
      <c r="B130" s="14">
        <v>2</v>
      </c>
    </row>
    <row r="131" spans="1:2" x14ac:dyDescent="0.45">
      <c r="A131" s="17" t="s">
        <v>2282</v>
      </c>
      <c r="B131" s="62">
        <v>131</v>
      </c>
    </row>
    <row r="132" spans="1:2" x14ac:dyDescent="0.45">
      <c r="A132" s="63" t="s">
        <v>2280</v>
      </c>
      <c r="B132" s="13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U142"/>
  <sheetViews>
    <sheetView topLeftCell="DA1" workbookViewId="0">
      <selection activeCell="DA33" sqref="DA3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5" width="8.1328125" hidden="1" customWidth="1" outlineLevel="1"/>
    <col min="16" max="16" width="8.1328125" collapsed="1"/>
    <col min="17" max="17" width="11.796875" customWidth="1"/>
    <col min="18" max="18" width="33.1328125" hidden="1" customWidth="1" outlineLevel="1"/>
    <col min="19" max="19" width="8.1328125" hidden="1" customWidth="1" outlineLevel="1"/>
    <col min="20" max="20" width="16.1328125" hidden="1" customWidth="1" outlineLevel="1"/>
    <col min="21" max="22" width="14.59765625" hidden="1" customWidth="1" outlineLevel="1"/>
    <col min="23" max="33" width="8.1328125" hidden="1" customWidth="1" outlineLevel="1"/>
    <col min="34" max="34" width="11.796875" customWidth="1" collapsed="1"/>
    <col min="35" max="37" width="23.1328125" hidden="1" customWidth="1" outlineLevel="1"/>
    <col min="38" max="38" width="6.265625" hidden="1" customWidth="1" outlineLevel="1"/>
    <col min="39" max="44" width="23.1328125" hidden="1" customWidth="1" outlineLevel="1"/>
    <col min="45" max="47" width="10" hidden="1" customWidth="1" outlineLevel="1"/>
    <col min="48" max="49" width="23.1328125" hidden="1" customWidth="1" outlineLevel="1"/>
    <col min="50" max="50" width="8.53125" hidden="1" customWidth="1" outlineLevel="1"/>
    <col min="51" max="51" width="23.1328125" hidden="1" customWidth="1" outlineLevel="1"/>
    <col min="52" max="52" width="14.796875" hidden="1" customWidth="1" outlineLevel="1"/>
    <col min="53" max="57" width="23.1328125" hidden="1" customWidth="1" outlineLevel="1"/>
    <col min="58" max="58" width="11.796875" customWidth="1" collapsed="1"/>
    <col min="59" max="59" width="8.1328125" hidden="1" customWidth="1" outlineLevel="1"/>
    <col min="60" max="104" width="26.3984375" hidden="1" customWidth="1" outlineLevel="1"/>
    <col min="105" max="105" width="11.796875" customWidth="1" collapsed="1"/>
    <col min="106" max="115" width="19.9296875" hidden="1" customWidth="1" outlineLevel="1"/>
    <col min="116" max="116" width="11.796875" customWidth="1" collapsed="1"/>
    <col min="117" max="126" width="23.33203125" hidden="1" customWidth="1" outlineLevel="1"/>
    <col min="127" max="127" width="11.796875" customWidth="1" collapsed="1"/>
    <col min="128" max="131" width="8.1328125" hidden="1" customWidth="1" outlineLevel="1"/>
    <col min="132" max="132" width="32" hidden="1" customWidth="1" outlineLevel="1"/>
    <col min="133" max="133" width="14.86328125" hidden="1" customWidth="1" outlineLevel="1"/>
    <col min="134" max="138" width="8.1328125" hidden="1" customWidth="1" outlineLevel="1"/>
    <col min="139" max="140" width="27.53125" hidden="1" customWidth="1" outlineLevel="1"/>
    <col min="141" max="156" width="8.1328125" hidden="1" customWidth="1" outlineLevel="1"/>
    <col min="157" max="157" width="11.796875" customWidth="1" collapsed="1"/>
    <col min="158" max="159" width="8.1328125" hidden="1" customWidth="1" outlineLevel="1"/>
    <col min="160" max="160" width="31.86328125" hidden="1" customWidth="1" outlineLevel="1"/>
    <col min="161" max="161" width="11.796875" hidden="1" customWidth="1" outlineLevel="1"/>
    <col min="162" max="162" width="14.265625" hidden="1" customWidth="1" outlineLevel="1"/>
    <col min="163" max="168" width="8.1328125" hidden="1" customWidth="1" outlineLevel="1"/>
    <col min="169" max="169" width="39.6640625" hidden="1" customWidth="1" outlineLevel="1"/>
    <col min="170" max="183" width="8.1328125" hidden="1" customWidth="1" outlineLevel="1"/>
    <col min="184" max="184" width="11.796875" customWidth="1" collapsed="1"/>
    <col min="185" max="187" width="8.1328125" hidden="1" customWidth="1" outlineLevel="1"/>
    <col min="188" max="188" width="22" hidden="1" customWidth="1" outlineLevel="1"/>
    <col min="189" max="194" width="8.1328125" hidden="1" customWidth="1" outlineLevel="1"/>
    <col min="195" max="195" width="30.265625" hidden="1" customWidth="1" outlineLevel="1"/>
    <col min="196" max="196" width="18.59765625" hidden="1" customWidth="1" outlineLevel="1"/>
    <col min="197" max="221" width="8.1328125" hidden="1" customWidth="1" outlineLevel="1"/>
    <col min="222" max="222" width="9.46484375" customWidth="1" collapsed="1"/>
    <col min="225" max="225" width="28.59765625" customWidth="1"/>
  </cols>
  <sheetData>
    <row r="1" spans="1:229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Y1" t="s">
        <v>18</v>
      </c>
      <c r="Z1" t="s">
        <v>19</v>
      </c>
      <c r="AB1" t="s">
        <v>20</v>
      </c>
      <c r="AC1" t="s">
        <v>21</v>
      </c>
      <c r="AE1" t="s">
        <v>22</v>
      </c>
      <c r="AG1" t="s">
        <v>23</v>
      </c>
      <c r="AH1" s="3" t="s">
        <v>24</v>
      </c>
      <c r="AI1" t="s">
        <v>25</v>
      </c>
      <c r="AM1" t="s">
        <v>26</v>
      </c>
      <c r="AN1" t="s">
        <v>27</v>
      </c>
      <c r="AO1" t="s">
        <v>28</v>
      </c>
      <c r="AP1" t="s">
        <v>17</v>
      </c>
      <c r="AV1" t="s">
        <v>29</v>
      </c>
      <c r="AW1" t="s">
        <v>30</v>
      </c>
      <c r="BA1" t="s">
        <v>31</v>
      </c>
      <c r="BB1" t="s">
        <v>32</v>
      </c>
      <c r="BD1" t="s">
        <v>33</v>
      </c>
      <c r="BF1" s="3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17</v>
      </c>
      <c r="BR1" t="s">
        <v>40</v>
      </c>
      <c r="BS1" t="s">
        <v>41</v>
      </c>
      <c r="BT1" t="s">
        <v>42</v>
      </c>
      <c r="BV1" t="s">
        <v>43</v>
      </c>
      <c r="BW1" t="s">
        <v>44</v>
      </c>
      <c r="BX1" t="s">
        <v>36</v>
      </c>
      <c r="BY1" t="s">
        <v>37</v>
      </c>
      <c r="BZ1" t="s">
        <v>38</v>
      </c>
      <c r="CA1" t="s">
        <v>39</v>
      </c>
      <c r="CB1" t="s">
        <v>17</v>
      </c>
      <c r="CG1" t="s">
        <v>40</v>
      </c>
      <c r="CH1" t="s">
        <v>41</v>
      </c>
      <c r="CI1" t="s">
        <v>42</v>
      </c>
      <c r="CK1" t="s">
        <v>43</v>
      </c>
      <c r="CL1" t="s">
        <v>45</v>
      </c>
      <c r="CM1" t="s">
        <v>36</v>
      </c>
      <c r="CN1" t="s">
        <v>37</v>
      </c>
      <c r="CO1" t="s">
        <v>38</v>
      </c>
      <c r="CP1" t="s">
        <v>39</v>
      </c>
      <c r="CQ1" t="s">
        <v>17</v>
      </c>
      <c r="CV1" t="s">
        <v>40</v>
      </c>
      <c r="CW1" t="s">
        <v>41</v>
      </c>
      <c r="CX1" t="s">
        <v>42</v>
      </c>
      <c r="CZ1" t="s">
        <v>43</v>
      </c>
      <c r="DA1" s="3" t="s">
        <v>46</v>
      </c>
      <c r="DB1" t="s">
        <v>47</v>
      </c>
      <c r="DC1" t="s">
        <v>48</v>
      </c>
      <c r="DD1" t="s">
        <v>17</v>
      </c>
      <c r="DK1" t="s">
        <v>41</v>
      </c>
      <c r="DL1" s="3" t="s">
        <v>49</v>
      </c>
      <c r="DM1" t="s">
        <v>47</v>
      </c>
      <c r="DN1" t="s">
        <v>48</v>
      </c>
      <c r="DO1" t="s">
        <v>17</v>
      </c>
      <c r="DV1" t="s">
        <v>31</v>
      </c>
      <c r="DW1" s="3" t="s">
        <v>50</v>
      </c>
      <c r="DX1" t="s">
        <v>51</v>
      </c>
      <c r="EB1" t="s">
        <v>52</v>
      </c>
      <c r="EC1" t="s">
        <v>17</v>
      </c>
      <c r="EK1" t="s">
        <v>53</v>
      </c>
      <c r="ES1" t="s">
        <v>54</v>
      </c>
      <c r="FA1" s="3" t="s">
        <v>55</v>
      </c>
      <c r="FB1" t="s">
        <v>56</v>
      </c>
      <c r="FC1" t="s">
        <v>57</v>
      </c>
      <c r="FD1" t="s">
        <v>58</v>
      </c>
      <c r="FE1" t="s">
        <v>17</v>
      </c>
      <c r="FI1" t="s">
        <v>59</v>
      </c>
      <c r="FJ1" t="s">
        <v>60</v>
      </c>
      <c r="FK1" t="s">
        <v>61</v>
      </c>
      <c r="FL1" t="s">
        <v>62</v>
      </c>
      <c r="FM1" t="s">
        <v>58</v>
      </c>
      <c r="FN1" t="s">
        <v>17</v>
      </c>
      <c r="FQ1" t="s">
        <v>59</v>
      </c>
      <c r="FR1" t="s">
        <v>60</v>
      </c>
      <c r="FS1" t="s">
        <v>61</v>
      </c>
      <c r="FT1" t="s">
        <v>63</v>
      </c>
      <c r="FU1" t="s">
        <v>58</v>
      </c>
      <c r="FV1" t="s">
        <v>17</v>
      </c>
      <c r="FY1" t="s">
        <v>59</v>
      </c>
      <c r="FZ1" t="s">
        <v>60</v>
      </c>
      <c r="GA1" t="s">
        <v>64</v>
      </c>
      <c r="GB1" s="3" t="s">
        <v>65</v>
      </c>
      <c r="GC1" t="s">
        <v>66</v>
      </c>
      <c r="GD1" t="s">
        <v>67</v>
      </c>
      <c r="GE1" t="s">
        <v>57</v>
      </c>
      <c r="GF1" t="s">
        <v>68</v>
      </c>
      <c r="GG1" t="s">
        <v>17</v>
      </c>
      <c r="GP1" t="s">
        <v>69</v>
      </c>
      <c r="GQ1" t="s">
        <v>70</v>
      </c>
      <c r="GR1" t="s">
        <v>68</v>
      </c>
      <c r="GS1" t="s">
        <v>17</v>
      </c>
      <c r="GZ1" t="s">
        <v>71</v>
      </c>
      <c r="HA1" t="s">
        <v>72</v>
      </c>
      <c r="HB1" t="s">
        <v>68</v>
      </c>
      <c r="HC1" t="s">
        <v>17</v>
      </c>
      <c r="HJ1" t="s">
        <v>71</v>
      </c>
      <c r="HK1" t="s">
        <v>73</v>
      </c>
      <c r="HN1" t="s">
        <v>74</v>
      </c>
      <c r="HO1" t="s">
        <v>75</v>
      </c>
      <c r="HQ1" t="s">
        <v>76</v>
      </c>
      <c r="HS1" t="s">
        <v>77</v>
      </c>
      <c r="HT1" t="s">
        <v>78</v>
      </c>
      <c r="HU1" t="s">
        <v>79</v>
      </c>
    </row>
    <row r="2" spans="1:229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2447</v>
      </c>
      <c r="O2" t="s">
        <v>11</v>
      </c>
      <c r="P2" t="s">
        <v>12</v>
      </c>
      <c r="Q2" s="1" t="s">
        <v>13</v>
      </c>
      <c r="R2" t="s">
        <v>14</v>
      </c>
      <c r="S2" t="s">
        <v>15</v>
      </c>
      <c r="T2" t="s">
        <v>16</v>
      </c>
      <c r="U2" t="s">
        <v>80</v>
      </c>
      <c r="V2" s="20" t="s">
        <v>2510</v>
      </c>
      <c r="W2" t="s">
        <v>81</v>
      </c>
      <c r="X2" t="s">
        <v>82</v>
      </c>
      <c r="Y2" t="s">
        <v>2065</v>
      </c>
      <c r="Z2" t="s">
        <v>83</v>
      </c>
      <c r="AA2" t="s">
        <v>84</v>
      </c>
      <c r="AB2" t="s">
        <v>20</v>
      </c>
      <c r="AC2" t="s">
        <v>2265</v>
      </c>
      <c r="AD2" t="s">
        <v>2266</v>
      </c>
      <c r="AE2" t="s">
        <v>22</v>
      </c>
      <c r="AF2" t="s">
        <v>85</v>
      </c>
      <c r="AG2" t="s">
        <v>23</v>
      </c>
      <c r="AH2" s="1" t="s">
        <v>24</v>
      </c>
      <c r="AI2" t="s">
        <v>25</v>
      </c>
      <c r="AJ2" s="20" t="s">
        <v>2325</v>
      </c>
      <c r="AK2" s="20" t="s">
        <v>2464</v>
      </c>
      <c r="AL2" s="20" t="s">
        <v>2469</v>
      </c>
      <c r="AM2" t="s">
        <v>26</v>
      </c>
      <c r="AN2" t="s">
        <v>27</v>
      </c>
      <c r="AO2" t="s">
        <v>28</v>
      </c>
      <c r="AP2" t="s">
        <v>86</v>
      </c>
      <c r="AQ2" s="20" t="s">
        <v>2511</v>
      </c>
      <c r="AR2" t="s">
        <v>2071</v>
      </c>
      <c r="AS2" t="s">
        <v>87</v>
      </c>
      <c r="AT2" t="s">
        <v>88</v>
      </c>
      <c r="AU2" t="s">
        <v>89</v>
      </c>
      <c r="AV2" t="s">
        <v>29</v>
      </c>
      <c r="AW2" t="s">
        <v>2072</v>
      </c>
      <c r="AX2" s="20" t="s">
        <v>2470</v>
      </c>
      <c r="AY2" t="s">
        <v>2073</v>
      </c>
      <c r="AZ2" s="20" t="s">
        <v>2471</v>
      </c>
      <c r="BA2" t="s">
        <v>31</v>
      </c>
      <c r="BB2" t="s">
        <v>32</v>
      </c>
      <c r="BC2" t="s">
        <v>2070</v>
      </c>
      <c r="BD2" t="s">
        <v>33</v>
      </c>
      <c r="BE2" t="s">
        <v>2074</v>
      </c>
      <c r="BF2" s="1" t="s">
        <v>34</v>
      </c>
      <c r="BG2" t="s">
        <v>35</v>
      </c>
      <c r="BH2" t="s">
        <v>36</v>
      </c>
      <c r="BI2" t="s">
        <v>37</v>
      </c>
      <c r="BJ2" t="s">
        <v>38</v>
      </c>
      <c r="BK2" t="s">
        <v>39</v>
      </c>
      <c r="BL2" s="20" t="s">
        <v>2075</v>
      </c>
      <c r="BM2" s="20" t="s">
        <v>2518</v>
      </c>
      <c r="BN2" t="s">
        <v>2076</v>
      </c>
      <c r="BO2" t="s">
        <v>90</v>
      </c>
      <c r="BP2" t="s">
        <v>91</v>
      </c>
      <c r="BQ2" t="s">
        <v>92</v>
      </c>
      <c r="BR2" t="s">
        <v>40</v>
      </c>
      <c r="BS2" t="s">
        <v>41</v>
      </c>
      <c r="BT2" t="s">
        <v>42</v>
      </c>
      <c r="BU2" t="s">
        <v>2077</v>
      </c>
      <c r="BV2" t="s">
        <v>43</v>
      </c>
      <c r="BW2" t="s">
        <v>44</v>
      </c>
      <c r="BX2" t="s">
        <v>2078</v>
      </c>
      <c r="BY2" t="s">
        <v>2079</v>
      </c>
      <c r="BZ2" t="s">
        <v>2080</v>
      </c>
      <c r="CA2" t="s">
        <v>2081</v>
      </c>
      <c r="CB2" t="s">
        <v>2082</v>
      </c>
      <c r="CC2" t="s">
        <v>2083</v>
      </c>
      <c r="CD2" t="s">
        <v>2084</v>
      </c>
      <c r="CE2" t="s">
        <v>2085</v>
      </c>
      <c r="CF2" t="s">
        <v>2086</v>
      </c>
      <c r="CG2" t="s">
        <v>2087</v>
      </c>
      <c r="CH2" t="s">
        <v>2088</v>
      </c>
      <c r="CI2" t="s">
        <v>2089</v>
      </c>
      <c r="CJ2" t="s">
        <v>2090</v>
      </c>
      <c r="CK2" t="s">
        <v>2091</v>
      </c>
      <c r="CL2" t="s">
        <v>45</v>
      </c>
      <c r="CM2" t="s">
        <v>2092</v>
      </c>
      <c r="CN2" t="s">
        <v>2093</v>
      </c>
      <c r="CO2" t="s">
        <v>2094</v>
      </c>
      <c r="CP2" t="s">
        <v>2095</v>
      </c>
      <c r="CQ2" t="s">
        <v>2096</v>
      </c>
      <c r="CR2" t="s">
        <v>2097</v>
      </c>
      <c r="CS2" t="s">
        <v>2098</v>
      </c>
      <c r="CT2" t="s">
        <v>2099</v>
      </c>
      <c r="CU2" t="s">
        <v>2100</v>
      </c>
      <c r="CV2" t="s">
        <v>2101</v>
      </c>
      <c r="CW2" t="s">
        <v>2102</v>
      </c>
      <c r="CX2" t="s">
        <v>2103</v>
      </c>
      <c r="CY2" t="s">
        <v>2104</v>
      </c>
      <c r="CZ2" t="s">
        <v>2105</v>
      </c>
      <c r="DA2" s="1" t="s">
        <v>46</v>
      </c>
      <c r="DB2" t="s">
        <v>47</v>
      </c>
      <c r="DC2" t="s">
        <v>48</v>
      </c>
      <c r="DD2" t="s">
        <v>93</v>
      </c>
      <c r="DE2" s="20" t="s">
        <v>2512</v>
      </c>
      <c r="DF2" t="s">
        <v>94</v>
      </c>
      <c r="DG2" s="20" t="s">
        <v>95</v>
      </c>
      <c r="DH2" s="20" t="s">
        <v>96</v>
      </c>
      <c r="DI2" t="s">
        <v>97</v>
      </c>
      <c r="DJ2" t="s">
        <v>98</v>
      </c>
      <c r="DK2" t="s">
        <v>2106</v>
      </c>
      <c r="DL2" s="1" t="s">
        <v>49</v>
      </c>
      <c r="DM2" t="s">
        <v>2107</v>
      </c>
      <c r="DN2" t="s">
        <v>2108</v>
      </c>
      <c r="DO2" t="s">
        <v>2109</v>
      </c>
      <c r="DP2" s="20" t="s">
        <v>2513</v>
      </c>
      <c r="DQ2" s="20" t="s">
        <v>2110</v>
      </c>
      <c r="DR2" s="20" t="s">
        <v>2111</v>
      </c>
      <c r="DS2" s="20" t="s">
        <v>2112</v>
      </c>
      <c r="DT2" s="20" t="s">
        <v>2113</v>
      </c>
      <c r="DU2" t="s">
        <v>2114</v>
      </c>
      <c r="DV2" t="s">
        <v>2115</v>
      </c>
      <c r="DW2" s="1" t="s">
        <v>50</v>
      </c>
      <c r="DX2" t="s">
        <v>51</v>
      </c>
      <c r="DY2" t="s">
        <v>2067</v>
      </c>
      <c r="DZ2" t="s">
        <v>2068</v>
      </c>
      <c r="EA2" t="s">
        <v>2069</v>
      </c>
      <c r="EB2" t="s">
        <v>52</v>
      </c>
      <c r="EC2" s="20" t="s">
        <v>99</v>
      </c>
      <c r="ED2" s="20" t="s">
        <v>100</v>
      </c>
      <c r="EE2" s="20" t="s">
        <v>101</v>
      </c>
      <c r="EF2" t="s">
        <v>102</v>
      </c>
      <c r="EG2" t="s">
        <v>103</v>
      </c>
      <c r="EH2" s="20" t="s">
        <v>104</v>
      </c>
      <c r="EI2" s="20" t="s">
        <v>105</v>
      </c>
      <c r="EJ2" s="20" t="s">
        <v>2514</v>
      </c>
      <c r="EK2" t="s">
        <v>106</v>
      </c>
      <c r="EL2" t="s">
        <v>107</v>
      </c>
      <c r="EM2" t="s">
        <v>108</v>
      </c>
      <c r="EN2" t="s">
        <v>109</v>
      </c>
      <c r="EO2" t="s">
        <v>110</v>
      </c>
      <c r="EP2" t="s">
        <v>111</v>
      </c>
      <c r="EQ2" t="s">
        <v>112</v>
      </c>
      <c r="ER2" t="s">
        <v>2116</v>
      </c>
      <c r="ES2" t="s">
        <v>2117</v>
      </c>
      <c r="ET2" t="s">
        <v>2118</v>
      </c>
      <c r="EU2" t="s">
        <v>2119</v>
      </c>
      <c r="EV2" t="s">
        <v>2120</v>
      </c>
      <c r="EW2" t="s">
        <v>2121</v>
      </c>
      <c r="EX2" t="s">
        <v>2122</v>
      </c>
      <c r="EY2" t="s">
        <v>2123</v>
      </c>
      <c r="EZ2" t="s">
        <v>2124</v>
      </c>
      <c r="FA2" s="1" t="s">
        <v>55</v>
      </c>
      <c r="FB2" t="s">
        <v>56</v>
      </c>
      <c r="FC2" t="s">
        <v>57</v>
      </c>
      <c r="FD2" t="s">
        <v>58</v>
      </c>
      <c r="FE2" s="20" t="s">
        <v>113</v>
      </c>
      <c r="FF2" s="20" t="s">
        <v>2515</v>
      </c>
      <c r="FG2" t="s">
        <v>114</v>
      </c>
      <c r="FH2" t="s">
        <v>115</v>
      </c>
      <c r="FI2" t="s">
        <v>59</v>
      </c>
      <c r="FJ2" t="s">
        <v>60</v>
      </c>
      <c r="FK2" t="s">
        <v>61</v>
      </c>
      <c r="FL2" t="s">
        <v>62</v>
      </c>
      <c r="FM2" t="s">
        <v>2125</v>
      </c>
      <c r="FN2" t="s">
        <v>2126</v>
      </c>
      <c r="FO2" t="s">
        <v>2127</v>
      </c>
      <c r="FP2" t="s">
        <v>2128</v>
      </c>
      <c r="FQ2" t="s">
        <v>2129</v>
      </c>
      <c r="FR2" t="s">
        <v>2130</v>
      </c>
      <c r="FS2" t="s">
        <v>2131</v>
      </c>
      <c r="FT2" t="s">
        <v>63</v>
      </c>
      <c r="FU2" t="s">
        <v>2132</v>
      </c>
      <c r="FV2" t="s">
        <v>2133</v>
      </c>
      <c r="FW2" t="s">
        <v>2134</v>
      </c>
      <c r="FX2" t="s">
        <v>2135</v>
      </c>
      <c r="FY2" t="s">
        <v>2136</v>
      </c>
      <c r="FZ2" t="s">
        <v>2137</v>
      </c>
      <c r="GA2" t="s">
        <v>64</v>
      </c>
      <c r="GB2" s="1" t="s">
        <v>65</v>
      </c>
      <c r="GC2" t="s">
        <v>66</v>
      </c>
      <c r="GD2" t="s">
        <v>67</v>
      </c>
      <c r="GE2" t="s">
        <v>2138</v>
      </c>
      <c r="GF2" t="s">
        <v>68</v>
      </c>
      <c r="GG2" s="20" t="s">
        <v>116</v>
      </c>
      <c r="GH2" t="s">
        <v>2139</v>
      </c>
      <c r="GI2" t="s">
        <v>2140</v>
      </c>
      <c r="GJ2" t="s">
        <v>2141</v>
      </c>
      <c r="GK2" t="s">
        <v>2142</v>
      </c>
      <c r="GL2" t="s">
        <v>2143</v>
      </c>
      <c r="GM2" t="s">
        <v>2144</v>
      </c>
      <c r="GN2" s="20" t="s">
        <v>2516</v>
      </c>
      <c r="GO2" t="s">
        <v>2145</v>
      </c>
      <c r="GP2" t="s">
        <v>69</v>
      </c>
      <c r="GQ2" t="s">
        <v>70</v>
      </c>
      <c r="GR2" t="s">
        <v>2146</v>
      </c>
      <c r="GS2" t="s">
        <v>2147</v>
      </c>
      <c r="GT2" t="s">
        <v>2148</v>
      </c>
      <c r="GU2" t="s">
        <v>2149</v>
      </c>
      <c r="GV2" t="s">
        <v>2150</v>
      </c>
      <c r="GW2" t="s">
        <v>2151</v>
      </c>
      <c r="GX2" t="s">
        <v>2152</v>
      </c>
      <c r="GY2" t="s">
        <v>2153</v>
      </c>
      <c r="GZ2" t="s">
        <v>71</v>
      </c>
      <c r="HA2" t="s">
        <v>72</v>
      </c>
      <c r="HB2" t="s">
        <v>2154</v>
      </c>
      <c r="HC2" t="s">
        <v>2155</v>
      </c>
      <c r="HD2" t="s">
        <v>2156</v>
      </c>
      <c r="HE2" t="s">
        <v>2157</v>
      </c>
      <c r="HF2" t="s">
        <v>2158</v>
      </c>
      <c r="HG2" t="s">
        <v>2159</v>
      </c>
      <c r="HH2" t="s">
        <v>2160</v>
      </c>
      <c r="HI2" t="s">
        <v>2161</v>
      </c>
      <c r="HJ2" t="s">
        <v>2162</v>
      </c>
      <c r="HK2" t="s">
        <v>73</v>
      </c>
      <c r="HL2" t="s">
        <v>2163</v>
      </c>
      <c r="HM2" t="s">
        <v>2164</v>
      </c>
      <c r="HN2" t="s">
        <v>74</v>
      </c>
      <c r="HO2" t="s">
        <v>75</v>
      </c>
      <c r="HP2" s="20" t="s">
        <v>2316</v>
      </c>
      <c r="HQ2" t="s">
        <v>76</v>
      </c>
      <c r="HR2" t="s">
        <v>2165</v>
      </c>
      <c r="HS2" t="s">
        <v>77</v>
      </c>
      <c r="HT2" t="s">
        <v>78</v>
      </c>
      <c r="HU2" t="s">
        <v>79</v>
      </c>
    </row>
    <row r="3" spans="1:229" x14ac:dyDescent="0.45">
      <c r="A3">
        <v>260</v>
      </c>
      <c r="B3">
        <f>_xlfn.IFNA(VLOOKUP(AnalizaCzyste[[#This Row],[Zakończono wypełnianie]],Zakończone[],2,0),"BRAK")</f>
        <v>137</v>
      </c>
      <c r="C3">
        <f t="shared" ref="C3:C34" si="0">COUNTA(P3:HU3)</f>
        <v>80</v>
      </c>
      <c r="D3" t="s">
        <v>2014</v>
      </c>
      <c r="E3" t="s">
        <v>118</v>
      </c>
      <c r="J3" t="s">
        <v>119</v>
      </c>
      <c r="K3" t="s">
        <v>2046</v>
      </c>
      <c r="L3" t="s">
        <v>2047</v>
      </c>
      <c r="M3">
        <v>707</v>
      </c>
      <c r="O3">
        <v>0</v>
      </c>
      <c r="P3" t="s">
        <v>122</v>
      </c>
      <c r="Q3" s="1" t="s">
        <v>123</v>
      </c>
      <c r="V3" t="e">
        <f>VLOOKUP(AnalizaCzyste[[#This Row],[Moja satysfakcja z usług edukacyjnych ocenianej uczelni jest wysoka.]],SkalaLikerta[],2,0)</f>
        <v>#N/A</v>
      </c>
      <c r="AH3" s="1" t="s">
        <v>124</v>
      </c>
      <c r="AI3" t="s">
        <v>191</v>
      </c>
      <c r="AJ3" t="str">
        <f>VLOOKUP(AnalizaCzyste[[#This Row],[Jak się nazywa uczelnia którą ukończyłeś? (proszę o wybranie jednej uczelni podlegającej ocenie)]],KategorieUczelni[],2,0)</f>
        <v>Publiczna</v>
      </c>
      <c r="AK3" t="str">
        <f>VLOOKUP(AnalizaCzyste[[#This Row],[Jak się nazywa uczelnia którą ukończyłeś? (proszę o wybranie jednej uczelni podlegającej ocenie)]],KategorieUczelni[],3,0)</f>
        <v>Techniczna</v>
      </c>
      <c r="AL3">
        <f>COUNTIF(AnalizaCzyste[[#This Row],[Czy jesteś absolwentem uczelni wyższej?]],"*"&amp;"Tak"&amp;"*")</f>
        <v>1</v>
      </c>
      <c r="AM3">
        <v>1985</v>
      </c>
      <c r="AN3" t="s">
        <v>126</v>
      </c>
      <c r="AO3" t="s">
        <v>2017</v>
      </c>
      <c r="AP3" t="s">
        <v>150</v>
      </c>
      <c r="AQ3">
        <f>VLOOKUP(AnalizaCzyste[[#This Row],[Moja satysfakcja z (efektów) usług edukacyjnych ocenianej uczelni jest wysoka.]],SkalaLikerta[],2,0)</f>
        <v>6</v>
      </c>
      <c r="AR3" t="s">
        <v>150</v>
      </c>
      <c r="AS3" t="s">
        <v>151</v>
      </c>
      <c r="AT3" t="s">
        <v>236</v>
      </c>
      <c r="AU3" t="s">
        <v>150</v>
      </c>
      <c r="AV3" t="s">
        <v>237</v>
      </c>
      <c r="AW3" t="s">
        <v>152</v>
      </c>
      <c r="AX3">
        <f>VLOOKUP(AnalizaCzyste[[#This Row],[w pierwszym roku po ukończeniu studiów : wybierz wartość z listy rozwijanej4]],Zarobki[],2,0)</f>
        <v>500</v>
      </c>
      <c r="AY3" t="s">
        <v>759</v>
      </c>
      <c r="AZ3">
        <f>VLOOKUP(AnalizaCzyste[[#This Row],[w 3 lata po ukończeniu studiów : wybierz wartość z listy rozwijanej5]],Zarobki[],2,0)</f>
        <v>5500</v>
      </c>
      <c r="BA3" t="s">
        <v>2048</v>
      </c>
      <c r="BB3" t="s">
        <v>1229</v>
      </c>
      <c r="BC3" t="s">
        <v>1229</v>
      </c>
      <c r="BD3" t="s">
        <v>157</v>
      </c>
      <c r="BE3" t="s">
        <v>2032</v>
      </c>
      <c r="BF3" s="1" t="s">
        <v>159</v>
      </c>
      <c r="BG3">
        <v>1</v>
      </c>
      <c r="BH3" t="s">
        <v>191</v>
      </c>
      <c r="BI3">
        <v>2018</v>
      </c>
      <c r="BJ3" t="s">
        <v>126</v>
      </c>
      <c r="BK3" t="s">
        <v>2049</v>
      </c>
      <c r="BL3" t="s">
        <v>151</v>
      </c>
      <c r="BM3">
        <f>VLOOKUP(AnalizaCzyste[[#This Row],[Moja satysfakcja z (efektów) usług edukacyjnych ocenianej uczelni jest wysoka.8]],SkalaLikerta[],2,0)</f>
        <v>4</v>
      </c>
      <c r="BN3" t="s">
        <v>151</v>
      </c>
      <c r="BO3" t="s">
        <v>128</v>
      </c>
      <c r="BP3" t="s">
        <v>162</v>
      </c>
      <c r="BQ3" t="s">
        <v>132</v>
      </c>
      <c r="BR3">
        <v>12</v>
      </c>
      <c r="BS3" t="s">
        <v>2050</v>
      </c>
      <c r="BT3" t="s">
        <v>157</v>
      </c>
      <c r="BW3" t="s">
        <v>173</v>
      </c>
      <c r="DA3" s="1" t="s">
        <v>123</v>
      </c>
      <c r="DE3" t="e">
        <f>VLOOKUP(AnalizaCzyste[[#This Row],[Moja satysfakcja z pracy na ocenianej uczelni jest wysoka.]],SkalaLikerta[],2,0)</f>
        <v>#N/A</v>
      </c>
      <c r="DL3" s="1" t="s">
        <v>123</v>
      </c>
      <c r="DP3" t="e">
        <f>VLOOKUP(AnalizaCzyste[[#This Row],[Moja satysfakcja z pracy na ocenianej uczelni jest wysoka.42]],SkalaLikerta[],2,0)</f>
        <v>#N/A</v>
      </c>
      <c r="DW3" s="1" t="s">
        <v>123</v>
      </c>
      <c r="EJ3" t="e">
        <f>VLOOKUP(AnalizaCzyste[[#This Row],[Ogólny poziom mojej satysfakcji z jakości usług edukacyjnych ocenianej uczelni jest wysoki.]],SkalaLikerta[],2,0)</f>
        <v>#N/A</v>
      </c>
      <c r="FA3" s="1" t="s">
        <v>177</v>
      </c>
      <c r="FB3" t="s">
        <v>178</v>
      </c>
      <c r="FC3">
        <v>2</v>
      </c>
      <c r="FD3" s="20" t="s">
        <v>191</v>
      </c>
      <c r="FE3" t="s">
        <v>151</v>
      </c>
      <c r="FF3">
        <f>VLOOKUP(AnalizaCzyste[[#This Row],[Moja satysfakcja z (efektów) usług edukacyjnych na ocenianej uczelni jest wysoka.]],SkalaLikerta[],2,0)</f>
        <v>4</v>
      </c>
      <c r="FG3" t="s">
        <v>162</v>
      </c>
      <c r="FH3" t="s">
        <v>151</v>
      </c>
      <c r="FI3" t="s">
        <v>178</v>
      </c>
      <c r="FJ3" t="s">
        <v>2051</v>
      </c>
      <c r="FK3" t="s">
        <v>2052</v>
      </c>
      <c r="FL3" t="s">
        <v>1206</v>
      </c>
      <c r="FM3" t="s">
        <v>223</v>
      </c>
      <c r="FN3" t="s">
        <v>162</v>
      </c>
      <c r="FO3" t="s">
        <v>162</v>
      </c>
      <c r="FP3" t="s">
        <v>151</v>
      </c>
      <c r="FQ3" t="s">
        <v>178</v>
      </c>
      <c r="FR3" t="s">
        <v>2053</v>
      </c>
      <c r="FS3" t="s">
        <v>2054</v>
      </c>
      <c r="FT3" t="s">
        <v>173</v>
      </c>
      <c r="GB3" s="1" t="s">
        <v>123</v>
      </c>
      <c r="GN3" t="e">
        <f>VLOOKUP(AnalizaCzyste[[#This Row],[Ogólny poziom mojej satysfakcji z jakości usług edukacyjnych ocenianej uczelni jest wysoki.32]],SkalaLikerta[],2,0)</f>
        <v>#N/A</v>
      </c>
      <c r="HK3" t="s">
        <v>1229</v>
      </c>
      <c r="HL3" t="s">
        <v>1229</v>
      </c>
      <c r="HM3" t="s">
        <v>1229</v>
      </c>
      <c r="HN3" t="s">
        <v>186</v>
      </c>
      <c r="HO3">
        <v>1959</v>
      </c>
      <c r="HP3" t="str">
        <f>VLOOKUP(AnalizaCzyste[[#This Row],[Rok urodzenia]],KategorieWiekowe[],2,1)</f>
        <v>56–65 lat</v>
      </c>
      <c r="HQ3" t="s">
        <v>141</v>
      </c>
      <c r="HS3" t="s">
        <v>2055</v>
      </c>
      <c r="HU3" t="s">
        <v>2056</v>
      </c>
    </row>
    <row r="4" spans="1:229" x14ac:dyDescent="0.45">
      <c r="A4">
        <v>196</v>
      </c>
      <c r="B4">
        <f>_xlfn.IFNA(VLOOKUP(AnalizaCzyste[[#This Row],[Zakończono wypełnianie]],Zakończone[],2,0),"BRAK")</f>
        <v>112</v>
      </c>
      <c r="C4">
        <f t="shared" si="0"/>
        <v>68</v>
      </c>
      <c r="D4" t="s">
        <v>1659</v>
      </c>
      <c r="E4" t="s">
        <v>118</v>
      </c>
      <c r="J4" t="s">
        <v>119</v>
      </c>
      <c r="K4" t="s">
        <v>1660</v>
      </c>
      <c r="L4" t="s">
        <v>1661</v>
      </c>
      <c r="M4">
        <v>614</v>
      </c>
      <c r="O4">
        <v>0</v>
      </c>
      <c r="P4" t="s">
        <v>122</v>
      </c>
      <c r="Q4" s="1" t="s">
        <v>123</v>
      </c>
      <c r="V4" t="e">
        <f>VLOOKUP(AnalizaCzyste[[#This Row],[Moja satysfakcja z usług edukacyjnych ocenianej uczelni jest wysoka.]],SkalaLikerta[],2,0)</f>
        <v>#N/A</v>
      </c>
      <c r="AH4" s="1" t="s">
        <v>124</v>
      </c>
      <c r="AI4" t="s">
        <v>191</v>
      </c>
      <c r="AJ4" t="str">
        <f>VLOOKUP(AnalizaCzyste[[#This Row],[Jak się nazywa uczelnia którą ukończyłeś? (proszę o wybranie jednej uczelni podlegającej ocenie)]],KategorieUczelni[],2,0)</f>
        <v>Publiczna</v>
      </c>
      <c r="AK4" t="str">
        <f>VLOOKUP(AnalizaCzyste[[#This Row],[Jak się nazywa uczelnia którą ukończyłeś? (proszę o wybranie jednej uczelni podlegającej ocenie)]],KategorieUczelni[],3,0)</f>
        <v>Techniczna</v>
      </c>
      <c r="AL4">
        <f>COUNTIF(AnalizaCzyste[[#This Row],[Czy jesteś absolwentem uczelni wyższej?]],"*"&amp;"Tak"&amp;"*")</f>
        <v>1</v>
      </c>
      <c r="AM4">
        <v>1991</v>
      </c>
      <c r="AN4" t="s">
        <v>126</v>
      </c>
      <c r="AO4" t="s">
        <v>1662</v>
      </c>
      <c r="AP4" t="s">
        <v>150</v>
      </c>
      <c r="AQ4">
        <f>VLOOKUP(AnalizaCzyste[[#This Row],[Moja satysfakcja z (efektów) usług edukacyjnych ocenianej uczelni jest wysoka.]],SkalaLikerta[],2,0)</f>
        <v>6</v>
      </c>
      <c r="AR4" t="s">
        <v>150</v>
      </c>
      <c r="AS4" t="s">
        <v>150</v>
      </c>
      <c r="AT4" t="s">
        <v>132</v>
      </c>
      <c r="AU4" t="s">
        <v>132</v>
      </c>
      <c r="AV4" t="s">
        <v>718</v>
      </c>
      <c r="AW4" t="s">
        <v>132</v>
      </c>
      <c r="AX4" t="str">
        <f>VLOOKUP(AnalizaCzyste[[#This Row],[w pierwszym roku po ukończeniu studiów : wybierz wartość z listy rozwijanej4]],Zarobki[],2,0)</f>
        <v>N/D</v>
      </c>
      <c r="AY4" t="s">
        <v>132</v>
      </c>
      <c r="AZ4" t="str">
        <f>VLOOKUP(AnalizaCzyste[[#This Row],[w 3 lata po ukończeniu studiów : wybierz wartość z listy rozwijanej5]],Zarobki[],2,0)</f>
        <v>N/D</v>
      </c>
      <c r="BA4" t="s">
        <v>1663</v>
      </c>
      <c r="BB4" t="s">
        <v>1664</v>
      </c>
      <c r="BC4" t="s">
        <v>1665</v>
      </c>
      <c r="BD4" t="s">
        <v>172</v>
      </c>
      <c r="BF4" s="1" t="s">
        <v>159</v>
      </c>
      <c r="BG4">
        <v>1</v>
      </c>
      <c r="BH4" t="s">
        <v>191</v>
      </c>
      <c r="BI4">
        <v>2018</v>
      </c>
      <c r="BJ4" t="s">
        <v>126</v>
      </c>
      <c r="BK4" t="s">
        <v>1666</v>
      </c>
      <c r="BL4" t="s">
        <v>151</v>
      </c>
      <c r="BM4">
        <f>VLOOKUP(AnalizaCzyste[[#This Row],[Moja satysfakcja z (efektów) usług edukacyjnych ocenianej uczelni jest wysoka.8]],SkalaLikerta[],2,0)</f>
        <v>4</v>
      </c>
      <c r="BN4" t="s">
        <v>151</v>
      </c>
      <c r="BO4" t="s">
        <v>151</v>
      </c>
      <c r="BP4" t="s">
        <v>151</v>
      </c>
      <c r="BQ4" t="s">
        <v>151</v>
      </c>
      <c r="BR4">
        <v>1</v>
      </c>
      <c r="BT4" t="s">
        <v>172</v>
      </c>
      <c r="BW4" t="s">
        <v>173</v>
      </c>
      <c r="DA4" s="1" t="s">
        <v>123</v>
      </c>
      <c r="DE4" t="e">
        <f>VLOOKUP(AnalizaCzyste[[#This Row],[Moja satysfakcja z pracy na ocenianej uczelni jest wysoka.]],SkalaLikerta[],2,0)</f>
        <v>#N/A</v>
      </c>
      <c r="DL4" s="1" t="s">
        <v>123</v>
      </c>
      <c r="DP4" t="e">
        <f>VLOOKUP(AnalizaCzyste[[#This Row],[Moja satysfakcja z pracy na ocenianej uczelni jest wysoka.42]],SkalaLikerta[],2,0)</f>
        <v>#N/A</v>
      </c>
      <c r="DW4" s="1" t="s">
        <v>123</v>
      </c>
      <c r="EJ4" t="e">
        <f>VLOOKUP(AnalizaCzyste[[#This Row],[Ogólny poziom mojej satysfakcji z jakości usług edukacyjnych ocenianej uczelni jest wysoki.]],SkalaLikerta[],2,0)</f>
        <v>#N/A</v>
      </c>
      <c r="FA4" s="1" t="s">
        <v>177</v>
      </c>
      <c r="FB4" t="s">
        <v>178</v>
      </c>
      <c r="FC4">
        <v>1</v>
      </c>
      <c r="FD4" s="20" t="s">
        <v>191</v>
      </c>
      <c r="FE4" t="s">
        <v>169</v>
      </c>
      <c r="FF4">
        <f>VLOOKUP(AnalizaCzyste[[#This Row],[Moja satysfakcja z (efektów) usług edukacyjnych na ocenianej uczelni jest wysoka.]],SkalaLikerta[],2,0)</f>
        <v>7</v>
      </c>
      <c r="FG4" t="s">
        <v>169</v>
      </c>
      <c r="FH4" t="s">
        <v>151</v>
      </c>
      <c r="FI4" t="s">
        <v>178</v>
      </c>
      <c r="FJ4" t="s">
        <v>1667</v>
      </c>
      <c r="FK4" t="s">
        <v>1668</v>
      </c>
      <c r="FL4" t="s">
        <v>173</v>
      </c>
      <c r="GB4" s="1" t="s">
        <v>123</v>
      </c>
      <c r="GN4" t="e">
        <f>VLOOKUP(AnalizaCzyste[[#This Row],[Ogólny poziom mojej satysfakcji z jakości usług edukacyjnych ocenianej uczelni jest wysoki.32]],SkalaLikerta[],2,0)</f>
        <v>#N/A</v>
      </c>
      <c r="HK4" t="s">
        <v>1669</v>
      </c>
      <c r="HL4" t="s">
        <v>1670</v>
      </c>
      <c r="HM4" t="s">
        <v>1671</v>
      </c>
      <c r="HN4" t="s">
        <v>186</v>
      </c>
      <c r="HO4">
        <v>1966</v>
      </c>
      <c r="HP4" t="str">
        <f>VLOOKUP(AnalizaCzyste[[#This Row],[Rok urodzenia]],KategorieWiekowe[],2,1)</f>
        <v>46–55 lat</v>
      </c>
      <c r="HQ4" t="s">
        <v>141</v>
      </c>
    </row>
    <row r="5" spans="1:229" x14ac:dyDescent="0.45">
      <c r="A5">
        <v>125</v>
      </c>
      <c r="B5">
        <f>_xlfn.IFNA(VLOOKUP(AnalizaCzyste[[#This Row],[Zakończono wypełnianie]],Zakończone[],2,0),"BRAK")</f>
        <v>74</v>
      </c>
      <c r="C5">
        <f t="shared" si="0"/>
        <v>93</v>
      </c>
      <c r="D5" t="s">
        <v>1163</v>
      </c>
      <c r="E5" t="s">
        <v>118</v>
      </c>
      <c r="J5" t="s">
        <v>119</v>
      </c>
      <c r="K5" t="s">
        <v>1164</v>
      </c>
      <c r="L5" t="s">
        <v>1165</v>
      </c>
      <c r="M5">
        <v>982</v>
      </c>
      <c r="O5">
        <v>0</v>
      </c>
      <c r="P5" t="s">
        <v>122</v>
      </c>
      <c r="Q5" s="1" t="s">
        <v>123</v>
      </c>
      <c r="V5" t="e">
        <f>VLOOKUP(AnalizaCzyste[[#This Row],[Moja satysfakcja z usług edukacyjnych ocenianej uczelni jest wysoka.]],SkalaLikerta[],2,0)</f>
        <v>#N/A</v>
      </c>
      <c r="AH5" s="1" t="s">
        <v>124</v>
      </c>
      <c r="AI5" t="s">
        <v>191</v>
      </c>
      <c r="AJ5" t="str">
        <f>VLOOKUP(AnalizaCzyste[[#This Row],[Jak się nazywa uczelnia którą ukończyłeś? (proszę o wybranie jednej uczelni podlegającej ocenie)]],KategorieUczelni[],2,0)</f>
        <v>Publiczna</v>
      </c>
      <c r="AK5" t="str">
        <f>VLOOKUP(AnalizaCzyste[[#This Row],[Jak się nazywa uczelnia którą ukończyłeś? (proszę o wybranie jednej uczelni podlegającej ocenie)]],KategorieUczelni[],3,0)</f>
        <v>Techniczna</v>
      </c>
      <c r="AL5">
        <f>COUNTIF(AnalizaCzyste[[#This Row],[Czy jesteś absolwentem uczelni wyższej?]],"*"&amp;"Tak"&amp;"*")</f>
        <v>1</v>
      </c>
      <c r="AM5">
        <v>1978</v>
      </c>
      <c r="AN5" t="s">
        <v>148</v>
      </c>
      <c r="AO5" t="s">
        <v>1167</v>
      </c>
      <c r="AP5" t="s">
        <v>169</v>
      </c>
      <c r="AQ5">
        <f>VLOOKUP(AnalizaCzyste[[#This Row],[Moja satysfakcja z (efektów) usług edukacyjnych ocenianej uczelni jest wysoka.]],SkalaLikerta[],2,0)</f>
        <v>7</v>
      </c>
      <c r="AR5" t="s">
        <v>169</v>
      </c>
      <c r="AS5" t="s">
        <v>169</v>
      </c>
      <c r="AT5" t="s">
        <v>150</v>
      </c>
      <c r="AU5" t="s">
        <v>150</v>
      </c>
      <c r="AV5" t="s">
        <v>1168</v>
      </c>
      <c r="AW5" t="s">
        <v>132</v>
      </c>
      <c r="AX5" t="str">
        <f>VLOOKUP(AnalizaCzyste[[#This Row],[w pierwszym roku po ukończeniu studiów : wybierz wartość z listy rozwijanej4]],Zarobki[],2,0)</f>
        <v>N/D</v>
      </c>
      <c r="AY5" t="s">
        <v>132</v>
      </c>
      <c r="AZ5" t="str">
        <f>VLOOKUP(AnalizaCzyste[[#This Row],[w 3 lata po ukończeniu studiów : wybierz wartość z listy rozwijanej5]],Zarobki[],2,0)</f>
        <v>N/D</v>
      </c>
      <c r="BA5" t="s">
        <v>1169</v>
      </c>
      <c r="BB5" t="s">
        <v>1170</v>
      </c>
      <c r="BC5" t="s">
        <v>132</v>
      </c>
      <c r="BE5" t="s">
        <v>1171</v>
      </c>
      <c r="BF5" s="1" t="s">
        <v>159</v>
      </c>
      <c r="BG5">
        <v>1</v>
      </c>
      <c r="BH5" t="s">
        <v>1290</v>
      </c>
      <c r="BI5">
        <v>2020</v>
      </c>
      <c r="BJ5" t="s">
        <v>148</v>
      </c>
      <c r="BK5" t="s">
        <v>1050</v>
      </c>
      <c r="BL5" t="s">
        <v>132</v>
      </c>
      <c r="BM5" t="str">
        <f>VLOOKUP(AnalizaCzyste[[#This Row],[Moja satysfakcja z (efektów) usług edukacyjnych ocenianej uczelni jest wysoka.8]],SkalaLikerta[],2,0)</f>
        <v>N/D</v>
      </c>
      <c r="BN5" t="s">
        <v>132</v>
      </c>
      <c r="BO5" t="s">
        <v>132</v>
      </c>
      <c r="BP5" t="s">
        <v>132</v>
      </c>
      <c r="BQ5" t="s">
        <v>132</v>
      </c>
      <c r="BR5" t="s">
        <v>1173</v>
      </c>
      <c r="BS5" t="s">
        <v>1174</v>
      </c>
      <c r="BT5" t="s">
        <v>230</v>
      </c>
      <c r="BV5" t="s">
        <v>1175</v>
      </c>
      <c r="BW5" t="s">
        <v>173</v>
      </c>
      <c r="DA5" s="1" t="s">
        <v>123</v>
      </c>
      <c r="DE5" t="e">
        <f>VLOOKUP(AnalizaCzyste[[#This Row],[Moja satysfakcja z pracy na ocenianej uczelni jest wysoka.]],SkalaLikerta[],2,0)</f>
        <v>#N/A</v>
      </c>
      <c r="DL5" s="1" t="s">
        <v>214</v>
      </c>
      <c r="DM5" t="s">
        <v>191</v>
      </c>
      <c r="DN5" t="s">
        <v>308</v>
      </c>
      <c r="DO5" t="s">
        <v>169</v>
      </c>
      <c r="DP5">
        <f>VLOOKUP(AnalizaCzyste[[#This Row],[Moja satysfakcja z pracy na ocenianej uczelni jest wysoka.42]],SkalaLikerta[],2,0)</f>
        <v>7</v>
      </c>
      <c r="DQ5" t="s">
        <v>162</v>
      </c>
      <c r="DR5" t="s">
        <v>150</v>
      </c>
      <c r="DS5" t="s">
        <v>169</v>
      </c>
      <c r="DT5" t="s">
        <v>150</v>
      </c>
      <c r="DU5" t="s">
        <v>150</v>
      </c>
      <c r="DV5" t="s">
        <v>1177</v>
      </c>
      <c r="DW5" s="1" t="s">
        <v>174</v>
      </c>
      <c r="DZ5" t="s">
        <v>1178</v>
      </c>
      <c r="EB5" s="20" t="s">
        <v>191</v>
      </c>
      <c r="EC5" t="s">
        <v>150</v>
      </c>
      <c r="ED5" t="s">
        <v>150</v>
      </c>
      <c r="EE5" t="s">
        <v>150</v>
      </c>
      <c r="EF5" t="s">
        <v>150</v>
      </c>
      <c r="EG5" t="s">
        <v>162</v>
      </c>
      <c r="EH5" t="s">
        <v>162</v>
      </c>
      <c r="EI5" t="s">
        <v>162</v>
      </c>
      <c r="EJ5">
        <f>VLOOKUP(AnalizaCzyste[[#This Row],[Ogólny poziom mojej satysfakcji z jakości usług edukacyjnych ocenianej uczelni jest wysoki.]],SkalaLikerta[],2,0)</f>
        <v>5</v>
      </c>
      <c r="EK5">
        <v>25</v>
      </c>
      <c r="EL5">
        <v>10</v>
      </c>
      <c r="EM5">
        <v>0</v>
      </c>
      <c r="EN5">
        <v>10</v>
      </c>
      <c r="EO5">
        <v>25</v>
      </c>
      <c r="EP5">
        <v>15</v>
      </c>
      <c r="EQ5">
        <v>15</v>
      </c>
      <c r="ES5">
        <v>10</v>
      </c>
      <c r="ET5">
        <v>10</v>
      </c>
      <c r="EU5">
        <v>0</v>
      </c>
      <c r="EV5">
        <v>10</v>
      </c>
      <c r="EW5">
        <v>50</v>
      </c>
      <c r="EX5">
        <v>10</v>
      </c>
      <c r="EY5">
        <v>10</v>
      </c>
      <c r="FA5" s="1" t="s">
        <v>123</v>
      </c>
      <c r="FF5" t="e">
        <f>VLOOKUP(AnalizaCzyste[[#This Row],[Moja satysfakcja z (efektów) usług edukacyjnych na ocenianej uczelni jest wysoka.]],SkalaLikerta[],2,0)</f>
        <v>#N/A</v>
      </c>
      <c r="GB5" s="1" t="s">
        <v>123</v>
      </c>
      <c r="GN5" t="e">
        <f>VLOOKUP(AnalizaCzyste[[#This Row],[Ogólny poziom mojej satysfakcji z jakości usług edukacyjnych ocenianej uczelni jest wysoki.32]],SkalaLikerta[],2,0)</f>
        <v>#N/A</v>
      </c>
      <c r="HK5" t="s">
        <v>1179</v>
      </c>
      <c r="HL5" t="s">
        <v>1180</v>
      </c>
      <c r="HM5" t="s">
        <v>1181</v>
      </c>
      <c r="HN5" t="s">
        <v>186</v>
      </c>
      <c r="HO5" s="20" t="s">
        <v>1473</v>
      </c>
      <c r="HP5" s="20" t="e">
        <f>VLOOKUP(AnalizaCzyste[[#This Row],[Rok urodzenia]],KategorieWiekowe[],2,1)</f>
        <v>#N/A</v>
      </c>
      <c r="HQ5" t="s">
        <v>141</v>
      </c>
      <c r="HS5" t="s">
        <v>1183</v>
      </c>
    </row>
    <row r="6" spans="1:229" x14ac:dyDescent="0.45">
      <c r="A6">
        <v>188</v>
      </c>
      <c r="B6">
        <f>_xlfn.IFNA(VLOOKUP(AnalizaCzyste[[#This Row],[Zakończono wypełnianie]],Zakończone[],2,0),"BRAK")</f>
        <v>107</v>
      </c>
      <c r="C6">
        <f t="shared" si="0"/>
        <v>80</v>
      </c>
      <c r="D6" t="s">
        <v>1587</v>
      </c>
      <c r="E6" t="s">
        <v>118</v>
      </c>
      <c r="J6" t="s">
        <v>119</v>
      </c>
      <c r="K6" t="s">
        <v>1588</v>
      </c>
      <c r="L6" t="s">
        <v>1589</v>
      </c>
      <c r="M6">
        <v>1788</v>
      </c>
      <c r="O6">
        <v>0</v>
      </c>
      <c r="P6" t="s">
        <v>122</v>
      </c>
      <c r="Q6" s="1" t="s">
        <v>123</v>
      </c>
      <c r="V6" t="e">
        <f>VLOOKUP(AnalizaCzyste[[#This Row],[Moja satysfakcja z usług edukacyjnych ocenianej uczelni jest wysoka.]],SkalaLikerta[],2,0)</f>
        <v>#N/A</v>
      </c>
      <c r="AH6" s="1" t="s">
        <v>124</v>
      </c>
      <c r="AI6" t="s">
        <v>191</v>
      </c>
      <c r="AJ6" t="str">
        <f>VLOOKUP(AnalizaCzyste[[#This Row],[Jak się nazywa uczelnia którą ukończyłeś? (proszę o wybranie jednej uczelni podlegającej ocenie)]],KategorieUczelni[],2,0)</f>
        <v>Publiczna</v>
      </c>
      <c r="AK6" t="str">
        <f>VLOOKUP(AnalizaCzyste[[#This Row],[Jak się nazywa uczelnia którą ukończyłeś? (proszę o wybranie jednej uczelni podlegającej ocenie)]],KategorieUczelni[],3,0)</f>
        <v>Techniczna</v>
      </c>
      <c r="AL6">
        <f>COUNTIF(AnalizaCzyste[[#This Row],[Czy jesteś absolwentem uczelni wyższej?]],"*"&amp;"Tak"&amp;"*")</f>
        <v>1</v>
      </c>
      <c r="AM6">
        <v>1983</v>
      </c>
      <c r="AN6" t="s">
        <v>126</v>
      </c>
      <c r="AO6" t="s">
        <v>1590</v>
      </c>
      <c r="AP6" t="s">
        <v>150</v>
      </c>
      <c r="AQ6">
        <f>VLOOKUP(AnalizaCzyste[[#This Row],[Moja satysfakcja z (efektów) usług edukacyjnych ocenianej uczelni jest wysoka.]],SkalaLikerta[],2,0)</f>
        <v>6</v>
      </c>
      <c r="AR6" t="s">
        <v>150</v>
      </c>
      <c r="AS6" t="s">
        <v>236</v>
      </c>
      <c r="AT6" t="s">
        <v>129</v>
      </c>
      <c r="AU6" t="s">
        <v>162</v>
      </c>
      <c r="AV6">
        <v>36</v>
      </c>
      <c r="AW6" t="s">
        <v>132</v>
      </c>
      <c r="AX6" t="str">
        <f>VLOOKUP(AnalizaCzyste[[#This Row],[w pierwszym roku po ukończeniu studiów : wybierz wartość z listy rozwijanej4]],Zarobki[],2,0)</f>
        <v>N/D</v>
      </c>
      <c r="AY6" t="s">
        <v>132</v>
      </c>
      <c r="AZ6" t="str">
        <f>VLOOKUP(AnalizaCzyste[[#This Row],[w 3 lata po ukończeniu studiów : wybierz wartość z listy rozwijanej5]],Zarobki[],2,0)</f>
        <v>N/D</v>
      </c>
      <c r="BA6" t="s">
        <v>1591</v>
      </c>
      <c r="BB6" t="s">
        <v>1592</v>
      </c>
      <c r="BC6" t="s">
        <v>1593</v>
      </c>
      <c r="BD6" t="s">
        <v>172</v>
      </c>
      <c r="BF6" s="1" t="s">
        <v>159</v>
      </c>
      <c r="BG6">
        <v>3</v>
      </c>
      <c r="BH6" t="s">
        <v>191</v>
      </c>
      <c r="BI6">
        <v>2019</v>
      </c>
      <c r="BJ6" t="s">
        <v>126</v>
      </c>
      <c r="BK6" t="s">
        <v>1594</v>
      </c>
      <c r="BL6" t="s">
        <v>236</v>
      </c>
      <c r="BM6">
        <f>VLOOKUP(AnalizaCzyste[[#This Row],[Moja satysfakcja z (efektów) usług edukacyjnych ocenianej uczelni jest wysoka.8]],SkalaLikerta[],2,0)</f>
        <v>2</v>
      </c>
      <c r="BN6" t="s">
        <v>128</v>
      </c>
      <c r="BO6" t="s">
        <v>162</v>
      </c>
      <c r="BP6" t="s">
        <v>151</v>
      </c>
      <c r="BQ6" t="s">
        <v>132</v>
      </c>
      <c r="BR6" t="s">
        <v>1595</v>
      </c>
      <c r="BS6" t="s">
        <v>1596</v>
      </c>
      <c r="BT6" t="s">
        <v>157</v>
      </c>
      <c r="BW6" t="s">
        <v>173</v>
      </c>
      <c r="DA6" s="1" t="s">
        <v>123</v>
      </c>
      <c r="DE6" t="e">
        <f>VLOOKUP(AnalizaCzyste[[#This Row],[Moja satysfakcja z pracy na ocenianej uczelni jest wysoka.]],SkalaLikerta[],2,0)</f>
        <v>#N/A</v>
      </c>
      <c r="DL6" s="1" t="s">
        <v>123</v>
      </c>
      <c r="DP6" t="e">
        <f>VLOOKUP(AnalizaCzyste[[#This Row],[Moja satysfakcja z pracy na ocenianej uczelni jest wysoka.42]],SkalaLikerta[],2,0)</f>
        <v>#N/A</v>
      </c>
      <c r="DW6" s="1" t="s">
        <v>123</v>
      </c>
      <c r="EJ6" t="e">
        <f>VLOOKUP(AnalizaCzyste[[#This Row],[Ogólny poziom mojej satysfakcji z jakości usług edukacyjnych ocenianej uczelni jest wysoki.]],SkalaLikerta[],2,0)</f>
        <v>#N/A</v>
      </c>
      <c r="FA6" s="1" t="s">
        <v>177</v>
      </c>
      <c r="FB6" t="s">
        <v>178</v>
      </c>
      <c r="FC6">
        <v>2</v>
      </c>
      <c r="FD6" s="20" t="s">
        <v>191</v>
      </c>
      <c r="FE6" t="s">
        <v>236</v>
      </c>
      <c r="FF6">
        <f>VLOOKUP(AnalizaCzyste[[#This Row],[Moja satysfakcja z (efektów) usług edukacyjnych na ocenianej uczelni jest wysoka.]],SkalaLikerta[],2,0)</f>
        <v>2</v>
      </c>
      <c r="FG6" t="s">
        <v>236</v>
      </c>
      <c r="FH6" t="s">
        <v>128</v>
      </c>
      <c r="FI6" t="s">
        <v>178</v>
      </c>
      <c r="FJ6" t="s">
        <v>1597</v>
      </c>
      <c r="FK6" t="s">
        <v>1598</v>
      </c>
      <c r="FL6" t="s">
        <v>1206</v>
      </c>
      <c r="FM6" s="20" t="s">
        <v>2509</v>
      </c>
      <c r="FN6" t="s">
        <v>129</v>
      </c>
      <c r="FO6" t="s">
        <v>129</v>
      </c>
      <c r="FP6" t="s">
        <v>236</v>
      </c>
      <c r="FQ6" t="s">
        <v>178</v>
      </c>
      <c r="FR6" t="s">
        <v>1600</v>
      </c>
      <c r="FS6" t="s">
        <v>1601</v>
      </c>
      <c r="FT6" t="s">
        <v>173</v>
      </c>
      <c r="GB6" s="1" t="s">
        <v>123</v>
      </c>
      <c r="GN6" t="e">
        <f>VLOOKUP(AnalizaCzyste[[#This Row],[Ogólny poziom mojej satysfakcji z jakości usług edukacyjnych ocenianej uczelni jest wysoki.32]],SkalaLikerta[],2,0)</f>
        <v>#N/A</v>
      </c>
      <c r="HK6" t="s">
        <v>1602</v>
      </c>
      <c r="HL6" t="s">
        <v>1603</v>
      </c>
      <c r="HM6" t="s">
        <v>1604</v>
      </c>
      <c r="HN6" t="s">
        <v>186</v>
      </c>
      <c r="HO6">
        <v>1959</v>
      </c>
      <c r="HP6" t="str">
        <f>VLOOKUP(AnalizaCzyste[[#This Row],[Rok urodzenia]],KategorieWiekowe[],2,1)</f>
        <v>56–65 lat</v>
      </c>
      <c r="HQ6" t="s">
        <v>483</v>
      </c>
      <c r="HS6" t="s">
        <v>1605</v>
      </c>
      <c r="HT6" t="s">
        <v>1606</v>
      </c>
      <c r="HU6" t="s">
        <v>1607</v>
      </c>
    </row>
    <row r="7" spans="1:229" x14ac:dyDescent="0.45">
      <c r="A7">
        <v>2</v>
      </c>
      <c r="B7">
        <f>_xlfn.IFNA(VLOOKUP(AnalizaCzyste[[#This Row],[Zakończono wypełnianie]],Zakończone[],2,0),"BRAK")</f>
        <v>2</v>
      </c>
      <c r="C7">
        <f t="shared" si="0"/>
        <v>109</v>
      </c>
      <c r="D7" t="s">
        <v>144</v>
      </c>
      <c r="E7" t="s">
        <v>118</v>
      </c>
      <c r="J7" t="s">
        <v>119</v>
      </c>
      <c r="K7" t="s">
        <v>145</v>
      </c>
      <c r="L7" t="s">
        <v>146</v>
      </c>
      <c r="M7">
        <v>1573</v>
      </c>
      <c r="O7">
        <v>0</v>
      </c>
      <c r="P7" t="s">
        <v>122</v>
      </c>
      <c r="Q7" s="1" t="s">
        <v>123</v>
      </c>
      <c r="V7" t="e">
        <f>VLOOKUP(AnalizaCzyste[[#This Row],[Moja satysfakcja z usług edukacyjnych ocenianej uczelni jest wysoka.]],SkalaLikerta[],2,0)</f>
        <v>#N/A</v>
      </c>
      <c r="AH7" s="1" t="s">
        <v>124</v>
      </c>
      <c r="AI7" t="s">
        <v>234</v>
      </c>
      <c r="AJ7" t="str">
        <f>VLOOKUP(AnalizaCzyste[[#This Row],[Jak się nazywa uczelnia którą ukończyłeś? (proszę o wybranie jednej uczelni podlegającej ocenie)]],KategorieUczelni[],2,0)</f>
        <v>Publiczna</v>
      </c>
      <c r="AK7" t="str">
        <f>VLOOKUP(AnalizaCzyste[[#This Row],[Jak się nazywa uczelnia którą ukończyłeś? (proszę o wybranie jednej uczelni podlegającej ocenie)]],KategorieUczelni[],3,0)</f>
        <v>Nietechniczna</v>
      </c>
      <c r="AL7">
        <f>COUNTIF(AnalizaCzyste[[#This Row],[Czy jesteś absolwentem uczelni wyższej?]],"*"&amp;"Tak"&amp;"*")</f>
        <v>1</v>
      </c>
      <c r="AM7">
        <v>1986</v>
      </c>
      <c r="AN7" t="s">
        <v>148</v>
      </c>
      <c r="AO7" t="s">
        <v>149</v>
      </c>
      <c r="AP7" t="s">
        <v>150</v>
      </c>
      <c r="AQ7">
        <f>VLOOKUP(AnalizaCzyste[[#This Row],[Moja satysfakcja z (efektów) usług edukacyjnych ocenianej uczelni jest wysoka.]],SkalaLikerta[],2,0)</f>
        <v>6</v>
      </c>
      <c r="AR7" t="s">
        <v>150</v>
      </c>
      <c r="AS7" t="s">
        <v>150</v>
      </c>
      <c r="AT7" t="s">
        <v>151</v>
      </c>
      <c r="AU7" t="s">
        <v>150</v>
      </c>
      <c r="AV7">
        <v>3</v>
      </c>
      <c r="AW7" t="s">
        <v>152</v>
      </c>
      <c r="AX7">
        <f>VLOOKUP(AnalizaCzyste[[#This Row],[w pierwszym roku po ukończeniu studiów : wybierz wartość z listy rozwijanej4]],Zarobki[],2,0)</f>
        <v>500</v>
      </c>
      <c r="AY7" t="s">
        <v>153</v>
      </c>
      <c r="AZ7">
        <f>VLOOKUP(AnalizaCzyste[[#This Row],[w 3 lata po ukończeniu studiów : wybierz wartość z listy rozwijanej5]],Zarobki[],2,0)</f>
        <v>3500</v>
      </c>
      <c r="BA7" t="s">
        <v>154</v>
      </c>
      <c r="BB7" t="s">
        <v>155</v>
      </c>
      <c r="BC7" t="s">
        <v>156</v>
      </c>
      <c r="BD7" t="s">
        <v>157</v>
      </c>
      <c r="BE7" t="s">
        <v>158</v>
      </c>
      <c r="BF7" s="1" t="s">
        <v>159</v>
      </c>
      <c r="BG7">
        <v>2</v>
      </c>
      <c r="BH7" t="s">
        <v>160</v>
      </c>
      <c r="BI7">
        <v>2013</v>
      </c>
      <c r="BJ7" t="s">
        <v>148</v>
      </c>
      <c r="BK7" t="s">
        <v>161</v>
      </c>
      <c r="BL7" t="s">
        <v>162</v>
      </c>
      <c r="BM7">
        <f>VLOOKUP(AnalizaCzyste[[#This Row],[Moja satysfakcja z (efektów) usług edukacyjnych ocenianej uczelni jest wysoka.8]],SkalaLikerta[],2,0)</f>
        <v>5</v>
      </c>
      <c r="BN7" t="s">
        <v>150</v>
      </c>
      <c r="BO7" t="s">
        <v>150</v>
      </c>
      <c r="BP7" t="s">
        <v>150</v>
      </c>
      <c r="BQ7" t="s">
        <v>150</v>
      </c>
      <c r="BR7" t="s">
        <v>163</v>
      </c>
      <c r="BS7" t="s">
        <v>164</v>
      </c>
      <c r="BT7" t="s">
        <v>157</v>
      </c>
      <c r="BV7" t="s">
        <v>165</v>
      </c>
      <c r="BW7" t="s">
        <v>166</v>
      </c>
      <c r="BX7" t="s">
        <v>167</v>
      </c>
      <c r="BY7">
        <v>2015</v>
      </c>
      <c r="BZ7" t="s">
        <v>148</v>
      </c>
      <c r="CA7" t="s">
        <v>168</v>
      </c>
      <c r="CB7" t="s">
        <v>150</v>
      </c>
      <c r="CC7" t="s">
        <v>169</v>
      </c>
      <c r="CD7" t="s">
        <v>150</v>
      </c>
      <c r="CE7" t="s">
        <v>150</v>
      </c>
      <c r="CF7" t="s">
        <v>150</v>
      </c>
      <c r="CG7" t="s">
        <v>170</v>
      </c>
      <c r="CH7" t="s">
        <v>171</v>
      </c>
      <c r="CI7" t="s">
        <v>172</v>
      </c>
      <c r="CL7" t="s">
        <v>173</v>
      </c>
      <c r="DA7" s="1" t="s">
        <v>123</v>
      </c>
      <c r="DE7" t="e">
        <f>VLOOKUP(AnalizaCzyste[[#This Row],[Moja satysfakcja z pracy na ocenianej uczelni jest wysoka.]],SkalaLikerta[],2,0)</f>
        <v>#N/A</v>
      </c>
      <c r="DL7" s="1" t="s">
        <v>123</v>
      </c>
      <c r="DP7" t="e">
        <f>VLOOKUP(AnalizaCzyste[[#This Row],[Moja satysfakcja z pracy na ocenianej uczelni jest wysoka.42]],SkalaLikerta[],2,0)</f>
        <v>#N/A</v>
      </c>
      <c r="DW7" s="1" t="s">
        <v>174</v>
      </c>
      <c r="EA7" t="s">
        <v>175</v>
      </c>
      <c r="EB7" t="s">
        <v>234</v>
      </c>
      <c r="EC7" t="s">
        <v>162</v>
      </c>
      <c r="ED7" t="s">
        <v>150</v>
      </c>
      <c r="EE7" t="s">
        <v>151</v>
      </c>
      <c r="EF7" t="s">
        <v>151</v>
      </c>
      <c r="EG7" t="s">
        <v>162</v>
      </c>
      <c r="EH7" t="s">
        <v>162</v>
      </c>
      <c r="EI7" t="s">
        <v>150</v>
      </c>
      <c r="EJ7">
        <f>VLOOKUP(AnalizaCzyste[[#This Row],[Ogólny poziom mojej satysfakcji z jakości usług edukacyjnych ocenianej uczelni jest wysoki.]],SkalaLikerta[],2,0)</f>
        <v>6</v>
      </c>
      <c r="EK7">
        <v>25</v>
      </c>
      <c r="EL7">
        <v>25</v>
      </c>
      <c r="EM7">
        <v>2</v>
      </c>
      <c r="EN7">
        <v>5</v>
      </c>
      <c r="EO7">
        <v>8</v>
      </c>
      <c r="EP7">
        <v>25</v>
      </c>
      <c r="EQ7">
        <v>10</v>
      </c>
      <c r="ES7">
        <v>20</v>
      </c>
      <c r="ET7">
        <v>20</v>
      </c>
      <c r="EU7">
        <v>1</v>
      </c>
      <c r="EV7">
        <v>4</v>
      </c>
      <c r="EW7">
        <v>25</v>
      </c>
      <c r="EX7">
        <v>25</v>
      </c>
      <c r="EY7">
        <v>5</v>
      </c>
      <c r="FA7" s="1" t="s">
        <v>177</v>
      </c>
      <c r="FB7" t="s">
        <v>178</v>
      </c>
      <c r="FC7">
        <v>1</v>
      </c>
      <c r="FD7" t="s">
        <v>179</v>
      </c>
      <c r="FE7" t="s">
        <v>150</v>
      </c>
      <c r="FF7">
        <f>VLOOKUP(AnalizaCzyste[[#This Row],[Moja satysfakcja z (efektów) usług edukacyjnych na ocenianej uczelni jest wysoka.]],SkalaLikerta[],2,0)</f>
        <v>6</v>
      </c>
      <c r="FG7" t="s">
        <v>150</v>
      </c>
      <c r="FH7" t="s">
        <v>151</v>
      </c>
      <c r="FI7" t="s">
        <v>180</v>
      </c>
      <c r="FJ7" t="s">
        <v>181</v>
      </c>
      <c r="FK7" t="s">
        <v>182</v>
      </c>
      <c r="FL7" t="s">
        <v>173</v>
      </c>
      <c r="GB7" s="1" t="s">
        <v>123</v>
      </c>
      <c r="GC7" t="s">
        <v>132</v>
      </c>
      <c r="GN7" t="e">
        <f>VLOOKUP(AnalizaCzyste[[#This Row],[Ogólny poziom mojej satysfakcji z jakości usług edukacyjnych ocenianej uczelni jest wysoki.32]],SkalaLikerta[],2,0)</f>
        <v>#N/A</v>
      </c>
      <c r="HK7" t="s">
        <v>183</v>
      </c>
      <c r="HL7" t="s">
        <v>184</v>
      </c>
      <c r="HM7" t="s">
        <v>185</v>
      </c>
      <c r="HN7" t="s">
        <v>186</v>
      </c>
      <c r="HO7">
        <v>1961</v>
      </c>
      <c r="HP7" t="str">
        <f>VLOOKUP(AnalizaCzyste[[#This Row],[Rok urodzenia]],KategorieWiekowe[],2,1)</f>
        <v>56–65 lat</v>
      </c>
      <c r="HQ7" t="s">
        <v>141</v>
      </c>
      <c r="HS7" t="s">
        <v>187</v>
      </c>
    </row>
    <row r="8" spans="1:229" x14ac:dyDescent="0.45">
      <c r="A8">
        <v>88</v>
      </c>
      <c r="B8">
        <f>_xlfn.IFNA(VLOOKUP(AnalizaCzyste[[#This Row],[Zakończono wypełnianie]],Zakończone[],2,0),"BRAK")</f>
        <v>53</v>
      </c>
      <c r="C8">
        <f t="shared" si="0"/>
        <v>60</v>
      </c>
      <c r="D8" t="s">
        <v>873</v>
      </c>
      <c r="E8" t="s">
        <v>118</v>
      </c>
      <c r="F8" t="s">
        <v>797</v>
      </c>
      <c r="J8" t="s">
        <v>119</v>
      </c>
      <c r="K8" t="s">
        <v>895</v>
      </c>
      <c r="L8" t="s">
        <v>896</v>
      </c>
      <c r="M8">
        <v>1418</v>
      </c>
      <c r="O8">
        <v>0</v>
      </c>
      <c r="P8" t="s">
        <v>122</v>
      </c>
      <c r="Q8" s="1" t="s">
        <v>123</v>
      </c>
      <c r="V8" t="e">
        <f>VLOOKUP(AnalizaCzyste[[#This Row],[Moja satysfakcja z usług edukacyjnych ocenianej uczelni jest wysoka.]],SkalaLikerta[],2,0)</f>
        <v>#N/A</v>
      </c>
      <c r="AH8" s="1" t="s">
        <v>124</v>
      </c>
      <c r="AI8" t="s">
        <v>191</v>
      </c>
      <c r="AJ8" s="20" t="str">
        <f>VLOOKUP(AnalizaCzyste[[#This Row],[Jak się nazywa uczelnia którą ukończyłeś? (proszę o wybranie jednej uczelni podlegającej ocenie)]],KategorieUczelni[],2,0)</f>
        <v>Publiczna</v>
      </c>
      <c r="AK8" s="20" t="str">
        <f>VLOOKUP(AnalizaCzyste[[#This Row],[Jak się nazywa uczelnia którą ukończyłeś? (proszę o wybranie jednej uczelni podlegającej ocenie)]],KategorieUczelni[],3,0)</f>
        <v>Techniczna</v>
      </c>
      <c r="AL8" s="20">
        <f>COUNTIF(AnalizaCzyste[[#This Row],[Czy jesteś absolwentem uczelni wyższej?]],"*"&amp;"Tak"&amp;"*")</f>
        <v>1</v>
      </c>
      <c r="AM8">
        <v>1975</v>
      </c>
      <c r="AN8" t="s">
        <v>126</v>
      </c>
      <c r="AO8" t="s">
        <v>897</v>
      </c>
      <c r="AP8" t="s">
        <v>150</v>
      </c>
      <c r="AQ8">
        <f>VLOOKUP(AnalizaCzyste[[#This Row],[Moja satysfakcja z (efektów) usług edukacyjnych ocenianej uczelni jest wysoka.]],SkalaLikerta[],2,0)</f>
        <v>6</v>
      </c>
      <c r="AR8" t="s">
        <v>162</v>
      </c>
      <c r="AS8" t="s">
        <v>150</v>
      </c>
      <c r="AT8" t="s">
        <v>162</v>
      </c>
      <c r="AU8" t="s">
        <v>162</v>
      </c>
      <c r="AV8" t="s">
        <v>898</v>
      </c>
      <c r="AW8" t="s">
        <v>153</v>
      </c>
      <c r="AX8">
        <f>VLOOKUP(AnalizaCzyste[[#This Row],[w pierwszym roku po ukończeniu studiów : wybierz wartość z listy rozwijanej4]],Zarobki[],2,0)</f>
        <v>3500</v>
      </c>
      <c r="AY8" t="s">
        <v>153</v>
      </c>
      <c r="AZ8">
        <f>VLOOKUP(AnalizaCzyste[[#This Row],[w 3 lata po ukończeniu studiów : wybierz wartość z listy rozwijanej5]],Zarobki[],2,0)</f>
        <v>3500</v>
      </c>
      <c r="BB8" t="s">
        <v>532</v>
      </c>
      <c r="BC8" t="s">
        <v>532</v>
      </c>
      <c r="BD8" t="s">
        <v>157</v>
      </c>
      <c r="BF8" s="1" t="s">
        <v>159</v>
      </c>
      <c r="BG8">
        <v>1</v>
      </c>
      <c r="BH8" t="s">
        <v>191</v>
      </c>
      <c r="BI8">
        <v>2011</v>
      </c>
      <c r="BJ8" t="s">
        <v>126</v>
      </c>
      <c r="BK8" t="s">
        <v>127</v>
      </c>
      <c r="BL8" t="s">
        <v>162</v>
      </c>
      <c r="BM8">
        <f>VLOOKUP(AnalizaCzyste[[#This Row],[Moja satysfakcja z (efektów) usług edukacyjnych ocenianej uczelni jest wysoka.8]],SkalaLikerta[],2,0)</f>
        <v>5</v>
      </c>
      <c r="BN8" t="s">
        <v>150</v>
      </c>
      <c r="BO8" t="s">
        <v>236</v>
      </c>
      <c r="BP8" t="s">
        <v>132</v>
      </c>
      <c r="BQ8" t="s">
        <v>132</v>
      </c>
      <c r="BR8" t="s">
        <v>900</v>
      </c>
      <c r="BS8" t="s">
        <v>901</v>
      </c>
      <c r="BT8" t="s">
        <v>157</v>
      </c>
      <c r="BU8" t="s">
        <v>878</v>
      </c>
      <c r="BW8" t="s">
        <v>173</v>
      </c>
      <c r="DA8" s="1" t="s">
        <v>123</v>
      </c>
      <c r="DE8" t="e">
        <f>VLOOKUP(AnalizaCzyste[[#This Row],[Moja satysfakcja z pracy na ocenianej uczelni jest wysoka.]],SkalaLikerta[],2,0)</f>
        <v>#N/A</v>
      </c>
      <c r="DL8" s="1" t="s">
        <v>123</v>
      </c>
      <c r="DP8" t="e">
        <f>VLOOKUP(AnalizaCzyste[[#This Row],[Moja satysfakcja z pracy na ocenianej uczelni jest wysoka.42]],SkalaLikerta[],2,0)</f>
        <v>#N/A</v>
      </c>
      <c r="DW8" s="1" t="s">
        <v>123</v>
      </c>
      <c r="EJ8" t="e">
        <f>VLOOKUP(AnalizaCzyste[[#This Row],[Ogólny poziom mojej satysfakcji z jakości usług edukacyjnych ocenianej uczelni jest wysoki.]],SkalaLikerta[],2,0)</f>
        <v>#N/A</v>
      </c>
      <c r="FA8" s="1" t="s">
        <v>123</v>
      </c>
      <c r="FF8" t="e">
        <f>VLOOKUP(AnalizaCzyste[[#This Row],[Moja satysfakcja z (efektów) usług edukacyjnych na ocenianej uczelni jest wysoka.]],SkalaLikerta[],2,0)</f>
        <v>#N/A</v>
      </c>
      <c r="GB8" s="1" t="s">
        <v>123</v>
      </c>
      <c r="GC8" t="s">
        <v>132</v>
      </c>
      <c r="GN8" t="e">
        <f>VLOOKUP(AnalizaCzyste[[#This Row],[Ogólny poziom mojej satysfakcji z jakości usług edukacyjnych ocenianej uczelni jest wysoki.32]],SkalaLikerta[],2,0)</f>
        <v>#N/A</v>
      </c>
      <c r="HK8" t="s">
        <v>532</v>
      </c>
      <c r="HL8" t="s">
        <v>532</v>
      </c>
      <c r="HM8" t="s">
        <v>532</v>
      </c>
      <c r="HN8" t="s">
        <v>140</v>
      </c>
      <c r="HO8">
        <v>1950</v>
      </c>
      <c r="HP8" t="str">
        <f>VLOOKUP(AnalizaCzyste[[#This Row],[Rok urodzenia]],KategorieWiekowe[],2,1)</f>
        <v>powyżej 65 lat</v>
      </c>
      <c r="HQ8" t="s">
        <v>141</v>
      </c>
    </row>
    <row r="9" spans="1:229" x14ac:dyDescent="0.45">
      <c r="A9">
        <v>261</v>
      </c>
      <c r="B9">
        <f>_xlfn.IFNA(VLOOKUP(AnalizaCzyste[[#This Row],[Zakończono wypełnianie]],Zakończone[],2,0),"BRAK")</f>
        <v>138</v>
      </c>
      <c r="C9">
        <f t="shared" si="0"/>
        <v>75</v>
      </c>
      <c r="D9" t="s">
        <v>2014</v>
      </c>
      <c r="E9" t="s">
        <v>118</v>
      </c>
      <c r="J9" t="s">
        <v>119</v>
      </c>
      <c r="K9" t="s">
        <v>2057</v>
      </c>
      <c r="L9" t="s">
        <v>2058</v>
      </c>
      <c r="M9">
        <v>616</v>
      </c>
      <c r="O9">
        <v>0</v>
      </c>
      <c r="P9" t="s">
        <v>122</v>
      </c>
      <c r="Q9" s="1" t="s">
        <v>123</v>
      </c>
      <c r="V9" t="e">
        <f>VLOOKUP(AnalizaCzyste[[#This Row],[Moja satysfakcja z usług edukacyjnych ocenianej uczelni jest wysoka.]],SkalaLikerta[],2,0)</f>
        <v>#N/A</v>
      </c>
      <c r="AH9" s="1" t="s">
        <v>124</v>
      </c>
      <c r="AI9" t="s">
        <v>223</v>
      </c>
      <c r="AJ9" t="str">
        <f>VLOOKUP(AnalizaCzyste[[#This Row],[Jak się nazywa uczelnia którą ukończyłeś? (proszę o wybranie jednej uczelni podlegającej ocenie)]],KategorieUczelni[],2,0)</f>
        <v>Publiczna</v>
      </c>
      <c r="AK9" t="str">
        <f>VLOOKUP(AnalizaCzyste[[#This Row],[Jak się nazywa uczelnia którą ukończyłeś? (proszę o wybranie jednej uczelni podlegającej ocenie)]],KategorieUczelni[],3,0)</f>
        <v>Nietechniczna</v>
      </c>
      <c r="AL9">
        <f>COUNTIF(AnalizaCzyste[[#This Row],[Czy jesteś absolwentem uczelni wyższej?]],"*"&amp;"Tak"&amp;"*")</f>
        <v>1</v>
      </c>
      <c r="AM9">
        <v>1992</v>
      </c>
      <c r="AN9" t="s">
        <v>148</v>
      </c>
      <c r="AO9" t="s">
        <v>2059</v>
      </c>
      <c r="AP9" t="s">
        <v>150</v>
      </c>
      <c r="AQ9">
        <f>VLOOKUP(AnalizaCzyste[[#This Row],[Moja satysfakcja z (efektów) usług edukacyjnych ocenianej uczelni jest wysoka.]],SkalaLikerta[],2,0)</f>
        <v>6</v>
      </c>
      <c r="AR9" t="s">
        <v>169</v>
      </c>
      <c r="AS9" t="s">
        <v>150</v>
      </c>
      <c r="AT9" t="s">
        <v>151</v>
      </c>
      <c r="AU9" t="s">
        <v>162</v>
      </c>
      <c r="AV9">
        <v>0</v>
      </c>
      <c r="AW9" t="s">
        <v>131</v>
      </c>
      <c r="AX9">
        <f>VLOOKUP(AnalizaCzyste[[#This Row],[w pierwszym roku po ukończeniu studiów : wybierz wartość z listy rozwijanej4]],Zarobki[],2,0)</f>
        <v>1500</v>
      </c>
      <c r="AY9" t="s">
        <v>302</v>
      </c>
      <c r="AZ9">
        <f>VLOOKUP(AnalizaCzyste[[#This Row],[w 3 lata po ukończeniu studiów : wybierz wartość z listy rozwijanej5]],Zarobki[],2,0)</f>
        <v>2500</v>
      </c>
      <c r="BA9" t="s">
        <v>2060</v>
      </c>
      <c r="BB9" t="s">
        <v>1229</v>
      </c>
      <c r="BC9" t="s">
        <v>1229</v>
      </c>
      <c r="BD9" t="s">
        <v>157</v>
      </c>
      <c r="BE9" t="s">
        <v>2032</v>
      </c>
      <c r="BF9" s="1" t="s">
        <v>159</v>
      </c>
      <c r="BG9">
        <v>1</v>
      </c>
      <c r="BH9" t="s">
        <v>445</v>
      </c>
      <c r="BI9">
        <v>2019</v>
      </c>
      <c r="BJ9" t="s">
        <v>148</v>
      </c>
      <c r="BK9" t="s">
        <v>461</v>
      </c>
      <c r="BL9" t="s">
        <v>169</v>
      </c>
      <c r="BM9">
        <f>VLOOKUP(AnalizaCzyste[[#This Row],[Moja satysfakcja z (efektów) usług edukacyjnych ocenianej uczelni jest wysoka.8]],SkalaLikerta[],2,0)</f>
        <v>7</v>
      </c>
      <c r="BN9" t="s">
        <v>169</v>
      </c>
      <c r="BO9" t="s">
        <v>169</v>
      </c>
      <c r="BP9" t="s">
        <v>169</v>
      </c>
      <c r="BQ9" t="s">
        <v>132</v>
      </c>
      <c r="BR9" t="s">
        <v>2020</v>
      </c>
      <c r="BS9" t="s">
        <v>2061</v>
      </c>
      <c r="BT9" t="s">
        <v>157</v>
      </c>
      <c r="BV9" t="s">
        <v>2062</v>
      </c>
      <c r="BW9" t="s">
        <v>173</v>
      </c>
      <c r="DA9" s="1" t="s">
        <v>123</v>
      </c>
      <c r="DE9" t="e">
        <f>VLOOKUP(AnalizaCzyste[[#This Row],[Moja satysfakcja z pracy na ocenianej uczelni jest wysoka.]],SkalaLikerta[],2,0)</f>
        <v>#N/A</v>
      </c>
      <c r="DL9" s="1" t="s">
        <v>123</v>
      </c>
      <c r="DP9" t="e">
        <f>VLOOKUP(AnalizaCzyste[[#This Row],[Moja satysfakcja z pracy na ocenianej uczelni jest wysoka.42]],SkalaLikerta[],2,0)</f>
        <v>#N/A</v>
      </c>
      <c r="DW9" s="1" t="s">
        <v>123</v>
      </c>
      <c r="EJ9" t="e">
        <f>VLOOKUP(AnalizaCzyste[[#This Row],[Ogólny poziom mojej satysfakcji z jakości usług edukacyjnych ocenianej uczelni jest wysoki.]],SkalaLikerta[],2,0)</f>
        <v>#N/A</v>
      </c>
      <c r="FA9" s="1" t="s">
        <v>123</v>
      </c>
      <c r="FF9" t="e">
        <f>VLOOKUP(AnalizaCzyste[[#This Row],[Moja satysfakcja z (efektów) usług edukacyjnych na ocenianej uczelni jest wysoka.]],SkalaLikerta[],2,0)</f>
        <v>#N/A</v>
      </c>
      <c r="GB9" s="1" t="s">
        <v>2022</v>
      </c>
      <c r="GC9" t="s">
        <v>2023</v>
      </c>
      <c r="GD9" t="s">
        <v>2063</v>
      </c>
      <c r="GE9">
        <v>1</v>
      </c>
      <c r="GF9" t="s">
        <v>191</v>
      </c>
      <c r="GG9" t="s">
        <v>150</v>
      </c>
      <c r="GH9" t="s">
        <v>150</v>
      </c>
      <c r="GI9" t="s">
        <v>169</v>
      </c>
      <c r="GJ9" t="s">
        <v>169</v>
      </c>
      <c r="GK9" t="s">
        <v>132</v>
      </c>
      <c r="GL9" t="s">
        <v>132</v>
      </c>
      <c r="GM9" t="s">
        <v>169</v>
      </c>
      <c r="GN9">
        <f>VLOOKUP(AnalizaCzyste[[#This Row],[Ogólny poziom mojej satysfakcji z jakości usług edukacyjnych ocenianej uczelni jest wysoki.32]],SkalaLikerta[],2,0)</f>
        <v>7</v>
      </c>
      <c r="GQ9" t="s">
        <v>173</v>
      </c>
      <c r="HK9" t="s">
        <v>1229</v>
      </c>
      <c r="HL9" t="s">
        <v>1229</v>
      </c>
      <c r="HM9" t="s">
        <v>1229</v>
      </c>
      <c r="HN9" t="s">
        <v>186</v>
      </c>
      <c r="HO9">
        <v>1968</v>
      </c>
      <c r="HP9" t="str">
        <f>VLOOKUP(AnalizaCzyste[[#This Row],[Rok urodzenia]],KategorieWiekowe[],2,1)</f>
        <v>46–55 lat</v>
      </c>
      <c r="HQ9" t="s">
        <v>220</v>
      </c>
      <c r="HS9" t="s">
        <v>2055</v>
      </c>
      <c r="HU9" t="s">
        <v>2064</v>
      </c>
    </row>
    <row r="10" spans="1:229" x14ac:dyDescent="0.45">
      <c r="A10">
        <v>91</v>
      </c>
      <c r="B10">
        <f>_xlfn.IFNA(VLOOKUP(AnalizaCzyste[[#This Row],[Zakończono wypełnianie]],Zakończone[],2,0),"BRAK")</f>
        <v>55</v>
      </c>
      <c r="C10">
        <f t="shared" si="0"/>
        <v>91</v>
      </c>
      <c r="D10" t="s">
        <v>915</v>
      </c>
      <c r="E10" t="s">
        <v>118</v>
      </c>
      <c r="J10" t="s">
        <v>119</v>
      </c>
      <c r="K10" t="s">
        <v>916</v>
      </c>
      <c r="L10" t="s">
        <v>917</v>
      </c>
      <c r="M10">
        <v>76609</v>
      </c>
      <c r="O10">
        <v>0</v>
      </c>
      <c r="P10" t="s">
        <v>122</v>
      </c>
      <c r="Q10" s="1" t="s">
        <v>123</v>
      </c>
      <c r="V10" t="e">
        <f>VLOOKUP(AnalizaCzyste[[#This Row],[Moja satysfakcja z usług edukacyjnych ocenianej uczelni jest wysoka.]],SkalaLikerta[],2,0)</f>
        <v>#N/A</v>
      </c>
      <c r="AH10" s="1" t="s">
        <v>124</v>
      </c>
      <c r="AI10" t="s">
        <v>223</v>
      </c>
      <c r="AJ10" t="str">
        <f>VLOOKUP(AnalizaCzyste[[#This Row],[Jak się nazywa uczelnia którą ukończyłeś? (proszę o wybranie jednej uczelni podlegającej ocenie)]],KategorieUczelni[],2,0)</f>
        <v>Publiczna</v>
      </c>
      <c r="AK10" t="str">
        <f>VLOOKUP(AnalizaCzyste[[#This Row],[Jak się nazywa uczelnia którą ukończyłeś? (proszę o wybranie jednej uczelni podlegającej ocenie)]],KategorieUczelni[],3,0)</f>
        <v>Nietechniczna</v>
      </c>
      <c r="AL10">
        <f>COUNTIF(AnalizaCzyste[[#This Row],[Czy jesteś absolwentem uczelni wyższej?]],"*"&amp;"Tak"&amp;"*")</f>
        <v>1</v>
      </c>
      <c r="AM10">
        <v>1980</v>
      </c>
      <c r="AN10" t="s">
        <v>148</v>
      </c>
      <c r="AO10" t="s">
        <v>919</v>
      </c>
      <c r="AP10" t="s">
        <v>169</v>
      </c>
      <c r="AQ10">
        <f>VLOOKUP(AnalizaCzyste[[#This Row],[Moja satysfakcja z (efektów) usług edukacyjnych ocenianej uczelni jest wysoka.]],SkalaLikerta[],2,0)</f>
        <v>7</v>
      </c>
      <c r="AR10" t="s">
        <v>169</v>
      </c>
      <c r="AS10" t="s">
        <v>150</v>
      </c>
      <c r="AT10" t="s">
        <v>128</v>
      </c>
      <c r="AU10" t="s">
        <v>128</v>
      </c>
      <c r="AV10" t="s">
        <v>920</v>
      </c>
      <c r="AW10" t="s">
        <v>302</v>
      </c>
      <c r="AX10">
        <f>VLOOKUP(AnalizaCzyste[[#This Row],[w pierwszym roku po ukończeniu studiów : wybierz wartość z listy rozwijanej4]],Zarobki[],2,0)</f>
        <v>2500</v>
      </c>
      <c r="AY10" t="s">
        <v>302</v>
      </c>
      <c r="AZ10">
        <f>VLOOKUP(AnalizaCzyste[[#This Row],[w 3 lata po ukończeniu studiów : wybierz wartość z listy rozwijanej5]],Zarobki[],2,0)</f>
        <v>2500</v>
      </c>
      <c r="BA10" t="s">
        <v>921</v>
      </c>
      <c r="BB10" t="s">
        <v>922</v>
      </c>
      <c r="BC10" t="s">
        <v>923</v>
      </c>
      <c r="BD10" t="s">
        <v>157</v>
      </c>
      <c r="BF10" s="1" t="s">
        <v>159</v>
      </c>
      <c r="BG10">
        <v>2</v>
      </c>
      <c r="BH10" t="s">
        <v>223</v>
      </c>
      <c r="BI10">
        <v>2009</v>
      </c>
      <c r="BJ10" t="s">
        <v>148</v>
      </c>
      <c r="BK10" t="s">
        <v>743</v>
      </c>
      <c r="BL10" t="s">
        <v>169</v>
      </c>
      <c r="BM10">
        <f>VLOOKUP(AnalizaCzyste[[#This Row],[Moja satysfakcja z (efektów) usług edukacyjnych ocenianej uczelni jest wysoka.8]],SkalaLikerta[],2,0)</f>
        <v>7</v>
      </c>
      <c r="BN10" t="s">
        <v>169</v>
      </c>
      <c r="BO10" t="s">
        <v>169</v>
      </c>
      <c r="BP10" t="s">
        <v>128</v>
      </c>
      <c r="BQ10" t="s">
        <v>128</v>
      </c>
      <c r="BR10" t="s">
        <v>925</v>
      </c>
      <c r="BS10" t="s">
        <v>926</v>
      </c>
      <c r="BT10" t="s">
        <v>157</v>
      </c>
      <c r="BV10" t="s">
        <v>927</v>
      </c>
      <c r="BW10" t="s">
        <v>173</v>
      </c>
      <c r="DA10" s="1" t="s">
        <v>387</v>
      </c>
      <c r="DB10" t="s">
        <v>223</v>
      </c>
      <c r="DC10" t="s">
        <v>928</v>
      </c>
      <c r="DD10" t="s">
        <v>169</v>
      </c>
      <c r="DE10">
        <f>VLOOKUP(AnalizaCzyste[[#This Row],[Moja satysfakcja z pracy na ocenianej uczelni jest wysoka.]],SkalaLikerta[],2,0)</f>
        <v>7</v>
      </c>
      <c r="DF10" t="s">
        <v>162</v>
      </c>
      <c r="DG10" t="s">
        <v>128</v>
      </c>
      <c r="DH10" t="s">
        <v>169</v>
      </c>
      <c r="DI10" t="s">
        <v>169</v>
      </c>
      <c r="DJ10" t="s">
        <v>169</v>
      </c>
      <c r="DK10" t="s">
        <v>929</v>
      </c>
      <c r="DL10" s="1" t="s">
        <v>214</v>
      </c>
      <c r="DM10" t="s">
        <v>223</v>
      </c>
      <c r="DN10" t="s">
        <v>928</v>
      </c>
      <c r="DO10" t="s">
        <v>169</v>
      </c>
      <c r="DP10">
        <f>VLOOKUP(AnalizaCzyste[[#This Row],[Moja satysfakcja z pracy na ocenianej uczelni jest wysoka.42]],SkalaLikerta[],2,0)</f>
        <v>7</v>
      </c>
      <c r="DQ10" t="s">
        <v>162</v>
      </c>
      <c r="DR10" t="s">
        <v>128</v>
      </c>
      <c r="DS10" t="s">
        <v>169</v>
      </c>
      <c r="DT10" t="s">
        <v>169</v>
      </c>
      <c r="DU10" t="s">
        <v>150</v>
      </c>
      <c r="DV10" t="s">
        <v>930</v>
      </c>
      <c r="DW10" s="1" t="s">
        <v>123</v>
      </c>
      <c r="EJ10" t="e">
        <f>VLOOKUP(AnalizaCzyste[[#This Row],[Ogólny poziom mojej satysfakcji z jakości usług edukacyjnych ocenianej uczelni jest wysoki.]],SkalaLikerta[],2,0)</f>
        <v>#N/A</v>
      </c>
      <c r="FA10" s="1" t="s">
        <v>177</v>
      </c>
      <c r="FB10" t="s">
        <v>180</v>
      </c>
      <c r="FC10">
        <v>1</v>
      </c>
      <c r="FD10" t="s">
        <v>223</v>
      </c>
      <c r="FE10" t="s">
        <v>169</v>
      </c>
      <c r="FF10">
        <f>VLOOKUP(AnalizaCzyste[[#This Row],[Moja satysfakcja z (efektów) usług edukacyjnych na ocenianej uczelni jest wysoka.]],SkalaLikerta[],2,0)</f>
        <v>7</v>
      </c>
      <c r="FG10" t="s">
        <v>169</v>
      </c>
      <c r="FH10" t="s">
        <v>236</v>
      </c>
      <c r="FI10" t="s">
        <v>180</v>
      </c>
      <c r="FJ10" t="s">
        <v>931</v>
      </c>
      <c r="FK10" t="s">
        <v>932</v>
      </c>
      <c r="FL10" t="s">
        <v>173</v>
      </c>
      <c r="GB10" s="1" t="s">
        <v>123</v>
      </c>
      <c r="GC10" t="s">
        <v>132</v>
      </c>
      <c r="GE10" t="s">
        <v>132</v>
      </c>
      <c r="GN10" t="e">
        <f>VLOOKUP(AnalizaCzyste[[#This Row],[Ogólny poziom mojej satysfakcji z jakości usług edukacyjnych ocenianej uczelni jest wysoki.32]],SkalaLikerta[],2,0)</f>
        <v>#N/A</v>
      </c>
      <c r="HK10" t="s">
        <v>933</v>
      </c>
      <c r="HL10" t="s">
        <v>934</v>
      </c>
      <c r="HM10" t="s">
        <v>935</v>
      </c>
      <c r="HN10" t="s">
        <v>140</v>
      </c>
      <c r="HO10">
        <v>1957</v>
      </c>
      <c r="HP10" t="str">
        <f>VLOOKUP(AnalizaCzyste[[#This Row],[Rok urodzenia]],KategorieWiekowe[],2,1)</f>
        <v>56–65 lat</v>
      </c>
      <c r="HQ10" t="s">
        <v>141</v>
      </c>
      <c r="HS10" t="s">
        <v>936</v>
      </c>
    </row>
    <row r="11" spans="1:229" x14ac:dyDescent="0.45">
      <c r="A11">
        <v>135</v>
      </c>
      <c r="B11">
        <f>_xlfn.IFNA(VLOOKUP(AnalizaCzyste[[#This Row],[Zakończono wypełnianie]],Zakończone[],2,0),"BRAK")</f>
        <v>82</v>
      </c>
      <c r="C11">
        <f t="shared" si="0"/>
        <v>81</v>
      </c>
      <c r="D11" t="s">
        <v>1264</v>
      </c>
      <c r="E11" t="s">
        <v>118</v>
      </c>
      <c r="F11" t="s">
        <v>1265</v>
      </c>
      <c r="J11" t="s">
        <v>119</v>
      </c>
      <c r="K11" t="s">
        <v>1266</v>
      </c>
      <c r="L11" t="s">
        <v>1267</v>
      </c>
      <c r="M11">
        <v>2127</v>
      </c>
      <c r="O11">
        <v>0</v>
      </c>
      <c r="P11" t="s">
        <v>122</v>
      </c>
      <c r="Q11" s="1" t="s">
        <v>123</v>
      </c>
      <c r="V11" t="e">
        <f>VLOOKUP(AnalizaCzyste[[#This Row],[Moja satysfakcja z usług edukacyjnych ocenianej uczelni jest wysoka.]],SkalaLikerta[],2,0)</f>
        <v>#N/A</v>
      </c>
      <c r="AH11" s="1" t="s">
        <v>124</v>
      </c>
      <c r="AI11" t="s">
        <v>191</v>
      </c>
      <c r="AJ11" t="str">
        <f>VLOOKUP(AnalizaCzyste[[#This Row],[Jak się nazywa uczelnia którą ukończyłeś? (proszę o wybranie jednej uczelni podlegającej ocenie)]],KategorieUczelni[],2,0)</f>
        <v>Publiczna</v>
      </c>
      <c r="AK11" t="str">
        <f>VLOOKUP(AnalizaCzyste[[#This Row],[Jak się nazywa uczelnia którą ukończyłeś? (proszę o wybranie jednej uczelni podlegającej ocenie)]],KategorieUczelni[],3,0)</f>
        <v>Techniczna</v>
      </c>
      <c r="AL11">
        <f>COUNTIF(AnalizaCzyste[[#This Row],[Czy jesteś absolwentem uczelni wyższej?]],"*"&amp;"Tak"&amp;"*")</f>
        <v>1</v>
      </c>
      <c r="AM11">
        <v>1982</v>
      </c>
      <c r="AN11" t="s">
        <v>126</v>
      </c>
      <c r="AO11" t="s">
        <v>1268</v>
      </c>
      <c r="AP11" t="s">
        <v>169</v>
      </c>
      <c r="AQ11">
        <f>VLOOKUP(AnalizaCzyste[[#This Row],[Moja satysfakcja z (efektów) usług edukacyjnych ocenianej uczelni jest wysoka.]],SkalaLikerta[],2,0)</f>
        <v>7</v>
      </c>
      <c r="AR11" t="s">
        <v>169</v>
      </c>
      <c r="AS11" t="s">
        <v>169</v>
      </c>
      <c r="AT11" t="s">
        <v>169</v>
      </c>
      <c r="AU11" t="s">
        <v>169</v>
      </c>
      <c r="AV11">
        <v>0</v>
      </c>
      <c r="AW11" t="s">
        <v>153</v>
      </c>
      <c r="AX11">
        <f>VLOOKUP(AnalizaCzyste[[#This Row],[w pierwszym roku po ukończeniu studiów : wybierz wartość z listy rozwijanej4]],Zarobki[],2,0)</f>
        <v>3500</v>
      </c>
      <c r="AY11" t="s">
        <v>759</v>
      </c>
      <c r="AZ11">
        <f>VLOOKUP(AnalizaCzyste[[#This Row],[w 3 lata po ukończeniu studiów : wybierz wartość z listy rozwijanej5]],Zarobki[],2,0)</f>
        <v>5500</v>
      </c>
      <c r="BA11" t="s">
        <v>1269</v>
      </c>
      <c r="BB11" t="s">
        <v>1270</v>
      </c>
      <c r="BC11" t="s">
        <v>386</v>
      </c>
      <c r="BE11" t="s">
        <v>1271</v>
      </c>
      <c r="BF11" s="1" t="s">
        <v>159</v>
      </c>
      <c r="BG11">
        <v>1</v>
      </c>
      <c r="BH11" t="s">
        <v>1290</v>
      </c>
      <c r="BI11">
        <v>2011</v>
      </c>
      <c r="BJ11" t="s">
        <v>148</v>
      </c>
      <c r="BK11" t="s">
        <v>1050</v>
      </c>
      <c r="BL11" t="s">
        <v>169</v>
      </c>
      <c r="BM11">
        <f>VLOOKUP(AnalizaCzyste[[#This Row],[Moja satysfakcja z (efektów) usług edukacyjnych ocenianej uczelni jest wysoka.8]],SkalaLikerta[],2,0)</f>
        <v>7</v>
      </c>
      <c r="BN11" t="s">
        <v>169</v>
      </c>
      <c r="BO11" t="s">
        <v>169</v>
      </c>
      <c r="BP11" t="s">
        <v>169</v>
      </c>
      <c r="BQ11" t="s">
        <v>169</v>
      </c>
      <c r="BR11" t="s">
        <v>1273</v>
      </c>
      <c r="BS11" t="s">
        <v>1274</v>
      </c>
      <c r="BT11" t="s">
        <v>157</v>
      </c>
      <c r="BV11" t="s">
        <v>1275</v>
      </c>
      <c r="BW11" t="s">
        <v>173</v>
      </c>
      <c r="DA11" s="1" t="s">
        <v>123</v>
      </c>
      <c r="DE11" t="e">
        <f>VLOOKUP(AnalizaCzyste[[#This Row],[Moja satysfakcja z pracy na ocenianej uczelni jest wysoka.]],SkalaLikerta[],2,0)</f>
        <v>#N/A</v>
      </c>
      <c r="DL11" s="1" t="s">
        <v>214</v>
      </c>
      <c r="DM11" t="s">
        <v>191</v>
      </c>
      <c r="DN11" t="s">
        <v>1276</v>
      </c>
      <c r="DO11" t="s">
        <v>169</v>
      </c>
      <c r="DP11">
        <f>VLOOKUP(AnalizaCzyste[[#This Row],[Moja satysfakcja z pracy na ocenianej uczelni jest wysoka.42]],SkalaLikerta[],2,0)</f>
        <v>7</v>
      </c>
      <c r="DQ11" t="s">
        <v>169</v>
      </c>
      <c r="DR11" t="s">
        <v>169</v>
      </c>
      <c r="DS11" t="s">
        <v>150</v>
      </c>
      <c r="DT11" t="s">
        <v>169</v>
      </c>
      <c r="DU11" t="s">
        <v>169</v>
      </c>
      <c r="DV11" t="s">
        <v>1277</v>
      </c>
      <c r="DW11" s="1" t="s">
        <v>123</v>
      </c>
      <c r="EJ11" t="e">
        <f>VLOOKUP(AnalizaCzyste[[#This Row],[Ogólny poziom mojej satysfakcji z jakości usług edukacyjnych ocenianej uczelni jest wysoki.]],SkalaLikerta[],2,0)</f>
        <v>#N/A</v>
      </c>
      <c r="FA11" s="1" t="s">
        <v>177</v>
      </c>
      <c r="FB11" t="s">
        <v>178</v>
      </c>
      <c r="FC11">
        <v>1</v>
      </c>
      <c r="FD11" s="20" t="s">
        <v>191</v>
      </c>
      <c r="FE11" t="s">
        <v>169</v>
      </c>
      <c r="FF11">
        <f>VLOOKUP(AnalizaCzyste[[#This Row],[Moja satysfakcja z (efektów) usług edukacyjnych na ocenianej uczelni jest wysoka.]],SkalaLikerta[],2,0)</f>
        <v>7</v>
      </c>
      <c r="FG11" t="s">
        <v>169</v>
      </c>
      <c r="FH11" t="s">
        <v>151</v>
      </c>
      <c r="FI11" t="s">
        <v>178</v>
      </c>
      <c r="FJ11" t="s">
        <v>1278</v>
      </c>
      <c r="FK11" t="s">
        <v>1279</v>
      </c>
      <c r="FL11" t="s">
        <v>173</v>
      </c>
      <c r="GB11" s="1" t="s">
        <v>123</v>
      </c>
      <c r="GN11" t="e">
        <f>VLOOKUP(AnalizaCzyste[[#This Row],[Ogólny poziom mojej satysfakcji z jakości usług edukacyjnych ocenianej uczelni jest wysoki.32]],SkalaLikerta[],2,0)</f>
        <v>#N/A</v>
      </c>
      <c r="HK11" t="s">
        <v>1280</v>
      </c>
      <c r="HL11" t="s">
        <v>1281</v>
      </c>
      <c r="HM11" t="s">
        <v>1282</v>
      </c>
      <c r="HN11" t="s">
        <v>186</v>
      </c>
      <c r="HO11" s="35">
        <v>1956</v>
      </c>
      <c r="HP11" s="35" t="str">
        <f>VLOOKUP(AnalizaCzyste[[#This Row],[Rok urodzenia]],KategorieWiekowe[],2,1)</f>
        <v>56–65 lat</v>
      </c>
      <c r="HQ11" t="s">
        <v>398</v>
      </c>
      <c r="HS11" t="s">
        <v>1284</v>
      </c>
      <c r="HT11" t="s">
        <v>1285</v>
      </c>
    </row>
    <row r="12" spans="1:229" x14ac:dyDescent="0.45">
      <c r="A12">
        <v>130</v>
      </c>
      <c r="B12">
        <f>_xlfn.IFNA(VLOOKUP(AnalizaCzyste[[#This Row],[Zakończono wypełnianie]],Zakończone[],2,0),"BRAK")</f>
        <v>79</v>
      </c>
      <c r="C12">
        <f t="shared" si="0"/>
        <v>95</v>
      </c>
      <c r="D12" t="s">
        <v>1224</v>
      </c>
      <c r="E12" t="s">
        <v>118</v>
      </c>
      <c r="F12" t="s">
        <v>797</v>
      </c>
      <c r="J12" t="s">
        <v>119</v>
      </c>
      <c r="K12" t="s">
        <v>1225</v>
      </c>
      <c r="L12" t="s">
        <v>1226</v>
      </c>
      <c r="M12">
        <v>4209</v>
      </c>
      <c r="O12">
        <v>0</v>
      </c>
      <c r="P12" t="s">
        <v>122</v>
      </c>
      <c r="Q12" s="1" t="s">
        <v>123</v>
      </c>
      <c r="V12" t="e">
        <f>VLOOKUP(AnalizaCzyste[[#This Row],[Moja satysfakcja z usług edukacyjnych ocenianej uczelni jest wysoka.]],SkalaLikerta[],2,0)</f>
        <v>#N/A</v>
      </c>
      <c r="AH12" s="1" t="s">
        <v>124</v>
      </c>
      <c r="AI12" t="s">
        <v>2269</v>
      </c>
      <c r="AJ12" t="str">
        <f>VLOOKUP(AnalizaCzyste[[#This Row],[Jak się nazywa uczelnia którą ukończyłeś? (proszę o wybranie jednej uczelni podlegającej ocenie)]],KategorieUczelni[],2,0)</f>
        <v>Publiczna</v>
      </c>
      <c r="AK12" t="str">
        <f>VLOOKUP(AnalizaCzyste[[#This Row],[Jak się nazywa uczelnia którą ukończyłeś? (proszę o wybranie jednej uczelni podlegającej ocenie)]],KategorieUczelni[],3,0)</f>
        <v>Nietechniczna</v>
      </c>
      <c r="AL12">
        <f>COUNTIF(AnalizaCzyste[[#This Row],[Czy jesteś absolwentem uczelni wyższej?]],"*"&amp;"Tak"&amp;"*")</f>
        <v>1</v>
      </c>
      <c r="AM12">
        <v>1985</v>
      </c>
      <c r="AN12" t="s">
        <v>148</v>
      </c>
      <c r="AO12" t="s">
        <v>391</v>
      </c>
      <c r="AP12" t="s">
        <v>150</v>
      </c>
      <c r="AQ12">
        <f>VLOOKUP(AnalizaCzyste[[#This Row],[Moja satysfakcja z (efektów) usług edukacyjnych ocenianej uczelni jest wysoka.]],SkalaLikerta[],2,0)</f>
        <v>6</v>
      </c>
      <c r="AR12" t="s">
        <v>150</v>
      </c>
      <c r="AS12" t="s">
        <v>169</v>
      </c>
      <c r="AT12" t="s">
        <v>236</v>
      </c>
      <c r="AU12" t="s">
        <v>236</v>
      </c>
      <c r="AV12">
        <v>0</v>
      </c>
      <c r="AW12" t="s">
        <v>152</v>
      </c>
      <c r="AX12">
        <f>VLOOKUP(AnalizaCzyste[[#This Row],[w pierwszym roku po ukończeniu studiów : wybierz wartość z listy rozwijanej4]],Zarobki[],2,0)</f>
        <v>500</v>
      </c>
      <c r="AY12" t="s">
        <v>152</v>
      </c>
      <c r="AZ12">
        <f>VLOOKUP(AnalizaCzyste[[#This Row],[w 3 lata po ukończeniu studiów : wybierz wartość z listy rozwijanej5]],Zarobki[],2,0)</f>
        <v>500</v>
      </c>
      <c r="BA12" t="s">
        <v>1228</v>
      </c>
      <c r="BB12" t="s">
        <v>1229</v>
      </c>
      <c r="BC12" t="s">
        <v>1229</v>
      </c>
      <c r="BD12" t="s">
        <v>157</v>
      </c>
      <c r="BF12" s="1" t="s">
        <v>159</v>
      </c>
      <c r="BG12">
        <v>2</v>
      </c>
      <c r="BH12" t="s">
        <v>1230</v>
      </c>
      <c r="BI12">
        <v>2005</v>
      </c>
      <c r="BJ12" t="s">
        <v>148</v>
      </c>
      <c r="BK12" t="s">
        <v>1231</v>
      </c>
      <c r="BL12" t="s">
        <v>169</v>
      </c>
      <c r="BM12">
        <f>VLOOKUP(AnalizaCzyste[[#This Row],[Moja satysfakcja z (efektów) usług edukacyjnych ocenianej uczelni jest wysoka.8]],SkalaLikerta[],2,0)</f>
        <v>7</v>
      </c>
      <c r="BN12" t="s">
        <v>169</v>
      </c>
      <c r="BO12" t="s">
        <v>169</v>
      </c>
      <c r="BP12" t="s">
        <v>236</v>
      </c>
      <c r="BQ12" t="s">
        <v>236</v>
      </c>
      <c r="BR12">
        <v>0</v>
      </c>
      <c r="BS12" t="s">
        <v>1232</v>
      </c>
      <c r="BT12" t="s">
        <v>157</v>
      </c>
      <c r="BW12" t="s">
        <v>166</v>
      </c>
      <c r="BX12" t="s">
        <v>1233</v>
      </c>
      <c r="BY12">
        <v>2008</v>
      </c>
      <c r="BZ12" t="s">
        <v>148</v>
      </c>
      <c r="CA12" t="s">
        <v>1234</v>
      </c>
      <c r="CB12" t="s">
        <v>169</v>
      </c>
      <c r="CC12" t="s">
        <v>169</v>
      </c>
      <c r="CD12" t="s">
        <v>169</v>
      </c>
      <c r="CE12" t="s">
        <v>128</v>
      </c>
      <c r="CF12" t="s">
        <v>162</v>
      </c>
      <c r="CG12" t="s">
        <v>1235</v>
      </c>
      <c r="CH12" t="s">
        <v>1236</v>
      </c>
      <c r="CI12" t="s">
        <v>157</v>
      </c>
      <c r="CL12" t="s">
        <v>173</v>
      </c>
      <c r="DA12" s="1" t="s">
        <v>123</v>
      </c>
      <c r="DE12" t="e">
        <f>VLOOKUP(AnalizaCzyste[[#This Row],[Moja satysfakcja z pracy na ocenianej uczelni jest wysoka.]],SkalaLikerta[],2,0)</f>
        <v>#N/A</v>
      </c>
      <c r="DL12" s="1" t="s">
        <v>123</v>
      </c>
      <c r="DP12" t="e">
        <f>VLOOKUP(AnalizaCzyste[[#This Row],[Moja satysfakcja z pracy na ocenianej uczelni jest wysoka.42]],SkalaLikerta[],2,0)</f>
        <v>#N/A</v>
      </c>
      <c r="DW12" s="1" t="s">
        <v>174</v>
      </c>
      <c r="DX12" t="s">
        <v>394</v>
      </c>
      <c r="EB12" s="20" t="s">
        <v>2508</v>
      </c>
      <c r="EC12" t="s">
        <v>150</v>
      </c>
      <c r="ED12" t="s">
        <v>150</v>
      </c>
      <c r="EE12" t="s">
        <v>150</v>
      </c>
      <c r="EF12" t="s">
        <v>150</v>
      </c>
      <c r="EG12" t="s">
        <v>150</v>
      </c>
      <c r="EH12" t="s">
        <v>169</v>
      </c>
      <c r="EI12" t="s">
        <v>150</v>
      </c>
      <c r="EJ12">
        <f>VLOOKUP(AnalizaCzyste[[#This Row],[Ogólny poziom mojej satysfakcji z jakości usług edukacyjnych ocenianej uczelni jest wysoki.]],SkalaLikerta[],2,0)</f>
        <v>6</v>
      </c>
      <c r="EK12">
        <v>20</v>
      </c>
      <c r="EL12">
        <v>5</v>
      </c>
      <c r="EM12">
        <v>0</v>
      </c>
      <c r="EN12">
        <v>30</v>
      </c>
      <c r="EO12">
        <v>25</v>
      </c>
      <c r="EP12">
        <v>10</v>
      </c>
      <c r="EQ12">
        <v>10</v>
      </c>
      <c r="ES12">
        <v>10</v>
      </c>
      <c r="ET12">
        <v>5</v>
      </c>
      <c r="EU12">
        <v>0</v>
      </c>
      <c r="EV12">
        <v>25</v>
      </c>
      <c r="EW12">
        <v>25</v>
      </c>
      <c r="EX12">
        <v>5</v>
      </c>
      <c r="EY12">
        <v>30</v>
      </c>
      <c r="FA12" s="1" t="s">
        <v>123</v>
      </c>
      <c r="FF12" t="e">
        <f>VLOOKUP(AnalizaCzyste[[#This Row],[Moja satysfakcja z (efektów) usług edukacyjnych na ocenianej uczelni jest wysoka.]],SkalaLikerta[],2,0)</f>
        <v>#N/A</v>
      </c>
      <c r="GB12" s="1" t="s">
        <v>123</v>
      </c>
      <c r="GN12" t="e">
        <f>VLOOKUP(AnalizaCzyste[[#This Row],[Ogólny poziom mojej satysfakcji z jakości usług edukacyjnych ocenianej uczelni jest wysoki.32]],SkalaLikerta[],2,0)</f>
        <v>#N/A</v>
      </c>
      <c r="HK12" t="s">
        <v>1237</v>
      </c>
      <c r="HL12" t="s">
        <v>1229</v>
      </c>
      <c r="HM12" t="s">
        <v>1229</v>
      </c>
      <c r="HN12" t="s">
        <v>140</v>
      </c>
      <c r="HO12">
        <v>1958</v>
      </c>
      <c r="HP12" t="str">
        <f>VLOOKUP(AnalizaCzyste[[#This Row],[Rok urodzenia]],KategorieWiekowe[],2,1)</f>
        <v>56–65 lat</v>
      </c>
      <c r="HQ12" t="s">
        <v>141</v>
      </c>
    </row>
    <row r="13" spans="1:229" x14ac:dyDescent="0.45">
      <c r="A13">
        <v>5</v>
      </c>
      <c r="B13">
        <f>_xlfn.IFNA(VLOOKUP(AnalizaCzyste[[#This Row],[Zakończono wypełnianie]],Zakończone[],2,0),"BRAK")</f>
        <v>5</v>
      </c>
      <c r="C13">
        <f t="shared" si="0"/>
        <v>97</v>
      </c>
      <c r="D13" t="s">
        <v>202</v>
      </c>
      <c r="E13" t="s">
        <v>118</v>
      </c>
      <c r="J13" t="s">
        <v>119</v>
      </c>
      <c r="K13" t="s">
        <v>221</v>
      </c>
      <c r="L13" t="s">
        <v>222</v>
      </c>
      <c r="M13">
        <v>1659</v>
      </c>
      <c r="O13">
        <v>0</v>
      </c>
      <c r="P13" t="s">
        <v>122</v>
      </c>
      <c r="Q13" s="1" t="s">
        <v>123</v>
      </c>
      <c r="V13" t="e">
        <f>VLOOKUP(AnalizaCzyste[[#This Row],[Moja satysfakcja z usług edukacyjnych ocenianej uczelni jest wysoka.]],SkalaLikerta[],2,0)</f>
        <v>#N/A</v>
      </c>
      <c r="AH13" s="1" t="s">
        <v>124</v>
      </c>
      <c r="AI13" t="s">
        <v>223</v>
      </c>
      <c r="AJ13" t="str">
        <f>VLOOKUP(AnalizaCzyste[[#This Row],[Jak się nazywa uczelnia którą ukończyłeś? (proszę o wybranie jednej uczelni podlegającej ocenie)]],KategorieUczelni[],2,0)</f>
        <v>Publiczna</v>
      </c>
      <c r="AK13" t="str">
        <f>VLOOKUP(AnalizaCzyste[[#This Row],[Jak się nazywa uczelnia którą ukończyłeś? (proszę o wybranie jednej uczelni podlegającej ocenie)]],KategorieUczelni[],3,0)</f>
        <v>Nietechniczna</v>
      </c>
      <c r="AL13">
        <f>COUNTIF(AnalizaCzyste[[#This Row],[Czy jesteś absolwentem uczelni wyższej?]],"*"&amp;"Tak"&amp;"*")</f>
        <v>1</v>
      </c>
      <c r="AM13">
        <v>1999</v>
      </c>
      <c r="AN13" t="s">
        <v>148</v>
      </c>
      <c r="AO13" t="s">
        <v>224</v>
      </c>
      <c r="AP13" t="s">
        <v>162</v>
      </c>
      <c r="AQ13">
        <f>VLOOKUP(AnalizaCzyste[[#This Row],[Moja satysfakcja z (efektów) usług edukacyjnych ocenianej uczelni jest wysoka.]],SkalaLikerta[],2,0)</f>
        <v>5</v>
      </c>
      <c r="AR13" t="s">
        <v>162</v>
      </c>
      <c r="AS13" t="s">
        <v>150</v>
      </c>
      <c r="AT13" t="s">
        <v>150</v>
      </c>
      <c r="AU13" t="s">
        <v>169</v>
      </c>
      <c r="AV13" t="s">
        <v>225</v>
      </c>
      <c r="AW13" t="s">
        <v>153</v>
      </c>
      <c r="AX13">
        <f>VLOOKUP(AnalizaCzyste[[#This Row],[w pierwszym roku po ukończeniu studiów : wybierz wartość z listy rozwijanej4]],Zarobki[],2,0)</f>
        <v>3500</v>
      </c>
      <c r="AY13" t="s">
        <v>226</v>
      </c>
      <c r="AZ13">
        <f>VLOOKUP(AnalizaCzyste[[#This Row],[w 3 lata po ukończeniu studiów : wybierz wartość z listy rozwijanej5]],Zarobki[],2,0)</f>
        <v>4500</v>
      </c>
      <c r="BA13" t="s">
        <v>227</v>
      </c>
      <c r="BB13" t="s">
        <v>228</v>
      </c>
      <c r="BC13" t="s">
        <v>229</v>
      </c>
      <c r="BD13" t="s">
        <v>230</v>
      </c>
      <c r="BF13" s="1" t="s">
        <v>159</v>
      </c>
      <c r="BG13">
        <v>3</v>
      </c>
      <c r="BH13" t="s">
        <v>191</v>
      </c>
      <c r="BI13">
        <v>2011</v>
      </c>
      <c r="BJ13" t="s">
        <v>126</v>
      </c>
      <c r="BK13" t="s">
        <v>2273</v>
      </c>
      <c r="BL13" t="s">
        <v>169</v>
      </c>
      <c r="BM13">
        <f>VLOOKUP(AnalizaCzyste[[#This Row],[Moja satysfakcja z (efektów) usług edukacyjnych ocenianej uczelni jest wysoka.8]],SkalaLikerta[],2,0)</f>
        <v>7</v>
      </c>
      <c r="BN13" t="s">
        <v>169</v>
      </c>
      <c r="BO13" t="s">
        <v>150</v>
      </c>
      <c r="BP13" t="s">
        <v>162</v>
      </c>
      <c r="BQ13" t="s">
        <v>150</v>
      </c>
      <c r="BR13">
        <v>1</v>
      </c>
      <c r="BS13" t="s">
        <v>232</v>
      </c>
      <c r="BT13" t="s">
        <v>157</v>
      </c>
      <c r="BV13" t="s">
        <v>233</v>
      </c>
      <c r="BW13" t="s">
        <v>166</v>
      </c>
      <c r="BX13" t="s">
        <v>234</v>
      </c>
      <c r="BY13">
        <v>2011</v>
      </c>
      <c r="BZ13" t="s">
        <v>148</v>
      </c>
      <c r="CA13" t="s">
        <v>235</v>
      </c>
      <c r="CB13" t="s">
        <v>151</v>
      </c>
      <c r="CC13" t="s">
        <v>128</v>
      </c>
      <c r="CD13" t="s">
        <v>236</v>
      </c>
      <c r="CE13" t="s">
        <v>128</v>
      </c>
      <c r="CF13" t="s">
        <v>162</v>
      </c>
      <c r="CG13" t="s">
        <v>237</v>
      </c>
      <c r="CI13" t="s">
        <v>172</v>
      </c>
      <c r="CK13" t="s">
        <v>233</v>
      </c>
      <c r="CL13" t="s">
        <v>238</v>
      </c>
      <c r="CM13" t="s">
        <v>223</v>
      </c>
      <c r="CN13">
        <v>2016</v>
      </c>
      <c r="CO13" t="s">
        <v>148</v>
      </c>
      <c r="CP13" t="s">
        <v>239</v>
      </c>
      <c r="CQ13" t="s">
        <v>169</v>
      </c>
      <c r="CR13" t="s">
        <v>169</v>
      </c>
      <c r="CS13" t="s">
        <v>169</v>
      </c>
      <c r="CT13" t="s">
        <v>150</v>
      </c>
      <c r="CU13" t="s">
        <v>150</v>
      </c>
      <c r="CV13">
        <v>1</v>
      </c>
      <c r="CW13" t="s">
        <v>240</v>
      </c>
      <c r="CX13" t="s">
        <v>157</v>
      </c>
      <c r="CZ13" t="s">
        <v>233</v>
      </c>
      <c r="DA13" s="1" t="s">
        <v>123</v>
      </c>
      <c r="DE13" t="e">
        <f>VLOOKUP(AnalizaCzyste[[#This Row],[Moja satysfakcja z pracy na ocenianej uczelni jest wysoka.]],SkalaLikerta[],2,0)</f>
        <v>#N/A</v>
      </c>
      <c r="DL13" s="1" t="s">
        <v>214</v>
      </c>
      <c r="DM13" t="s">
        <v>234</v>
      </c>
      <c r="DN13" t="s">
        <v>241</v>
      </c>
      <c r="DO13" t="s">
        <v>162</v>
      </c>
      <c r="DP13">
        <f>VLOOKUP(AnalizaCzyste[[#This Row],[Moja satysfakcja z pracy na ocenianej uczelni jest wysoka.42]],SkalaLikerta[],2,0)</f>
        <v>5</v>
      </c>
      <c r="DQ13" t="s">
        <v>169</v>
      </c>
      <c r="DR13" t="s">
        <v>169</v>
      </c>
      <c r="DS13" t="s">
        <v>151</v>
      </c>
      <c r="DT13" t="s">
        <v>151</v>
      </c>
      <c r="DU13" t="s">
        <v>151</v>
      </c>
      <c r="DV13" t="s">
        <v>242</v>
      </c>
      <c r="DW13" s="1" t="s">
        <v>123</v>
      </c>
      <c r="EJ13" t="e">
        <f>VLOOKUP(AnalizaCzyste[[#This Row],[Ogólny poziom mojej satysfakcji z jakości usług edukacyjnych ocenianej uczelni jest wysoki.]],SkalaLikerta[],2,0)</f>
        <v>#N/A</v>
      </c>
      <c r="FA13" s="1" t="s">
        <v>123</v>
      </c>
      <c r="FF13" t="e">
        <f>VLOOKUP(AnalizaCzyste[[#This Row],[Moja satysfakcja z (efektów) usług edukacyjnych na ocenianej uczelni jest wysoka.]],SkalaLikerta[],2,0)</f>
        <v>#N/A</v>
      </c>
      <c r="GB13" s="1" t="s">
        <v>123</v>
      </c>
      <c r="GC13" t="s">
        <v>132</v>
      </c>
      <c r="GN13" t="e">
        <f>VLOOKUP(AnalizaCzyste[[#This Row],[Ogólny poziom mojej satysfakcji z jakości usług edukacyjnych ocenianej uczelni jest wysoki.32]],SkalaLikerta[],2,0)</f>
        <v>#N/A</v>
      </c>
      <c r="HK13" t="s">
        <v>243</v>
      </c>
      <c r="HL13" t="s">
        <v>244</v>
      </c>
      <c r="HM13" t="s">
        <v>245</v>
      </c>
      <c r="HN13" t="s">
        <v>186</v>
      </c>
      <c r="HO13">
        <v>1961</v>
      </c>
      <c r="HP13" t="str">
        <f>VLOOKUP(AnalizaCzyste[[#This Row],[Rok urodzenia]],KategorieWiekowe[],2,1)</f>
        <v>56–65 lat</v>
      </c>
      <c r="HQ13" t="s">
        <v>246</v>
      </c>
      <c r="HS13" t="s">
        <v>247</v>
      </c>
    </row>
    <row r="14" spans="1:229" x14ac:dyDescent="0.45">
      <c r="A14">
        <v>8</v>
      </c>
      <c r="B14">
        <f>_xlfn.IFNA(VLOOKUP(AnalizaCzyste[[#This Row],[Zakończono wypełnianie]],Zakończone[],2,0),"BRAK")</f>
        <v>8</v>
      </c>
      <c r="C14">
        <f t="shared" si="0"/>
        <v>72</v>
      </c>
      <c r="D14" t="s">
        <v>269</v>
      </c>
      <c r="E14" t="s">
        <v>118</v>
      </c>
      <c r="J14" t="s">
        <v>119</v>
      </c>
      <c r="K14" t="s">
        <v>270</v>
      </c>
      <c r="L14" t="s">
        <v>271</v>
      </c>
      <c r="M14">
        <v>768</v>
      </c>
      <c r="O14">
        <v>0</v>
      </c>
      <c r="P14" t="s">
        <v>122</v>
      </c>
      <c r="Q14" s="1" t="s">
        <v>123</v>
      </c>
      <c r="V14" t="e">
        <f>VLOOKUP(AnalizaCzyste[[#This Row],[Moja satysfakcja z usług edukacyjnych ocenianej uczelni jest wysoka.]],SkalaLikerta[],2,0)</f>
        <v>#N/A</v>
      </c>
      <c r="AH14" s="1" t="s">
        <v>124</v>
      </c>
      <c r="AI14" t="s">
        <v>160</v>
      </c>
      <c r="AJ14" t="str">
        <f>VLOOKUP(AnalizaCzyste[[#This Row],[Jak się nazywa uczelnia którą ukończyłeś? (proszę o wybranie jednej uczelni podlegającej ocenie)]],KategorieUczelni[],2,0)</f>
        <v>Publiczna</v>
      </c>
      <c r="AK14" t="str">
        <f>VLOOKUP(AnalizaCzyste[[#This Row],[Jak się nazywa uczelnia którą ukończyłeś? (proszę o wybranie jednej uczelni podlegającej ocenie)]],KategorieUczelni[],3,0)</f>
        <v>Nietechniczna</v>
      </c>
      <c r="AL14">
        <f>COUNTIF(AnalizaCzyste[[#This Row],[Czy jesteś absolwentem uczelni wyższej?]],"*"&amp;"Tak"&amp;"*")</f>
        <v>1</v>
      </c>
      <c r="AM14">
        <v>1973</v>
      </c>
      <c r="AN14" t="s">
        <v>148</v>
      </c>
      <c r="AO14" t="s">
        <v>272</v>
      </c>
      <c r="AP14" t="s">
        <v>169</v>
      </c>
      <c r="AQ14">
        <f>VLOOKUP(AnalizaCzyste[[#This Row],[Moja satysfakcja z (efektów) usług edukacyjnych ocenianej uczelni jest wysoka.]],SkalaLikerta[],2,0)</f>
        <v>7</v>
      </c>
      <c r="AR14" s="20" t="s">
        <v>169</v>
      </c>
      <c r="AS14" t="s">
        <v>150</v>
      </c>
      <c r="AT14" t="s">
        <v>129</v>
      </c>
      <c r="AU14" t="s">
        <v>129</v>
      </c>
      <c r="AV14">
        <v>0</v>
      </c>
      <c r="AW14" t="s">
        <v>152</v>
      </c>
      <c r="AX14">
        <f>VLOOKUP(AnalizaCzyste[[#This Row],[w pierwszym roku po ukończeniu studiów : wybierz wartość z listy rozwijanej4]],Zarobki[],2,0)</f>
        <v>500</v>
      </c>
      <c r="AY14" t="s">
        <v>152</v>
      </c>
      <c r="AZ14">
        <f>VLOOKUP(AnalizaCzyste[[#This Row],[w 3 lata po ukończeniu studiów : wybierz wartość z listy rozwijanej5]],Zarobki[],2,0)</f>
        <v>500</v>
      </c>
      <c r="BA14" t="s">
        <v>273</v>
      </c>
      <c r="BB14" t="s">
        <v>274</v>
      </c>
      <c r="BC14" t="s">
        <v>275</v>
      </c>
      <c r="BD14" t="s">
        <v>172</v>
      </c>
      <c r="BF14" s="1" t="s">
        <v>159</v>
      </c>
      <c r="BG14">
        <v>3</v>
      </c>
      <c r="BH14" t="s">
        <v>160</v>
      </c>
      <c r="BI14" t="s">
        <v>276</v>
      </c>
      <c r="BJ14" t="s">
        <v>148</v>
      </c>
      <c r="BK14" t="s">
        <v>277</v>
      </c>
      <c r="BL14" t="s">
        <v>169</v>
      </c>
      <c r="BM14">
        <f>VLOOKUP(AnalizaCzyste[[#This Row],[Moja satysfakcja z (efektów) usług edukacyjnych ocenianej uczelni jest wysoka.8]],SkalaLikerta[],2,0)</f>
        <v>7</v>
      </c>
      <c r="BN14" t="s">
        <v>169</v>
      </c>
      <c r="BO14" t="s">
        <v>236</v>
      </c>
      <c r="BP14" t="s">
        <v>236</v>
      </c>
      <c r="BQ14" t="s">
        <v>236</v>
      </c>
      <c r="BR14">
        <v>0</v>
      </c>
      <c r="BS14" t="s">
        <v>278</v>
      </c>
      <c r="BT14" t="s">
        <v>172</v>
      </c>
      <c r="BW14" t="s">
        <v>173</v>
      </c>
      <c r="DA14" s="1" t="s">
        <v>123</v>
      </c>
      <c r="DE14" t="e">
        <f>VLOOKUP(AnalizaCzyste[[#This Row],[Moja satysfakcja z pracy na ocenianej uczelni jest wysoka.]],SkalaLikerta[],2,0)</f>
        <v>#N/A</v>
      </c>
      <c r="DL14" s="1" t="s">
        <v>214</v>
      </c>
      <c r="DM14" t="s">
        <v>862</v>
      </c>
      <c r="DN14" t="s">
        <v>280</v>
      </c>
      <c r="DO14" t="s">
        <v>150</v>
      </c>
      <c r="DP14">
        <f>VLOOKUP(AnalizaCzyste[[#This Row],[Moja satysfakcja z pracy na ocenianej uczelni jest wysoka.42]],SkalaLikerta[],2,0)</f>
        <v>6</v>
      </c>
      <c r="DQ14" t="s">
        <v>150</v>
      </c>
      <c r="DR14" t="s">
        <v>150</v>
      </c>
      <c r="DS14" t="s">
        <v>150</v>
      </c>
      <c r="DT14" t="s">
        <v>150</v>
      </c>
      <c r="DU14" t="s">
        <v>150</v>
      </c>
      <c r="DV14" t="s">
        <v>281</v>
      </c>
      <c r="DW14" s="1" t="s">
        <v>123</v>
      </c>
      <c r="EJ14" t="e">
        <f>VLOOKUP(AnalizaCzyste[[#This Row],[Ogólny poziom mojej satysfakcji z jakości usług edukacyjnych ocenianej uczelni jest wysoki.]],SkalaLikerta[],2,0)</f>
        <v>#N/A</v>
      </c>
      <c r="FA14" s="1" t="s">
        <v>123</v>
      </c>
      <c r="FB14" t="s">
        <v>180</v>
      </c>
      <c r="FC14" t="s">
        <v>132</v>
      </c>
      <c r="FF14" t="e">
        <f>VLOOKUP(AnalizaCzyste[[#This Row],[Moja satysfakcja z (efektów) usług edukacyjnych na ocenianej uczelni jest wysoka.]],SkalaLikerta[],2,0)</f>
        <v>#N/A</v>
      </c>
      <c r="GB14" s="1" t="s">
        <v>123</v>
      </c>
      <c r="GC14" t="s">
        <v>132</v>
      </c>
      <c r="GE14" t="s">
        <v>132</v>
      </c>
      <c r="GN14" t="e">
        <f>VLOOKUP(AnalizaCzyste[[#This Row],[Ogólny poziom mojej satysfakcji z jakości usług edukacyjnych ocenianej uczelni jest wysoki.32]],SkalaLikerta[],2,0)</f>
        <v>#N/A</v>
      </c>
      <c r="HK14" t="s">
        <v>282</v>
      </c>
      <c r="HL14" t="s">
        <v>283</v>
      </c>
      <c r="HM14" t="s">
        <v>284</v>
      </c>
      <c r="HN14" t="s">
        <v>186</v>
      </c>
      <c r="HO14">
        <v>1950</v>
      </c>
      <c r="HP14" t="str">
        <f>VLOOKUP(AnalizaCzyste[[#This Row],[Rok urodzenia]],KategorieWiekowe[],2,1)</f>
        <v>powyżej 65 lat</v>
      </c>
      <c r="HQ14" t="s">
        <v>141</v>
      </c>
    </row>
    <row r="15" spans="1:229" x14ac:dyDescent="0.45">
      <c r="A15">
        <v>257</v>
      </c>
      <c r="B15">
        <f>_xlfn.IFNA(VLOOKUP(AnalizaCzyste[[#This Row],[Zakończono wypełnianie]],Zakończone[],2,0),"BRAK")</f>
        <v>134</v>
      </c>
      <c r="C15">
        <f t="shared" si="0"/>
        <v>75</v>
      </c>
      <c r="D15" t="s">
        <v>2014</v>
      </c>
      <c r="E15" t="s">
        <v>118</v>
      </c>
      <c r="J15" t="s">
        <v>119</v>
      </c>
      <c r="K15" t="s">
        <v>2015</v>
      </c>
      <c r="L15" t="s">
        <v>2016</v>
      </c>
      <c r="M15">
        <v>1430</v>
      </c>
      <c r="O15">
        <v>0</v>
      </c>
      <c r="P15" t="s">
        <v>122</v>
      </c>
      <c r="Q15" s="1" t="s">
        <v>123</v>
      </c>
      <c r="V15" t="e">
        <f>VLOOKUP(AnalizaCzyste[[#This Row],[Moja satysfakcja z usług edukacyjnych ocenianej uczelni jest wysoka.]],SkalaLikerta[],2,0)</f>
        <v>#N/A</v>
      </c>
      <c r="AH15" s="1" t="s">
        <v>124</v>
      </c>
      <c r="AI15" t="s">
        <v>191</v>
      </c>
      <c r="AJ15" t="str">
        <f>VLOOKUP(AnalizaCzyste[[#This Row],[Jak się nazywa uczelnia którą ukończyłeś? (proszę o wybranie jednej uczelni podlegającej ocenie)]],KategorieUczelni[],2,0)</f>
        <v>Publiczna</v>
      </c>
      <c r="AK15" t="str">
        <f>VLOOKUP(AnalizaCzyste[[#This Row],[Jak się nazywa uczelnia którą ukończyłeś? (proszę o wybranie jednej uczelni podlegającej ocenie)]],KategorieUczelni[],3,0)</f>
        <v>Techniczna</v>
      </c>
      <c r="AL15">
        <f>COUNTIF(AnalizaCzyste[[#This Row],[Czy jesteś absolwentem uczelni wyższej?]],"*"&amp;"Tak"&amp;"*")</f>
        <v>1</v>
      </c>
      <c r="AM15">
        <v>1989</v>
      </c>
      <c r="AN15" t="s">
        <v>126</v>
      </c>
      <c r="AO15" t="s">
        <v>2017</v>
      </c>
      <c r="AP15" t="s">
        <v>150</v>
      </c>
      <c r="AQ15">
        <f>VLOOKUP(AnalizaCzyste[[#This Row],[Moja satysfakcja z (efektów) usług edukacyjnych ocenianej uczelni jest wysoka.]],SkalaLikerta[],2,0)</f>
        <v>6</v>
      </c>
      <c r="AR15" t="s">
        <v>150</v>
      </c>
      <c r="AS15" t="s">
        <v>162</v>
      </c>
      <c r="AT15" t="s">
        <v>162</v>
      </c>
      <c r="AU15" t="s">
        <v>162</v>
      </c>
      <c r="AV15">
        <v>0</v>
      </c>
      <c r="AW15" t="s">
        <v>226</v>
      </c>
      <c r="AX15">
        <f>VLOOKUP(AnalizaCzyste[[#This Row],[w pierwszym roku po ukończeniu studiów : wybierz wartość z listy rozwijanej4]],Zarobki[],2,0)</f>
        <v>4500</v>
      </c>
      <c r="AY15" t="s">
        <v>226</v>
      </c>
      <c r="AZ15">
        <f>VLOOKUP(AnalizaCzyste[[#This Row],[w 3 lata po ukończeniu studiów : wybierz wartość z listy rozwijanej5]],Zarobki[],2,0)</f>
        <v>4500</v>
      </c>
      <c r="BA15" t="s">
        <v>2018</v>
      </c>
      <c r="BB15" t="s">
        <v>1229</v>
      </c>
      <c r="BC15" t="s">
        <v>1229</v>
      </c>
      <c r="BD15" t="s">
        <v>157</v>
      </c>
      <c r="BE15" t="s">
        <v>1271</v>
      </c>
      <c r="BF15" s="1" t="s">
        <v>159</v>
      </c>
      <c r="BG15">
        <v>1</v>
      </c>
      <c r="BH15" t="s">
        <v>191</v>
      </c>
      <c r="BI15">
        <v>2016</v>
      </c>
      <c r="BJ15" t="s">
        <v>126</v>
      </c>
      <c r="BK15" t="s">
        <v>2019</v>
      </c>
      <c r="BL15" t="s">
        <v>150</v>
      </c>
      <c r="BM15">
        <f>VLOOKUP(AnalizaCzyste[[#This Row],[Moja satysfakcja z (efektów) usług edukacyjnych ocenianej uczelni jest wysoka.8]],SkalaLikerta[],2,0)</f>
        <v>6</v>
      </c>
      <c r="BN15" t="s">
        <v>150</v>
      </c>
      <c r="BO15" t="s">
        <v>151</v>
      </c>
      <c r="BP15" t="s">
        <v>128</v>
      </c>
      <c r="BQ15" t="s">
        <v>162</v>
      </c>
      <c r="BR15" t="s">
        <v>2020</v>
      </c>
      <c r="BS15" t="s">
        <v>2021</v>
      </c>
      <c r="BT15" t="s">
        <v>157</v>
      </c>
      <c r="BW15" t="s">
        <v>173</v>
      </c>
      <c r="DA15" s="1" t="s">
        <v>123</v>
      </c>
      <c r="DE15" t="e">
        <f>VLOOKUP(AnalizaCzyste[[#This Row],[Moja satysfakcja z pracy na ocenianej uczelni jest wysoka.]],SkalaLikerta[],2,0)</f>
        <v>#N/A</v>
      </c>
      <c r="DL15" s="1" t="s">
        <v>123</v>
      </c>
      <c r="DP15" t="e">
        <f>VLOOKUP(AnalizaCzyste[[#This Row],[Moja satysfakcja z pracy na ocenianej uczelni jest wysoka.42]],SkalaLikerta[],2,0)</f>
        <v>#N/A</v>
      </c>
      <c r="DW15" s="1" t="s">
        <v>123</v>
      </c>
      <c r="EJ15" t="e">
        <f>VLOOKUP(AnalizaCzyste[[#This Row],[Ogólny poziom mojej satysfakcji z jakości usług edukacyjnych ocenianej uczelni jest wysoki.]],SkalaLikerta[],2,0)</f>
        <v>#N/A</v>
      </c>
      <c r="FA15" s="1" t="s">
        <v>123</v>
      </c>
      <c r="FF15" t="e">
        <f>VLOOKUP(AnalizaCzyste[[#This Row],[Moja satysfakcja z (efektów) usług edukacyjnych na ocenianej uczelni jest wysoka.]],SkalaLikerta[],2,0)</f>
        <v>#N/A</v>
      </c>
      <c r="GB15" s="1" t="s">
        <v>2022</v>
      </c>
      <c r="GC15" t="s">
        <v>2023</v>
      </c>
      <c r="GD15" t="s">
        <v>2024</v>
      </c>
      <c r="GE15">
        <v>1</v>
      </c>
      <c r="GF15" t="s">
        <v>191</v>
      </c>
      <c r="GG15" t="s">
        <v>150</v>
      </c>
      <c r="GH15" t="s">
        <v>150</v>
      </c>
      <c r="GI15" t="s">
        <v>150</v>
      </c>
      <c r="GJ15" t="s">
        <v>150</v>
      </c>
      <c r="GK15" t="s">
        <v>150</v>
      </c>
      <c r="GL15" t="s">
        <v>150</v>
      </c>
      <c r="GM15" t="s">
        <v>150</v>
      </c>
      <c r="GN15">
        <f>VLOOKUP(AnalizaCzyste[[#This Row],[Ogólny poziom mojej satysfakcji z jakości usług edukacyjnych ocenianej uczelni jest wysoki.32]],SkalaLikerta[],2,0)</f>
        <v>6</v>
      </c>
      <c r="GP15" t="s">
        <v>2025</v>
      </c>
      <c r="GQ15" t="s">
        <v>173</v>
      </c>
      <c r="HK15" t="s">
        <v>1229</v>
      </c>
      <c r="HL15" t="s">
        <v>1229</v>
      </c>
      <c r="HM15" t="s">
        <v>1229</v>
      </c>
      <c r="HN15" t="s">
        <v>186</v>
      </c>
      <c r="HO15">
        <v>1965</v>
      </c>
      <c r="HP15" t="str">
        <f>VLOOKUP(AnalizaCzyste[[#This Row],[Rok urodzenia]],KategorieWiekowe[],2,1)</f>
        <v>46–55 lat</v>
      </c>
      <c r="HQ15" t="s">
        <v>220</v>
      </c>
      <c r="HS15" t="s">
        <v>2026</v>
      </c>
      <c r="HU15" t="s">
        <v>2027</v>
      </c>
    </row>
    <row r="16" spans="1:229" x14ac:dyDescent="0.45">
      <c r="A16">
        <v>83</v>
      </c>
      <c r="B16">
        <f>_xlfn.IFNA(VLOOKUP(AnalizaCzyste[[#This Row],[Zakończono wypełnianie]],Zakończone[],2,0),"BRAK")</f>
        <v>48</v>
      </c>
      <c r="C16">
        <f t="shared" si="0"/>
        <v>89</v>
      </c>
      <c r="D16" t="s">
        <v>837</v>
      </c>
      <c r="E16" t="s">
        <v>118</v>
      </c>
      <c r="J16" t="s">
        <v>119</v>
      </c>
      <c r="K16" t="s">
        <v>838</v>
      </c>
      <c r="L16" t="s">
        <v>839</v>
      </c>
      <c r="M16">
        <v>3312</v>
      </c>
      <c r="O16">
        <v>0</v>
      </c>
      <c r="P16" t="s">
        <v>122</v>
      </c>
      <c r="Q16" s="1" t="s">
        <v>123</v>
      </c>
      <c r="V16" t="e">
        <f>VLOOKUP(AnalizaCzyste[[#This Row],[Moja satysfakcja z usług edukacyjnych ocenianej uczelni jest wysoka.]],SkalaLikerta[],2,0)</f>
        <v>#N/A</v>
      </c>
      <c r="AH16" s="1" t="s">
        <v>124</v>
      </c>
      <c r="AI16" t="s">
        <v>191</v>
      </c>
      <c r="AJ16" s="20" t="str">
        <f>VLOOKUP(AnalizaCzyste[[#This Row],[Jak się nazywa uczelnia którą ukończyłeś? (proszę o wybranie jednej uczelni podlegającej ocenie)]],KategorieUczelni[],2,0)</f>
        <v>Publiczna</v>
      </c>
      <c r="AK16" s="20" t="str">
        <f>VLOOKUP(AnalizaCzyste[[#This Row],[Jak się nazywa uczelnia którą ukończyłeś? (proszę o wybranie jednej uczelni podlegającej ocenie)]],KategorieUczelni[],3,0)</f>
        <v>Techniczna</v>
      </c>
      <c r="AL16" s="20">
        <f>COUNTIF(AnalizaCzyste[[#This Row],[Czy jesteś absolwentem uczelni wyższej?]],"*"&amp;"Tak"&amp;"*")</f>
        <v>1</v>
      </c>
      <c r="AM16">
        <v>1978</v>
      </c>
      <c r="AN16" t="s">
        <v>126</v>
      </c>
      <c r="AO16" t="s">
        <v>841</v>
      </c>
      <c r="AP16" t="s">
        <v>169</v>
      </c>
      <c r="AQ16">
        <f>VLOOKUP(AnalizaCzyste[[#This Row],[Moja satysfakcja z (efektów) usług edukacyjnych ocenianej uczelni jest wysoka.]],SkalaLikerta[],2,0)</f>
        <v>7</v>
      </c>
      <c r="AR16" t="s">
        <v>169</v>
      </c>
      <c r="AS16" t="s">
        <v>151</v>
      </c>
      <c r="AT16" t="s">
        <v>150</v>
      </c>
      <c r="AU16" t="s">
        <v>150</v>
      </c>
      <c r="AV16">
        <v>2</v>
      </c>
      <c r="AW16" t="s">
        <v>302</v>
      </c>
      <c r="AX16">
        <f>VLOOKUP(AnalizaCzyste[[#This Row],[w pierwszym roku po ukończeniu studiów : wybierz wartość z listy rozwijanej4]],Zarobki[],2,0)</f>
        <v>2500</v>
      </c>
      <c r="AY16" t="s">
        <v>226</v>
      </c>
      <c r="AZ16">
        <f>VLOOKUP(AnalizaCzyste[[#This Row],[w 3 lata po ukończeniu studiów : wybierz wartość z listy rozwijanej5]],Zarobki[],2,0)</f>
        <v>4500</v>
      </c>
      <c r="BA16" t="s">
        <v>842</v>
      </c>
      <c r="BB16" t="s">
        <v>843</v>
      </c>
      <c r="BC16" t="s">
        <v>386</v>
      </c>
      <c r="BD16" t="s">
        <v>157</v>
      </c>
      <c r="BF16" s="1" t="s">
        <v>159</v>
      </c>
      <c r="BG16">
        <v>2</v>
      </c>
      <c r="BH16" t="s">
        <v>191</v>
      </c>
      <c r="BI16">
        <v>2005</v>
      </c>
      <c r="BJ16" t="s">
        <v>126</v>
      </c>
      <c r="BK16" t="s">
        <v>844</v>
      </c>
      <c r="BL16" t="s">
        <v>150</v>
      </c>
      <c r="BM16">
        <f>VLOOKUP(AnalizaCzyste[[#This Row],[Moja satysfakcja z (efektów) usług edukacyjnych ocenianej uczelni jest wysoka.8]],SkalaLikerta[],2,0)</f>
        <v>6</v>
      </c>
      <c r="BN16" t="s">
        <v>150</v>
      </c>
      <c r="BO16" t="s">
        <v>169</v>
      </c>
      <c r="BP16" t="s">
        <v>162</v>
      </c>
      <c r="BQ16" t="s">
        <v>162</v>
      </c>
      <c r="BR16">
        <v>3</v>
      </c>
      <c r="BS16" t="s">
        <v>845</v>
      </c>
      <c r="BT16" t="s">
        <v>157</v>
      </c>
      <c r="BV16" t="s">
        <v>148</v>
      </c>
      <c r="BW16" t="s">
        <v>166</v>
      </c>
      <c r="BX16" t="s">
        <v>191</v>
      </c>
      <c r="BY16">
        <v>2007</v>
      </c>
      <c r="BZ16" t="s">
        <v>126</v>
      </c>
      <c r="CA16" t="s">
        <v>844</v>
      </c>
      <c r="CB16" t="s">
        <v>150</v>
      </c>
      <c r="CC16" t="s">
        <v>150</v>
      </c>
      <c r="CD16" t="s">
        <v>150</v>
      </c>
      <c r="CE16" t="s">
        <v>162</v>
      </c>
      <c r="CF16" t="s">
        <v>162</v>
      </c>
      <c r="CG16">
        <v>3</v>
      </c>
      <c r="CH16" t="s">
        <v>148</v>
      </c>
      <c r="CI16" t="s">
        <v>157</v>
      </c>
      <c r="CK16" t="s">
        <v>148</v>
      </c>
      <c r="CL16" t="s">
        <v>173</v>
      </c>
      <c r="DA16" s="1" t="s">
        <v>123</v>
      </c>
      <c r="DE16" t="e">
        <f>VLOOKUP(AnalizaCzyste[[#This Row],[Moja satysfakcja z pracy na ocenianej uczelni jest wysoka.]],SkalaLikerta[],2,0)</f>
        <v>#N/A</v>
      </c>
      <c r="DL16" s="1" t="s">
        <v>214</v>
      </c>
      <c r="DM16" t="s">
        <v>2275</v>
      </c>
      <c r="DN16" t="s">
        <v>2276</v>
      </c>
      <c r="DO16" t="s">
        <v>150</v>
      </c>
      <c r="DP16">
        <f>VLOOKUP(AnalizaCzyste[[#This Row],[Moja satysfakcja z pracy na ocenianej uczelni jest wysoka.42]],SkalaLikerta[],2,0)</f>
        <v>6</v>
      </c>
      <c r="DQ16" t="s">
        <v>150</v>
      </c>
      <c r="DR16" t="s">
        <v>150</v>
      </c>
      <c r="DS16" t="s">
        <v>150</v>
      </c>
      <c r="DT16" t="s">
        <v>150</v>
      </c>
      <c r="DU16" t="s">
        <v>162</v>
      </c>
      <c r="DV16" t="s">
        <v>848</v>
      </c>
      <c r="DW16" s="1" t="s">
        <v>123</v>
      </c>
      <c r="EJ16" t="e">
        <f>VLOOKUP(AnalizaCzyste[[#This Row],[Ogólny poziom mojej satysfakcji z jakości usług edukacyjnych ocenianej uczelni jest wysoki.]],SkalaLikerta[],2,0)</f>
        <v>#N/A</v>
      </c>
      <c r="FA16" s="1" t="s">
        <v>123</v>
      </c>
      <c r="FB16" t="s">
        <v>180</v>
      </c>
      <c r="FC16" t="s">
        <v>132</v>
      </c>
      <c r="FF16" t="e">
        <f>VLOOKUP(AnalizaCzyste[[#This Row],[Moja satysfakcja z (efektów) usług edukacyjnych na ocenianej uczelni jest wysoka.]],SkalaLikerta[],2,0)</f>
        <v>#N/A</v>
      </c>
      <c r="GB16" s="1" t="s">
        <v>123</v>
      </c>
      <c r="GC16" t="s">
        <v>132</v>
      </c>
      <c r="GE16" t="s">
        <v>132</v>
      </c>
      <c r="GN16" t="e">
        <f>VLOOKUP(AnalizaCzyste[[#This Row],[Ogólny poziom mojej satysfakcji z jakości usług edukacyjnych ocenianej uczelni jest wysoki.32]],SkalaLikerta[],2,0)</f>
        <v>#N/A</v>
      </c>
      <c r="HK16" t="s">
        <v>849</v>
      </c>
      <c r="HL16" t="s">
        <v>850</v>
      </c>
      <c r="HM16" t="s">
        <v>851</v>
      </c>
      <c r="HN16" t="s">
        <v>186</v>
      </c>
      <c r="HO16">
        <v>1954</v>
      </c>
      <c r="HP16" t="str">
        <f>VLOOKUP(AnalizaCzyste[[#This Row],[Rok urodzenia]],KategorieWiekowe[],2,1)</f>
        <v>powyżej 65 lat</v>
      </c>
      <c r="HQ16" t="s">
        <v>141</v>
      </c>
      <c r="HS16" t="s">
        <v>852</v>
      </c>
      <c r="HT16" t="s">
        <v>853</v>
      </c>
    </row>
    <row r="17" spans="1:229" x14ac:dyDescent="0.45">
      <c r="A17">
        <v>11</v>
      </c>
      <c r="B17">
        <f>_xlfn.IFNA(VLOOKUP(AnalizaCzyste[[#This Row],[Zakończono wypełnianie]],Zakończone[],2,0),"BRAK")</f>
        <v>10</v>
      </c>
      <c r="C17">
        <f t="shared" si="0"/>
        <v>76</v>
      </c>
      <c r="D17" t="s">
        <v>298</v>
      </c>
      <c r="E17" t="s">
        <v>118</v>
      </c>
      <c r="J17" t="s">
        <v>119</v>
      </c>
      <c r="K17" t="s">
        <v>299</v>
      </c>
      <c r="L17" t="s">
        <v>300</v>
      </c>
      <c r="M17">
        <v>1404</v>
      </c>
      <c r="O17">
        <v>0</v>
      </c>
      <c r="P17" t="s">
        <v>122</v>
      </c>
      <c r="Q17" s="1" t="s">
        <v>123</v>
      </c>
      <c r="V17" t="e">
        <f>VLOOKUP(AnalizaCzyste[[#This Row],[Moja satysfakcja z usług edukacyjnych ocenianej uczelni jest wysoka.]],SkalaLikerta[],2,0)</f>
        <v>#N/A</v>
      </c>
      <c r="AH17" s="1" t="s">
        <v>124</v>
      </c>
      <c r="AI17" t="s">
        <v>191</v>
      </c>
      <c r="AJ17" t="str">
        <f>VLOOKUP(AnalizaCzyste[[#This Row],[Jak się nazywa uczelnia którą ukończyłeś? (proszę o wybranie jednej uczelni podlegającej ocenie)]],KategorieUczelni[],2,0)</f>
        <v>Publiczna</v>
      </c>
      <c r="AK17" t="str">
        <f>VLOOKUP(AnalizaCzyste[[#This Row],[Jak się nazywa uczelnia którą ukończyłeś? (proszę o wybranie jednej uczelni podlegającej ocenie)]],KategorieUczelni[],3,0)</f>
        <v>Techniczna</v>
      </c>
      <c r="AL17">
        <f>COUNTIF(AnalizaCzyste[[#This Row],[Czy jesteś absolwentem uczelni wyższej?]],"*"&amp;"Tak"&amp;"*")</f>
        <v>1</v>
      </c>
      <c r="AM17">
        <v>1986</v>
      </c>
      <c r="AN17" t="s">
        <v>126</v>
      </c>
      <c r="AO17" t="s">
        <v>301</v>
      </c>
      <c r="AP17" t="s">
        <v>150</v>
      </c>
      <c r="AQ17">
        <f>VLOOKUP(AnalizaCzyste[[#This Row],[Moja satysfakcja z (efektów) usług edukacyjnych ocenianej uczelni jest wysoka.]],SkalaLikerta[],2,0)</f>
        <v>6</v>
      </c>
      <c r="AR17" t="s">
        <v>150</v>
      </c>
      <c r="AS17" t="s">
        <v>162</v>
      </c>
      <c r="AT17" t="s">
        <v>151</v>
      </c>
      <c r="AU17" t="s">
        <v>151</v>
      </c>
      <c r="AV17">
        <v>2</v>
      </c>
      <c r="AW17" t="s">
        <v>302</v>
      </c>
      <c r="AX17">
        <f>VLOOKUP(AnalizaCzyste[[#This Row],[w pierwszym roku po ukończeniu studiów : wybierz wartość z listy rozwijanej4]],Zarobki[],2,0)</f>
        <v>2500</v>
      </c>
      <c r="AY17" t="s">
        <v>153</v>
      </c>
      <c r="AZ17">
        <f>VLOOKUP(AnalizaCzyste[[#This Row],[w 3 lata po ukończeniu studiów : wybierz wartość z listy rozwijanej5]],Zarobki[],2,0)</f>
        <v>3500</v>
      </c>
      <c r="BA17" t="s">
        <v>303</v>
      </c>
      <c r="BB17" t="s">
        <v>304</v>
      </c>
      <c r="BC17" t="s">
        <v>305</v>
      </c>
      <c r="BD17" t="s">
        <v>157</v>
      </c>
      <c r="BF17" s="1" t="s">
        <v>159</v>
      </c>
      <c r="BG17">
        <v>1</v>
      </c>
      <c r="BH17" t="s">
        <v>223</v>
      </c>
      <c r="BI17">
        <v>2011</v>
      </c>
      <c r="BJ17" t="s">
        <v>148</v>
      </c>
      <c r="BK17" t="s">
        <v>127</v>
      </c>
      <c r="BL17" t="s">
        <v>150</v>
      </c>
      <c r="BM17">
        <f>VLOOKUP(AnalizaCzyste[[#This Row],[Moja satysfakcja z (efektów) usług edukacyjnych ocenianej uczelni jest wysoka.8]],SkalaLikerta[],2,0)</f>
        <v>6</v>
      </c>
      <c r="BN17" t="s">
        <v>150</v>
      </c>
      <c r="BO17" t="s">
        <v>169</v>
      </c>
      <c r="BP17" t="s">
        <v>169</v>
      </c>
      <c r="BQ17" t="s">
        <v>169</v>
      </c>
      <c r="BR17">
        <v>1</v>
      </c>
      <c r="BS17" t="s">
        <v>306</v>
      </c>
      <c r="BT17" t="s">
        <v>157</v>
      </c>
      <c r="BV17" t="s">
        <v>307</v>
      </c>
      <c r="BW17" t="s">
        <v>173</v>
      </c>
      <c r="DA17" s="1" t="s">
        <v>123</v>
      </c>
      <c r="DE17" t="e">
        <f>VLOOKUP(AnalizaCzyste[[#This Row],[Moja satysfakcja z pracy na ocenianej uczelni jest wysoka.]],SkalaLikerta[],2,0)</f>
        <v>#N/A</v>
      </c>
      <c r="DL17" s="1" t="s">
        <v>214</v>
      </c>
      <c r="DM17" t="s">
        <v>191</v>
      </c>
      <c r="DN17" t="s">
        <v>308</v>
      </c>
      <c r="DO17" t="s">
        <v>150</v>
      </c>
      <c r="DP17">
        <f>VLOOKUP(AnalizaCzyste[[#This Row],[Moja satysfakcja z pracy na ocenianej uczelni jest wysoka.42]],SkalaLikerta[],2,0)</f>
        <v>6</v>
      </c>
      <c r="DQ17" t="s">
        <v>150</v>
      </c>
      <c r="DR17" t="s">
        <v>162</v>
      </c>
      <c r="DS17" t="s">
        <v>150</v>
      </c>
      <c r="DT17" t="s">
        <v>150</v>
      </c>
      <c r="DU17" t="s">
        <v>150</v>
      </c>
      <c r="DV17" t="s">
        <v>309</v>
      </c>
      <c r="DW17" s="1" t="s">
        <v>123</v>
      </c>
      <c r="EJ17" t="e">
        <f>VLOOKUP(AnalizaCzyste[[#This Row],[Ogólny poziom mojej satysfakcji z jakości usług edukacyjnych ocenianej uczelni jest wysoki.]],SkalaLikerta[],2,0)</f>
        <v>#N/A</v>
      </c>
      <c r="FA17" s="1" t="s">
        <v>123</v>
      </c>
      <c r="FB17" t="s">
        <v>180</v>
      </c>
      <c r="FC17" t="s">
        <v>132</v>
      </c>
      <c r="FF17" t="e">
        <f>VLOOKUP(AnalizaCzyste[[#This Row],[Moja satysfakcja z (efektów) usług edukacyjnych na ocenianej uczelni jest wysoka.]],SkalaLikerta[],2,0)</f>
        <v>#N/A</v>
      </c>
      <c r="GB17" s="1" t="s">
        <v>123</v>
      </c>
      <c r="GC17" t="s">
        <v>132</v>
      </c>
      <c r="GE17" t="s">
        <v>132</v>
      </c>
      <c r="GN17" t="e">
        <f>VLOOKUP(AnalizaCzyste[[#This Row],[Ogólny poziom mojej satysfakcji z jakości usług edukacyjnych ocenianej uczelni jest wysoki.32]],SkalaLikerta[],2,0)</f>
        <v>#N/A</v>
      </c>
      <c r="HK17" t="s">
        <v>310</v>
      </c>
      <c r="HL17" t="s">
        <v>311</v>
      </c>
      <c r="HM17" t="s">
        <v>312</v>
      </c>
      <c r="HN17" t="s">
        <v>186</v>
      </c>
      <c r="HO17">
        <v>1963</v>
      </c>
      <c r="HP17" t="str">
        <f>VLOOKUP(AnalizaCzyste[[#This Row],[Rok urodzenia]],KategorieWiekowe[],2,1)</f>
        <v>56–65 lat</v>
      </c>
      <c r="HQ17" t="s">
        <v>141</v>
      </c>
      <c r="HR17" t="s">
        <v>313</v>
      </c>
      <c r="HS17" t="s">
        <v>314</v>
      </c>
      <c r="HT17" t="s">
        <v>315</v>
      </c>
    </row>
    <row r="18" spans="1:229" x14ac:dyDescent="0.45">
      <c r="A18">
        <v>259</v>
      </c>
      <c r="B18">
        <f>_xlfn.IFNA(VLOOKUP(AnalizaCzyste[[#This Row],[Zakończono wypełnianie]],Zakończone[],2,0),"BRAK")</f>
        <v>136</v>
      </c>
      <c r="C18">
        <f t="shared" si="0"/>
        <v>86</v>
      </c>
      <c r="D18" t="s">
        <v>2014</v>
      </c>
      <c r="E18" t="s">
        <v>118</v>
      </c>
      <c r="J18" t="s">
        <v>119</v>
      </c>
      <c r="K18" t="s">
        <v>2034</v>
      </c>
      <c r="L18" t="s">
        <v>2035</v>
      </c>
      <c r="M18">
        <v>1151</v>
      </c>
      <c r="O18">
        <v>0</v>
      </c>
      <c r="P18" t="s">
        <v>122</v>
      </c>
      <c r="Q18" s="1" t="s">
        <v>123</v>
      </c>
      <c r="V18" t="e">
        <f>VLOOKUP(AnalizaCzyste[[#This Row],[Moja satysfakcja z usług edukacyjnych ocenianej uczelni jest wysoka.]],SkalaLikerta[],2,0)</f>
        <v>#N/A</v>
      </c>
      <c r="AH18" s="1" t="s">
        <v>124</v>
      </c>
      <c r="AI18" t="s">
        <v>223</v>
      </c>
      <c r="AJ18" t="str">
        <f>VLOOKUP(AnalizaCzyste[[#This Row],[Jak się nazywa uczelnia którą ukończyłeś? (proszę o wybranie jednej uczelni podlegającej ocenie)]],KategorieUczelni[],2,0)</f>
        <v>Publiczna</v>
      </c>
      <c r="AK18" t="str">
        <f>VLOOKUP(AnalizaCzyste[[#This Row],[Jak się nazywa uczelnia którą ukończyłeś? (proszę o wybranie jednej uczelni podlegającej ocenie)]],KategorieUczelni[],3,0)</f>
        <v>Nietechniczna</v>
      </c>
      <c r="AL18">
        <f>COUNTIF(AnalizaCzyste[[#This Row],[Czy jesteś absolwentem uczelni wyższej?]],"*"&amp;"Tak"&amp;"*")</f>
        <v>1</v>
      </c>
      <c r="AM18">
        <v>1987</v>
      </c>
      <c r="AN18" t="s">
        <v>148</v>
      </c>
      <c r="AO18" t="s">
        <v>554</v>
      </c>
      <c r="AP18" t="s">
        <v>132</v>
      </c>
      <c r="AQ18" t="str">
        <f>VLOOKUP(AnalizaCzyste[[#This Row],[Moja satysfakcja z (efektów) usług edukacyjnych ocenianej uczelni jest wysoka.]],SkalaLikerta[],2,0)</f>
        <v>N/D</v>
      </c>
      <c r="AR18" t="s">
        <v>132</v>
      </c>
      <c r="AS18" t="s">
        <v>132</v>
      </c>
      <c r="AT18" t="s">
        <v>132</v>
      </c>
      <c r="AU18" t="s">
        <v>132</v>
      </c>
      <c r="AV18" t="s">
        <v>2036</v>
      </c>
      <c r="AW18" t="s">
        <v>132</v>
      </c>
      <c r="AX18" t="str">
        <f>VLOOKUP(AnalizaCzyste[[#This Row],[w pierwszym roku po ukończeniu studiów : wybierz wartość z listy rozwijanej4]],Zarobki[],2,0)</f>
        <v>N/D</v>
      </c>
      <c r="AY18" t="s">
        <v>132</v>
      </c>
      <c r="AZ18" t="str">
        <f>VLOOKUP(AnalizaCzyste[[#This Row],[w 3 lata po ukończeniu studiów : wybierz wartość z listy rozwijanej5]],Zarobki[],2,0)</f>
        <v>N/D</v>
      </c>
      <c r="BB18" t="s">
        <v>1229</v>
      </c>
      <c r="BC18" t="s">
        <v>1229</v>
      </c>
      <c r="BD18" t="s">
        <v>157</v>
      </c>
      <c r="BE18" t="s">
        <v>2037</v>
      </c>
      <c r="BF18" s="1" t="s">
        <v>159</v>
      </c>
      <c r="BG18">
        <v>3</v>
      </c>
      <c r="BH18" t="s">
        <v>191</v>
      </c>
      <c r="BI18">
        <v>2020</v>
      </c>
      <c r="BJ18" t="s">
        <v>126</v>
      </c>
      <c r="BK18" t="s">
        <v>2038</v>
      </c>
      <c r="BL18" t="s">
        <v>150</v>
      </c>
      <c r="BM18">
        <f>VLOOKUP(AnalizaCzyste[[#This Row],[Moja satysfakcja z (efektów) usług edukacyjnych ocenianej uczelni jest wysoka.8]],SkalaLikerta[],2,0)</f>
        <v>6</v>
      </c>
      <c r="BN18" t="s">
        <v>162</v>
      </c>
      <c r="BO18" t="s">
        <v>169</v>
      </c>
      <c r="BP18" t="s">
        <v>150</v>
      </c>
      <c r="BQ18" t="s">
        <v>132</v>
      </c>
      <c r="BR18" t="s">
        <v>2039</v>
      </c>
      <c r="BS18" t="s">
        <v>2040</v>
      </c>
      <c r="BT18" t="s">
        <v>157</v>
      </c>
      <c r="BW18" t="s">
        <v>166</v>
      </c>
      <c r="BX18" t="s">
        <v>191</v>
      </c>
      <c r="BY18">
        <v>2013</v>
      </c>
      <c r="BZ18" t="s">
        <v>126</v>
      </c>
      <c r="CA18" t="s">
        <v>1867</v>
      </c>
      <c r="CB18" t="s">
        <v>162</v>
      </c>
      <c r="CC18" t="s">
        <v>150</v>
      </c>
      <c r="CD18" t="s">
        <v>162</v>
      </c>
      <c r="CE18" t="s">
        <v>162</v>
      </c>
      <c r="CF18" t="s">
        <v>162</v>
      </c>
      <c r="CG18" t="s">
        <v>237</v>
      </c>
      <c r="CI18" t="s">
        <v>157</v>
      </c>
      <c r="CK18" t="s">
        <v>2041</v>
      </c>
      <c r="CL18" t="s">
        <v>238</v>
      </c>
      <c r="CM18" t="s">
        <v>191</v>
      </c>
      <c r="CN18">
        <v>2016</v>
      </c>
      <c r="CO18" t="s">
        <v>126</v>
      </c>
      <c r="CP18" t="s">
        <v>2042</v>
      </c>
      <c r="CQ18" t="s">
        <v>151</v>
      </c>
      <c r="CR18" t="s">
        <v>162</v>
      </c>
      <c r="CS18" t="s">
        <v>150</v>
      </c>
      <c r="CT18" t="s">
        <v>169</v>
      </c>
      <c r="CU18" t="s">
        <v>150</v>
      </c>
      <c r="CV18" t="s">
        <v>237</v>
      </c>
      <c r="CW18" t="s">
        <v>2043</v>
      </c>
      <c r="CX18" t="s">
        <v>157</v>
      </c>
      <c r="DA18" s="1" t="s">
        <v>123</v>
      </c>
      <c r="DE18" t="e">
        <f>VLOOKUP(AnalizaCzyste[[#This Row],[Moja satysfakcja z pracy na ocenianej uczelni jest wysoka.]],SkalaLikerta[],2,0)</f>
        <v>#N/A</v>
      </c>
      <c r="DL18" s="1" t="s">
        <v>123</v>
      </c>
      <c r="DP18" t="e">
        <f>VLOOKUP(AnalizaCzyste[[#This Row],[Moja satysfakcja z pracy na ocenianej uczelni jest wysoka.42]],SkalaLikerta[],2,0)</f>
        <v>#N/A</v>
      </c>
      <c r="DW18" s="1" t="s">
        <v>123</v>
      </c>
      <c r="EJ18" t="e">
        <f>VLOOKUP(AnalizaCzyste[[#This Row],[Ogólny poziom mojej satysfakcji z jakości usług edukacyjnych ocenianej uczelni jest wysoki.]],SkalaLikerta[],2,0)</f>
        <v>#N/A</v>
      </c>
      <c r="FA18" s="1" t="s">
        <v>123</v>
      </c>
      <c r="FF18" t="e">
        <f>VLOOKUP(AnalizaCzyste[[#This Row],[Moja satysfakcja z (efektów) usług edukacyjnych na ocenianej uczelni jest wysoka.]],SkalaLikerta[],2,0)</f>
        <v>#N/A</v>
      </c>
      <c r="GB18" s="1" t="s">
        <v>123</v>
      </c>
      <c r="GN18" t="e">
        <f>VLOOKUP(AnalizaCzyste[[#This Row],[Ogólny poziom mojej satysfakcji z jakości usług edukacyjnych ocenianej uczelni jest wysoki.32]],SkalaLikerta[],2,0)</f>
        <v>#N/A</v>
      </c>
      <c r="HK18" t="s">
        <v>1229</v>
      </c>
      <c r="HL18" t="s">
        <v>1229</v>
      </c>
      <c r="HM18" t="s">
        <v>1229</v>
      </c>
      <c r="HN18" t="s">
        <v>186</v>
      </c>
      <c r="HO18">
        <v>1962</v>
      </c>
      <c r="HP18" t="str">
        <f>VLOOKUP(AnalizaCzyste[[#This Row],[Rok urodzenia]],KategorieWiekowe[],2,1)</f>
        <v>56–65 lat</v>
      </c>
      <c r="HQ18" t="s">
        <v>141</v>
      </c>
      <c r="HT18" t="s">
        <v>2044</v>
      </c>
      <c r="HU18" t="s">
        <v>2045</v>
      </c>
    </row>
    <row r="19" spans="1:229" x14ac:dyDescent="0.45">
      <c r="A19">
        <v>87</v>
      </c>
      <c r="B19">
        <f>_xlfn.IFNA(VLOOKUP(AnalizaCzyste[[#This Row],[Zakończono wypełnianie]],Zakończone[],2,0),"BRAK")</f>
        <v>52</v>
      </c>
      <c r="C19">
        <f t="shared" si="0"/>
        <v>59</v>
      </c>
      <c r="D19" t="s">
        <v>873</v>
      </c>
      <c r="E19" t="s">
        <v>118</v>
      </c>
      <c r="F19" t="s">
        <v>797</v>
      </c>
      <c r="J19" t="s">
        <v>119</v>
      </c>
      <c r="K19" t="s">
        <v>888</v>
      </c>
      <c r="L19" t="s">
        <v>889</v>
      </c>
      <c r="M19">
        <v>1595</v>
      </c>
      <c r="O19">
        <v>0</v>
      </c>
      <c r="P19" t="s">
        <v>122</v>
      </c>
      <c r="Q19" s="1" t="s">
        <v>123</v>
      </c>
      <c r="V19" t="e">
        <f>VLOOKUP(AnalizaCzyste[[#This Row],[Moja satysfakcja z usług edukacyjnych ocenianej uczelni jest wysoka.]],SkalaLikerta[],2,0)</f>
        <v>#N/A</v>
      </c>
      <c r="AH19" s="1" t="s">
        <v>124</v>
      </c>
      <c r="AI19" t="s">
        <v>191</v>
      </c>
      <c r="AJ19" s="20" t="str">
        <f>VLOOKUP(AnalizaCzyste[[#This Row],[Jak się nazywa uczelnia którą ukończyłeś? (proszę o wybranie jednej uczelni podlegającej ocenie)]],KategorieUczelni[],2,0)</f>
        <v>Publiczna</v>
      </c>
      <c r="AK19" s="20" t="str">
        <f>VLOOKUP(AnalizaCzyste[[#This Row],[Jak się nazywa uczelnia którą ukończyłeś? (proszę o wybranie jednej uczelni podlegającej ocenie)]],KategorieUczelni[],3,0)</f>
        <v>Techniczna</v>
      </c>
      <c r="AL19" s="20">
        <f>COUNTIF(AnalizaCzyste[[#This Row],[Czy jesteś absolwentem uczelni wyższej?]],"*"&amp;"Tak"&amp;"*")</f>
        <v>1</v>
      </c>
      <c r="AM19">
        <v>1975</v>
      </c>
      <c r="AN19" t="s">
        <v>126</v>
      </c>
      <c r="AO19" t="s">
        <v>890</v>
      </c>
      <c r="AP19" t="s">
        <v>150</v>
      </c>
      <c r="AQ19">
        <f>VLOOKUP(AnalizaCzyste[[#This Row],[Moja satysfakcja z (efektów) usług edukacyjnych ocenianej uczelni jest wysoka.]],SkalaLikerta[],2,0)</f>
        <v>6</v>
      </c>
      <c r="AR19" t="s">
        <v>162</v>
      </c>
      <c r="AS19" t="s">
        <v>128</v>
      </c>
      <c r="AT19" t="s">
        <v>169</v>
      </c>
      <c r="AU19" t="s">
        <v>169</v>
      </c>
      <c r="AV19" t="s">
        <v>883</v>
      </c>
      <c r="AW19" t="s">
        <v>194</v>
      </c>
      <c r="AX19">
        <f>VLOOKUP(AnalizaCzyste[[#This Row],[w pierwszym roku po ukończeniu studiów : wybierz wartość z listy rozwijanej4]],Zarobki[],2,0)</f>
        <v>10500</v>
      </c>
      <c r="AY19" t="s">
        <v>194</v>
      </c>
      <c r="AZ19">
        <f>VLOOKUP(AnalizaCzyste[[#This Row],[w 3 lata po ukończeniu studiów : wybierz wartość z listy rozwijanej5]],Zarobki[],2,0)</f>
        <v>10500</v>
      </c>
      <c r="BA19" t="s">
        <v>891</v>
      </c>
      <c r="BB19" t="s">
        <v>532</v>
      </c>
      <c r="BC19" t="s">
        <v>532</v>
      </c>
      <c r="BD19" t="s">
        <v>892</v>
      </c>
      <c r="BF19" s="1" t="s">
        <v>159</v>
      </c>
      <c r="BG19">
        <v>1</v>
      </c>
      <c r="BH19" t="s">
        <v>893</v>
      </c>
      <c r="BI19">
        <v>2002</v>
      </c>
      <c r="BJ19" t="s">
        <v>126</v>
      </c>
      <c r="BK19" t="s">
        <v>801</v>
      </c>
      <c r="BL19" t="s">
        <v>150</v>
      </c>
      <c r="BM19">
        <f>VLOOKUP(AnalizaCzyste[[#This Row],[Moja satysfakcja z (efektów) usług edukacyjnych ocenianej uczelni jest wysoka.8]],SkalaLikerta[],2,0)</f>
        <v>6</v>
      </c>
      <c r="BN19" t="s">
        <v>150</v>
      </c>
      <c r="BO19" t="s">
        <v>150</v>
      </c>
      <c r="BP19" t="s">
        <v>236</v>
      </c>
      <c r="BQ19" t="s">
        <v>128</v>
      </c>
      <c r="BR19">
        <v>3</v>
      </c>
      <c r="BT19" t="s">
        <v>157</v>
      </c>
      <c r="BW19" t="s">
        <v>173</v>
      </c>
      <c r="DA19" s="1" t="s">
        <v>123</v>
      </c>
      <c r="DE19" t="e">
        <f>VLOOKUP(AnalizaCzyste[[#This Row],[Moja satysfakcja z pracy na ocenianej uczelni jest wysoka.]],SkalaLikerta[],2,0)</f>
        <v>#N/A</v>
      </c>
      <c r="DL19" s="1" t="s">
        <v>123</v>
      </c>
      <c r="DP19" t="e">
        <f>VLOOKUP(AnalizaCzyste[[#This Row],[Moja satysfakcja z pracy na ocenianej uczelni jest wysoka.42]],SkalaLikerta[],2,0)</f>
        <v>#N/A</v>
      </c>
      <c r="DW19" s="1" t="s">
        <v>123</v>
      </c>
      <c r="EJ19" t="e">
        <f>VLOOKUP(AnalizaCzyste[[#This Row],[Ogólny poziom mojej satysfakcji z jakości usług edukacyjnych ocenianej uczelni jest wysoki.]],SkalaLikerta[],2,0)</f>
        <v>#N/A</v>
      </c>
      <c r="FA19" s="1" t="s">
        <v>123</v>
      </c>
      <c r="FF19" t="e">
        <f>VLOOKUP(AnalizaCzyste[[#This Row],[Moja satysfakcja z (efektów) usług edukacyjnych na ocenianej uczelni jest wysoka.]],SkalaLikerta[],2,0)</f>
        <v>#N/A</v>
      </c>
      <c r="GB19" s="1" t="s">
        <v>123</v>
      </c>
      <c r="GC19" t="s">
        <v>132</v>
      </c>
      <c r="GN19" t="e">
        <f>VLOOKUP(AnalizaCzyste[[#This Row],[Ogólny poziom mojej satysfakcji z jakości usług edukacyjnych ocenianej uczelni jest wysoki.32]],SkalaLikerta[],2,0)</f>
        <v>#N/A</v>
      </c>
      <c r="HK19" t="s">
        <v>532</v>
      </c>
      <c r="HL19" t="s">
        <v>532</v>
      </c>
      <c r="HM19" t="s">
        <v>532</v>
      </c>
      <c r="HN19" t="s">
        <v>186</v>
      </c>
      <c r="HO19">
        <v>1950</v>
      </c>
      <c r="HP19" t="str">
        <f>VLOOKUP(AnalizaCzyste[[#This Row],[Rok urodzenia]],KategorieWiekowe[],2,1)</f>
        <v>powyżej 65 lat</v>
      </c>
      <c r="HQ19" t="s">
        <v>141</v>
      </c>
    </row>
    <row r="20" spans="1:229" x14ac:dyDescent="0.45">
      <c r="A20">
        <v>114</v>
      </c>
      <c r="B20">
        <f>_xlfn.IFNA(VLOOKUP(AnalizaCzyste[[#This Row],[Zakończono wypełnianie]],Zakończone[],2,0),"BRAK")</f>
        <v>68</v>
      </c>
      <c r="C20">
        <f t="shared" si="0"/>
        <v>55</v>
      </c>
      <c r="D20" t="s">
        <v>1077</v>
      </c>
      <c r="E20" t="s">
        <v>118</v>
      </c>
      <c r="J20" t="s">
        <v>119</v>
      </c>
      <c r="K20" t="s">
        <v>1078</v>
      </c>
      <c r="L20" t="s">
        <v>1079</v>
      </c>
      <c r="M20">
        <v>862</v>
      </c>
      <c r="O20">
        <v>0</v>
      </c>
      <c r="P20" t="s">
        <v>122</v>
      </c>
      <c r="Q20" s="1" t="s">
        <v>123</v>
      </c>
      <c r="V20" t="e">
        <f>VLOOKUP(AnalizaCzyste[[#This Row],[Moja satysfakcja z usług edukacyjnych ocenianej uczelni jest wysoka.]],SkalaLikerta[],2,0)</f>
        <v>#N/A</v>
      </c>
      <c r="AH20" s="1" t="s">
        <v>124</v>
      </c>
      <c r="AI20" t="s">
        <v>223</v>
      </c>
      <c r="AJ20" t="str">
        <f>VLOOKUP(AnalizaCzyste[[#This Row],[Jak się nazywa uczelnia którą ukończyłeś? (proszę o wybranie jednej uczelni podlegającej ocenie)]],KategorieUczelni[],2,0)</f>
        <v>Publiczna</v>
      </c>
      <c r="AK20" t="str">
        <f>VLOOKUP(AnalizaCzyste[[#This Row],[Jak się nazywa uczelnia którą ukończyłeś? (proszę o wybranie jednej uczelni podlegającej ocenie)]],KategorieUczelni[],3,0)</f>
        <v>Nietechniczna</v>
      </c>
      <c r="AL20">
        <f>COUNTIF(AnalizaCzyste[[#This Row],[Czy jesteś absolwentem uczelni wyższej?]],"*"&amp;"Tak"&amp;"*")</f>
        <v>1</v>
      </c>
      <c r="AM20">
        <v>2007</v>
      </c>
      <c r="AN20" t="s">
        <v>148</v>
      </c>
      <c r="AO20" t="s">
        <v>969</v>
      </c>
      <c r="AP20" t="s">
        <v>151</v>
      </c>
      <c r="AQ20">
        <f>VLOOKUP(AnalizaCzyste[[#This Row],[Moja satysfakcja z (efektów) usług edukacyjnych ocenianej uczelni jest wysoka.]],SkalaLikerta[],2,0)</f>
        <v>4</v>
      </c>
      <c r="AR20" t="s">
        <v>151</v>
      </c>
      <c r="AS20" t="s">
        <v>150</v>
      </c>
      <c r="AT20" t="s">
        <v>162</v>
      </c>
      <c r="AU20" t="s">
        <v>150</v>
      </c>
      <c r="AV20" t="s">
        <v>237</v>
      </c>
      <c r="AW20" t="s">
        <v>131</v>
      </c>
      <c r="AX20">
        <f>VLOOKUP(AnalizaCzyste[[#This Row],[w pierwszym roku po ukończeniu studiów : wybierz wartość z listy rozwijanej4]],Zarobki[],2,0)</f>
        <v>1500</v>
      </c>
      <c r="AY20" t="s">
        <v>302</v>
      </c>
      <c r="AZ20">
        <f>VLOOKUP(AnalizaCzyste[[#This Row],[w 3 lata po ukończeniu studiów : wybierz wartość z listy rozwijanej5]],Zarobki[],2,0)</f>
        <v>2500</v>
      </c>
      <c r="BB20" t="s">
        <v>1080</v>
      </c>
      <c r="BC20" t="s">
        <v>1081</v>
      </c>
      <c r="BD20" t="s">
        <v>230</v>
      </c>
      <c r="BF20" s="1" t="s">
        <v>123</v>
      </c>
      <c r="BM20" t="e">
        <f>VLOOKUP(AnalizaCzyste[[#This Row],[Moja satysfakcja z (efektów) usług edukacyjnych ocenianej uczelni jest wysoka.8]],SkalaLikerta[],2,0)</f>
        <v>#N/A</v>
      </c>
      <c r="DA20" s="1" t="s">
        <v>123</v>
      </c>
      <c r="DE20" t="e">
        <f>VLOOKUP(AnalizaCzyste[[#This Row],[Moja satysfakcja z pracy na ocenianej uczelni jest wysoka.]],SkalaLikerta[],2,0)</f>
        <v>#N/A</v>
      </c>
      <c r="DL20" s="1" t="s">
        <v>123</v>
      </c>
      <c r="DP20" t="e">
        <f>VLOOKUP(AnalizaCzyste[[#This Row],[Moja satysfakcja z pracy na ocenianej uczelni jest wysoka.42]],SkalaLikerta[],2,0)</f>
        <v>#N/A</v>
      </c>
      <c r="DW20" s="1" t="s">
        <v>123</v>
      </c>
      <c r="EJ20" t="e">
        <f>VLOOKUP(AnalizaCzyste[[#This Row],[Ogólny poziom mojej satysfakcji z jakości usług edukacyjnych ocenianej uczelni jest wysoki.]],SkalaLikerta[],2,0)</f>
        <v>#N/A</v>
      </c>
      <c r="FA20" s="1" t="s">
        <v>123</v>
      </c>
      <c r="FB20" t="s">
        <v>178</v>
      </c>
      <c r="FC20" t="s">
        <v>132</v>
      </c>
      <c r="FD20" t="s">
        <v>223</v>
      </c>
      <c r="FE20" t="s">
        <v>151</v>
      </c>
      <c r="FF20">
        <f>VLOOKUP(AnalizaCzyste[[#This Row],[Moja satysfakcja z (efektów) usług edukacyjnych na ocenianej uczelni jest wysoka.]],SkalaLikerta[],2,0)</f>
        <v>4</v>
      </c>
      <c r="FG20" t="s">
        <v>151</v>
      </c>
      <c r="FH20" t="s">
        <v>151</v>
      </c>
      <c r="FI20" t="s">
        <v>178</v>
      </c>
      <c r="FK20" t="s">
        <v>1083</v>
      </c>
      <c r="FL20" t="s">
        <v>173</v>
      </c>
      <c r="GB20" s="1" t="s">
        <v>123</v>
      </c>
      <c r="GC20" t="s">
        <v>132</v>
      </c>
      <c r="GE20" t="s">
        <v>132</v>
      </c>
      <c r="GN20" t="e">
        <f>VLOOKUP(AnalizaCzyste[[#This Row],[Ogólny poziom mojej satysfakcji z jakości usług edukacyjnych ocenianej uczelni jest wysoki.32]],SkalaLikerta[],2,0)</f>
        <v>#N/A</v>
      </c>
      <c r="HK20" t="s">
        <v>1084</v>
      </c>
      <c r="HL20" t="s">
        <v>1085</v>
      </c>
      <c r="HM20" t="s">
        <v>1086</v>
      </c>
      <c r="HN20" t="s">
        <v>140</v>
      </c>
      <c r="HO20">
        <v>1982</v>
      </c>
      <c r="HP20" t="str">
        <f>VLOOKUP(AnalizaCzyste[[#This Row],[Rok urodzenia]],KategorieWiekowe[],2,1)</f>
        <v>36–45 lat</v>
      </c>
      <c r="HQ20" t="s">
        <v>141</v>
      </c>
    </row>
    <row r="21" spans="1:229" x14ac:dyDescent="0.45">
      <c r="A21">
        <v>127</v>
      </c>
      <c r="B21">
        <f>_xlfn.IFNA(VLOOKUP(AnalizaCzyste[[#This Row],[Zakończono wypełnianie]],Zakończone[],2,0),"BRAK")</f>
        <v>76</v>
      </c>
      <c r="C21">
        <f t="shared" si="0"/>
        <v>55</v>
      </c>
      <c r="D21" t="s">
        <v>1192</v>
      </c>
      <c r="E21" t="s">
        <v>118</v>
      </c>
      <c r="J21" t="s">
        <v>119</v>
      </c>
      <c r="K21" t="s">
        <v>1193</v>
      </c>
      <c r="L21" t="s">
        <v>1194</v>
      </c>
      <c r="M21">
        <v>1676</v>
      </c>
      <c r="O21">
        <v>0</v>
      </c>
      <c r="P21" t="s">
        <v>122</v>
      </c>
      <c r="Q21" s="1" t="s">
        <v>123</v>
      </c>
      <c r="V21" t="e">
        <f>VLOOKUP(AnalizaCzyste[[#This Row],[Moja satysfakcja z usług edukacyjnych ocenianej uczelni jest wysoka.]],SkalaLikerta[],2,0)</f>
        <v>#N/A</v>
      </c>
      <c r="AH21" s="1" t="s">
        <v>124</v>
      </c>
      <c r="AI21" t="s">
        <v>223</v>
      </c>
      <c r="AJ21" t="str">
        <f>VLOOKUP(AnalizaCzyste[[#This Row],[Jak się nazywa uczelnia którą ukończyłeś? (proszę o wybranie jednej uczelni podlegającej ocenie)]],KategorieUczelni[],2,0)</f>
        <v>Publiczna</v>
      </c>
      <c r="AK21" t="str">
        <f>VLOOKUP(AnalizaCzyste[[#This Row],[Jak się nazywa uczelnia którą ukończyłeś? (proszę o wybranie jednej uczelni podlegającej ocenie)]],KategorieUczelni[],3,0)</f>
        <v>Nietechniczna</v>
      </c>
      <c r="AL21">
        <f>COUNTIF(AnalizaCzyste[[#This Row],[Czy jesteś absolwentem uczelni wyższej?]],"*"&amp;"Tak"&amp;"*")</f>
        <v>1</v>
      </c>
      <c r="AM21">
        <v>1998</v>
      </c>
      <c r="AN21" t="s">
        <v>148</v>
      </c>
      <c r="AO21" t="s">
        <v>1195</v>
      </c>
      <c r="AP21" t="s">
        <v>162</v>
      </c>
      <c r="AQ21">
        <f>VLOOKUP(AnalizaCzyste[[#This Row],[Moja satysfakcja z (efektów) usług edukacyjnych ocenianej uczelni jest wysoka.]],SkalaLikerta[],2,0)</f>
        <v>5</v>
      </c>
      <c r="AR21" t="s">
        <v>151</v>
      </c>
      <c r="AS21" t="s">
        <v>151</v>
      </c>
      <c r="AT21" t="s">
        <v>236</v>
      </c>
      <c r="AU21" t="s">
        <v>151</v>
      </c>
      <c r="AV21">
        <v>0</v>
      </c>
      <c r="AW21" t="s">
        <v>131</v>
      </c>
      <c r="AX21">
        <f>VLOOKUP(AnalizaCzyste[[#This Row],[w pierwszym roku po ukończeniu studiów : wybierz wartość z listy rozwijanej4]],Zarobki[],2,0)</f>
        <v>1500</v>
      </c>
      <c r="AY21" t="s">
        <v>302</v>
      </c>
      <c r="AZ21">
        <f>VLOOKUP(AnalizaCzyste[[#This Row],[w 3 lata po ukończeniu studiów : wybierz wartość z listy rozwijanej5]],Zarobki[],2,0)</f>
        <v>2500</v>
      </c>
      <c r="BA21" t="s">
        <v>1196</v>
      </c>
      <c r="BB21" t="s">
        <v>1196</v>
      </c>
      <c r="BC21" t="s">
        <v>1197</v>
      </c>
      <c r="BD21" t="s">
        <v>157</v>
      </c>
      <c r="BF21" s="1" t="s">
        <v>123</v>
      </c>
      <c r="BM21" t="e">
        <f>VLOOKUP(AnalizaCzyste[[#This Row],[Moja satysfakcja z (efektów) usług edukacyjnych ocenianej uczelni jest wysoka.8]],SkalaLikerta[],2,0)</f>
        <v>#N/A</v>
      </c>
      <c r="DA21" s="1" t="s">
        <v>123</v>
      </c>
      <c r="DE21" t="e">
        <f>VLOOKUP(AnalizaCzyste[[#This Row],[Moja satysfakcja z pracy na ocenianej uczelni jest wysoka.]],SkalaLikerta[],2,0)</f>
        <v>#N/A</v>
      </c>
      <c r="DL21" s="1" t="s">
        <v>123</v>
      </c>
      <c r="DP21" t="e">
        <f>VLOOKUP(AnalizaCzyste[[#This Row],[Moja satysfakcja z pracy na ocenianej uczelni jest wysoka.42]],SkalaLikerta[],2,0)</f>
        <v>#N/A</v>
      </c>
      <c r="DW21" s="1" t="s">
        <v>123</v>
      </c>
      <c r="EJ21" t="e">
        <f>VLOOKUP(AnalizaCzyste[[#This Row],[Ogólny poziom mojej satysfakcji z jakości usług edukacyjnych ocenianej uczelni jest wysoki.]],SkalaLikerta[],2,0)</f>
        <v>#N/A</v>
      </c>
      <c r="FA21" s="1" t="s">
        <v>177</v>
      </c>
      <c r="FB21" t="s">
        <v>180</v>
      </c>
      <c r="FC21" t="s">
        <v>132</v>
      </c>
      <c r="FE21" t="s">
        <v>151</v>
      </c>
      <c r="FF21">
        <f>VLOOKUP(AnalizaCzyste[[#This Row],[Moja satysfakcja z (efektów) usług edukacyjnych na ocenianej uczelni jest wysoka.]],SkalaLikerta[],2,0)</f>
        <v>4</v>
      </c>
      <c r="FG21" t="s">
        <v>151</v>
      </c>
      <c r="FH21" t="s">
        <v>151</v>
      </c>
      <c r="FI21" t="s">
        <v>178</v>
      </c>
      <c r="FJ21" t="s">
        <v>132</v>
      </c>
      <c r="FK21" t="s">
        <v>132</v>
      </c>
      <c r="FL21" t="s">
        <v>173</v>
      </c>
      <c r="GB21" s="1" t="s">
        <v>123</v>
      </c>
      <c r="GN21" t="e">
        <f>VLOOKUP(AnalizaCzyste[[#This Row],[Ogólny poziom mojej satysfakcji z jakości usług edukacyjnych ocenianej uczelni jest wysoki.32]],SkalaLikerta[],2,0)</f>
        <v>#N/A</v>
      </c>
      <c r="HK21" t="s">
        <v>1198</v>
      </c>
      <c r="HL21" t="s">
        <v>1199</v>
      </c>
      <c r="HM21" t="s">
        <v>1198</v>
      </c>
      <c r="HN21" t="s">
        <v>186</v>
      </c>
      <c r="HO21">
        <v>1974</v>
      </c>
      <c r="HP21" t="str">
        <f>VLOOKUP(AnalizaCzyste[[#This Row],[Rok urodzenia]],KategorieWiekowe[],2,1)</f>
        <v>46–55 lat</v>
      </c>
      <c r="HQ21" t="s">
        <v>141</v>
      </c>
      <c r="HR21" t="s">
        <v>313</v>
      </c>
    </row>
    <row r="22" spans="1:229" x14ac:dyDescent="0.45">
      <c r="A22">
        <v>233</v>
      </c>
      <c r="B22">
        <f>_xlfn.IFNA(VLOOKUP(AnalizaCzyste[[#This Row],[Zakończono wypełnianie]],Zakończone[],2,0),"BRAK")</f>
        <v>125</v>
      </c>
      <c r="C22">
        <f t="shared" si="0"/>
        <v>57</v>
      </c>
      <c r="D22" t="s">
        <v>1880</v>
      </c>
      <c r="E22" t="s">
        <v>118</v>
      </c>
      <c r="F22" t="s">
        <v>359</v>
      </c>
      <c r="J22" t="s">
        <v>119</v>
      </c>
      <c r="K22" t="s">
        <v>1881</v>
      </c>
      <c r="L22" t="s">
        <v>1882</v>
      </c>
      <c r="M22">
        <v>627</v>
      </c>
      <c r="O22">
        <v>0</v>
      </c>
      <c r="P22" t="s">
        <v>122</v>
      </c>
      <c r="Q22" s="1" t="s">
        <v>123</v>
      </c>
      <c r="V22" t="e">
        <f>VLOOKUP(AnalizaCzyste[[#This Row],[Moja satysfakcja z usług edukacyjnych ocenianej uczelni jest wysoka.]],SkalaLikerta[],2,0)</f>
        <v>#N/A</v>
      </c>
      <c r="AH22" s="1" t="s">
        <v>124</v>
      </c>
      <c r="AI22" t="s">
        <v>191</v>
      </c>
      <c r="AJ22" s="20" t="str">
        <f>VLOOKUP(AnalizaCzyste[[#This Row],[Jak się nazywa uczelnia którą ukończyłeś? (proszę o wybranie jednej uczelni podlegającej ocenie)]],KategorieUczelni[],2,0)</f>
        <v>Publiczna</v>
      </c>
      <c r="AK22" s="20" t="str">
        <f>VLOOKUP(AnalizaCzyste[[#This Row],[Jak się nazywa uczelnia którą ukończyłeś? (proszę o wybranie jednej uczelni podlegającej ocenie)]],KategorieUczelni[],3,0)</f>
        <v>Techniczna</v>
      </c>
      <c r="AL22" s="20">
        <f>COUNTIF(AnalizaCzyste[[#This Row],[Czy jesteś absolwentem uczelni wyższej?]],"*"&amp;"Tak"&amp;"*")</f>
        <v>1</v>
      </c>
      <c r="AM22">
        <v>2011</v>
      </c>
      <c r="AN22" t="s">
        <v>126</v>
      </c>
      <c r="AO22" t="s">
        <v>1883</v>
      </c>
      <c r="AP22" t="s">
        <v>169</v>
      </c>
      <c r="AQ22">
        <f>VLOOKUP(AnalizaCzyste[[#This Row],[Moja satysfakcja z (efektów) usług edukacyjnych ocenianej uczelni jest wysoka.]],SkalaLikerta[],2,0)</f>
        <v>7</v>
      </c>
      <c r="AR22" t="s">
        <v>169</v>
      </c>
      <c r="AS22" t="s">
        <v>169</v>
      </c>
      <c r="AT22" t="s">
        <v>151</v>
      </c>
      <c r="AU22" t="s">
        <v>150</v>
      </c>
      <c r="AV22" t="s">
        <v>1884</v>
      </c>
      <c r="AW22" t="s">
        <v>131</v>
      </c>
      <c r="AX22">
        <f>VLOOKUP(AnalizaCzyste[[#This Row],[w pierwszym roku po ukończeniu studiów : wybierz wartość z listy rozwijanej4]],Zarobki[],2,0)</f>
        <v>1500</v>
      </c>
      <c r="AY22" t="s">
        <v>153</v>
      </c>
      <c r="AZ22">
        <f>VLOOKUP(AnalizaCzyste[[#This Row],[w 3 lata po ukończeniu studiów : wybierz wartość z listy rozwijanej5]],Zarobki[],2,0)</f>
        <v>3500</v>
      </c>
      <c r="BA22" t="s">
        <v>1885</v>
      </c>
      <c r="BB22" t="s">
        <v>1886</v>
      </c>
      <c r="BC22" t="s">
        <v>1887</v>
      </c>
      <c r="BD22" t="s">
        <v>157</v>
      </c>
      <c r="BE22" t="s">
        <v>1888</v>
      </c>
      <c r="BF22" s="1" t="s">
        <v>123</v>
      </c>
      <c r="BM22" t="e">
        <f>VLOOKUP(AnalizaCzyste[[#This Row],[Moja satysfakcja z (efektów) usług edukacyjnych ocenianej uczelni jest wysoka.8]],SkalaLikerta[],2,0)</f>
        <v>#N/A</v>
      </c>
      <c r="DA22" s="1" t="s">
        <v>123</v>
      </c>
      <c r="DE22" t="e">
        <f>VLOOKUP(AnalizaCzyste[[#This Row],[Moja satysfakcja z pracy na ocenianej uczelni jest wysoka.]],SkalaLikerta[],2,0)</f>
        <v>#N/A</v>
      </c>
      <c r="DL22" s="1" t="s">
        <v>123</v>
      </c>
      <c r="DP22" t="e">
        <f>VLOOKUP(AnalizaCzyste[[#This Row],[Moja satysfakcja z pracy na ocenianej uczelni jest wysoka.42]],SkalaLikerta[],2,0)</f>
        <v>#N/A</v>
      </c>
      <c r="DW22" s="1" t="s">
        <v>123</v>
      </c>
      <c r="EJ22" t="e">
        <f>VLOOKUP(AnalizaCzyste[[#This Row],[Ogólny poziom mojej satysfakcji z jakości usług edukacyjnych ocenianej uczelni jest wysoki.]],SkalaLikerta[],2,0)</f>
        <v>#N/A</v>
      </c>
      <c r="FA22" s="1" t="s">
        <v>177</v>
      </c>
      <c r="FB22" t="s">
        <v>180</v>
      </c>
      <c r="FC22" t="s">
        <v>132</v>
      </c>
      <c r="FE22" t="s">
        <v>132</v>
      </c>
      <c r="FF22" t="str">
        <f>VLOOKUP(AnalizaCzyste[[#This Row],[Moja satysfakcja z (efektów) usług edukacyjnych na ocenianej uczelni jest wysoka.]],SkalaLikerta[],2,0)</f>
        <v>N/D</v>
      </c>
      <c r="FG22" t="s">
        <v>132</v>
      </c>
      <c r="FH22" t="s">
        <v>132</v>
      </c>
      <c r="FI22" t="s">
        <v>180</v>
      </c>
      <c r="FJ22" t="s">
        <v>1889</v>
      </c>
      <c r="FK22" t="s">
        <v>1889</v>
      </c>
      <c r="FL22" t="s">
        <v>173</v>
      </c>
      <c r="GB22" s="1" t="s">
        <v>123</v>
      </c>
      <c r="GN22" t="e">
        <f>VLOOKUP(AnalizaCzyste[[#This Row],[Ogólny poziom mojej satysfakcji z jakości usług edukacyjnych ocenianej uczelni jest wysoki.32]],SkalaLikerta[],2,0)</f>
        <v>#N/A</v>
      </c>
      <c r="HK22" t="s">
        <v>1889</v>
      </c>
      <c r="HL22" t="s">
        <v>1889</v>
      </c>
      <c r="HM22" t="s">
        <v>1889</v>
      </c>
      <c r="HN22" t="s">
        <v>140</v>
      </c>
      <c r="HO22">
        <v>1987</v>
      </c>
      <c r="HP22" t="str">
        <f>VLOOKUP(AnalizaCzyste[[#This Row],[Rok urodzenia]],KategorieWiekowe[],2,1)</f>
        <v>26–35 lat</v>
      </c>
      <c r="HQ22" t="s">
        <v>220</v>
      </c>
      <c r="HS22" t="s">
        <v>1889</v>
      </c>
      <c r="HT22" t="s">
        <v>1889</v>
      </c>
    </row>
    <row r="23" spans="1:229" x14ac:dyDescent="0.45">
      <c r="A23">
        <v>145</v>
      </c>
      <c r="B23">
        <f>_xlfn.IFNA(VLOOKUP(AnalizaCzyste[[#This Row],[Zakończono wypełnianie]],Zakończone[],2,0),"BRAK")</f>
        <v>86</v>
      </c>
      <c r="C23">
        <f t="shared" si="0"/>
        <v>57</v>
      </c>
      <c r="D23" t="s">
        <v>1336</v>
      </c>
      <c r="E23" t="s">
        <v>118</v>
      </c>
      <c r="J23" t="s">
        <v>119</v>
      </c>
      <c r="K23" t="s">
        <v>1337</v>
      </c>
      <c r="L23" t="s">
        <v>1338</v>
      </c>
      <c r="M23">
        <v>516</v>
      </c>
      <c r="O23">
        <v>0</v>
      </c>
      <c r="P23" t="s">
        <v>122</v>
      </c>
      <c r="Q23" s="1" t="s">
        <v>123</v>
      </c>
      <c r="V23" t="e">
        <f>VLOOKUP(AnalizaCzyste[[#This Row],[Moja satysfakcja z usług edukacyjnych ocenianej uczelni jest wysoka.]],SkalaLikerta[],2,0)</f>
        <v>#N/A</v>
      </c>
      <c r="AH23" s="1" t="s">
        <v>124</v>
      </c>
      <c r="AI23" t="s">
        <v>191</v>
      </c>
      <c r="AJ23" t="str">
        <f>VLOOKUP(AnalizaCzyste[[#This Row],[Jak się nazywa uczelnia którą ukończyłeś? (proszę o wybranie jednej uczelni podlegającej ocenie)]],KategorieUczelni[],2,0)</f>
        <v>Publiczna</v>
      </c>
      <c r="AK23" t="str">
        <f>VLOOKUP(AnalizaCzyste[[#This Row],[Jak się nazywa uczelnia którą ukończyłeś? (proszę o wybranie jednej uczelni podlegającej ocenie)]],KategorieUczelni[],3,0)</f>
        <v>Techniczna</v>
      </c>
      <c r="AL23">
        <f>COUNTIF(AnalizaCzyste[[#This Row],[Czy jesteś absolwentem uczelni wyższej?]],"*"&amp;"Tak"&amp;"*")</f>
        <v>1</v>
      </c>
      <c r="AM23">
        <v>2007</v>
      </c>
      <c r="AN23" t="s">
        <v>126</v>
      </c>
      <c r="AO23" t="s">
        <v>1339</v>
      </c>
      <c r="AP23" t="s">
        <v>162</v>
      </c>
      <c r="AQ23">
        <f>VLOOKUP(AnalizaCzyste[[#This Row],[Moja satysfakcja z (efektów) usług edukacyjnych ocenianej uczelni jest wysoka.]],SkalaLikerta[],2,0)</f>
        <v>5</v>
      </c>
      <c r="AR23" t="s">
        <v>162</v>
      </c>
      <c r="AS23" t="s">
        <v>150</v>
      </c>
      <c r="AT23" t="s">
        <v>169</v>
      </c>
      <c r="AU23" t="s">
        <v>169</v>
      </c>
      <c r="AV23" t="s">
        <v>1340</v>
      </c>
      <c r="AW23" t="s">
        <v>131</v>
      </c>
      <c r="AX23">
        <f>VLOOKUP(AnalizaCzyste[[#This Row],[w pierwszym roku po ukończeniu studiów : wybierz wartość z listy rozwijanej4]],Zarobki[],2,0)</f>
        <v>1500</v>
      </c>
      <c r="AY23" t="s">
        <v>759</v>
      </c>
      <c r="AZ23">
        <f>VLOOKUP(AnalizaCzyste[[#This Row],[w 3 lata po ukończeniu studiów : wybierz wartość z listy rozwijanej5]],Zarobki[],2,0)</f>
        <v>5500</v>
      </c>
      <c r="BA23" t="s">
        <v>1341</v>
      </c>
      <c r="BB23" t="s">
        <v>1342</v>
      </c>
      <c r="BC23" t="s">
        <v>1343</v>
      </c>
      <c r="BD23" t="s">
        <v>157</v>
      </c>
      <c r="BE23" t="s">
        <v>1344</v>
      </c>
      <c r="BF23" s="1" t="s">
        <v>123</v>
      </c>
      <c r="BM23" t="e">
        <f>VLOOKUP(AnalizaCzyste[[#This Row],[Moja satysfakcja z (efektów) usług edukacyjnych ocenianej uczelni jest wysoka.8]],SkalaLikerta[],2,0)</f>
        <v>#N/A</v>
      </c>
      <c r="DA23" s="1" t="s">
        <v>123</v>
      </c>
      <c r="DE23" t="e">
        <f>VLOOKUP(AnalizaCzyste[[#This Row],[Moja satysfakcja z pracy na ocenianej uczelni jest wysoka.]],SkalaLikerta[],2,0)</f>
        <v>#N/A</v>
      </c>
      <c r="DL23" s="1" t="s">
        <v>123</v>
      </c>
      <c r="DP23" t="e">
        <f>VLOOKUP(AnalizaCzyste[[#This Row],[Moja satysfakcja z pracy na ocenianej uczelni jest wysoka.42]],SkalaLikerta[],2,0)</f>
        <v>#N/A</v>
      </c>
      <c r="DW23" s="1" t="s">
        <v>123</v>
      </c>
      <c r="EJ23" t="e">
        <f>VLOOKUP(AnalizaCzyste[[#This Row],[Ogólny poziom mojej satysfakcji z jakości usług edukacyjnych ocenianej uczelni jest wysoki.]],SkalaLikerta[],2,0)</f>
        <v>#N/A</v>
      </c>
      <c r="FA23" s="1" t="s">
        <v>177</v>
      </c>
      <c r="FB23" t="s">
        <v>178</v>
      </c>
      <c r="FC23" t="s">
        <v>132</v>
      </c>
      <c r="FD23" s="20" t="s">
        <v>191</v>
      </c>
      <c r="FE23" t="s">
        <v>236</v>
      </c>
      <c r="FF23">
        <f>VLOOKUP(AnalizaCzyste[[#This Row],[Moja satysfakcja z (efektów) usług edukacyjnych na ocenianej uczelni jest wysoka.]],SkalaLikerta[],2,0)</f>
        <v>2</v>
      </c>
      <c r="FG23" t="s">
        <v>236</v>
      </c>
      <c r="FH23" t="s">
        <v>151</v>
      </c>
      <c r="FI23" t="s">
        <v>178</v>
      </c>
      <c r="FJ23" t="s">
        <v>1345</v>
      </c>
      <c r="FK23" t="s">
        <v>1346</v>
      </c>
      <c r="FL23" t="s">
        <v>173</v>
      </c>
      <c r="GB23" s="1" t="s">
        <v>123</v>
      </c>
      <c r="GN23" t="e">
        <f>VLOOKUP(AnalizaCzyste[[#This Row],[Ogólny poziom mojej satysfakcji z jakości usług edukacyjnych ocenianej uczelni jest wysoki.32]],SkalaLikerta[],2,0)</f>
        <v>#N/A</v>
      </c>
      <c r="HK23" t="s">
        <v>1347</v>
      </c>
      <c r="HL23" t="s">
        <v>1348</v>
      </c>
      <c r="HM23" t="s">
        <v>1349</v>
      </c>
      <c r="HN23" t="s">
        <v>186</v>
      </c>
      <c r="HO23">
        <v>1982</v>
      </c>
      <c r="HP23" t="str">
        <f>VLOOKUP(AnalizaCzyste[[#This Row],[Rok urodzenia]],KategorieWiekowe[],2,1)</f>
        <v>36–45 lat</v>
      </c>
      <c r="HQ23" t="s">
        <v>141</v>
      </c>
      <c r="HS23" t="s">
        <v>1350</v>
      </c>
    </row>
    <row r="24" spans="1:229" x14ac:dyDescent="0.45">
      <c r="A24">
        <v>102</v>
      </c>
      <c r="B24">
        <f>_xlfn.IFNA(VLOOKUP(AnalizaCzyste[[#This Row],[Zakończono wypełnianie]],Zakończone[],2,0),"BRAK")</f>
        <v>63</v>
      </c>
      <c r="C24">
        <f t="shared" si="0"/>
        <v>58</v>
      </c>
      <c r="D24" t="s">
        <v>999</v>
      </c>
      <c r="E24" t="s">
        <v>118</v>
      </c>
      <c r="F24" t="s">
        <v>260</v>
      </c>
      <c r="J24" t="s">
        <v>119</v>
      </c>
      <c r="K24" t="s">
        <v>1000</v>
      </c>
      <c r="L24" t="s">
        <v>1001</v>
      </c>
      <c r="M24">
        <v>18013</v>
      </c>
      <c r="O24">
        <v>0</v>
      </c>
      <c r="P24" t="s">
        <v>122</v>
      </c>
      <c r="Q24" s="1" t="s">
        <v>123</v>
      </c>
      <c r="V24" t="e">
        <f>VLOOKUP(AnalizaCzyste[[#This Row],[Moja satysfakcja z usług edukacyjnych ocenianej uczelni jest wysoka.]],SkalaLikerta[],2,0)</f>
        <v>#N/A</v>
      </c>
      <c r="AH24" s="1" t="s">
        <v>124</v>
      </c>
      <c r="AI24" t="s">
        <v>2271</v>
      </c>
      <c r="AJ24" t="str">
        <f>VLOOKUP(AnalizaCzyste[[#This Row],[Jak się nazywa uczelnia którą ukończyłeś? (proszę o wybranie jednej uczelni podlegającej ocenie)]],KategorieUczelni[],2,0)</f>
        <v>Publiczna</v>
      </c>
      <c r="AK24" t="str">
        <f>VLOOKUP(AnalizaCzyste[[#This Row],[Jak się nazywa uczelnia którą ukończyłeś? (proszę o wybranie jednej uczelni podlegającej ocenie)]],KategorieUczelni[],3,0)</f>
        <v>Nietechniczna</v>
      </c>
      <c r="AL24">
        <f>COUNTIF(AnalizaCzyste[[#This Row],[Czy jesteś absolwentem uczelni wyższej?]],"*"&amp;"Tak"&amp;"*")</f>
        <v>1</v>
      </c>
      <c r="AM24">
        <v>1996</v>
      </c>
      <c r="AN24" t="s">
        <v>148</v>
      </c>
      <c r="AO24" t="s">
        <v>1003</v>
      </c>
      <c r="AP24" t="s">
        <v>150</v>
      </c>
      <c r="AQ24">
        <f>VLOOKUP(AnalizaCzyste[[#This Row],[Moja satysfakcja z (efektów) usług edukacyjnych ocenianej uczelni jest wysoka.]],SkalaLikerta[],2,0)</f>
        <v>6</v>
      </c>
      <c r="AR24" t="s">
        <v>150</v>
      </c>
      <c r="AS24" t="s">
        <v>162</v>
      </c>
      <c r="AT24" t="s">
        <v>129</v>
      </c>
      <c r="AU24" t="s">
        <v>236</v>
      </c>
      <c r="AV24">
        <v>1</v>
      </c>
      <c r="AW24" t="s">
        <v>131</v>
      </c>
      <c r="AX24">
        <f>VLOOKUP(AnalizaCzyste[[#This Row],[w pierwszym roku po ukończeniu studiów : wybierz wartość z listy rozwijanej4]],Zarobki[],2,0)</f>
        <v>1500</v>
      </c>
      <c r="AY24" t="s">
        <v>153</v>
      </c>
      <c r="AZ24">
        <f>VLOOKUP(AnalizaCzyste[[#This Row],[w 3 lata po ukończeniu studiów : wybierz wartość z listy rozwijanej5]],Zarobki[],2,0)</f>
        <v>3500</v>
      </c>
      <c r="BA24" t="s">
        <v>1004</v>
      </c>
      <c r="BB24" t="s">
        <v>1005</v>
      </c>
      <c r="BC24" t="s">
        <v>532</v>
      </c>
      <c r="BD24" t="s">
        <v>157</v>
      </c>
      <c r="BE24" t="s">
        <v>1006</v>
      </c>
      <c r="BF24" s="1" t="s">
        <v>123</v>
      </c>
      <c r="BM24" t="e">
        <f>VLOOKUP(AnalizaCzyste[[#This Row],[Moja satysfakcja z (efektów) usług edukacyjnych ocenianej uczelni jest wysoka.8]],SkalaLikerta[],2,0)</f>
        <v>#N/A</v>
      </c>
      <c r="DA24" s="1" t="s">
        <v>123</v>
      </c>
      <c r="DE24" t="e">
        <f>VLOOKUP(AnalizaCzyste[[#This Row],[Moja satysfakcja z pracy na ocenianej uczelni jest wysoka.]],SkalaLikerta[],2,0)</f>
        <v>#N/A</v>
      </c>
      <c r="DL24" s="1" t="s">
        <v>123</v>
      </c>
      <c r="DP24" t="e">
        <f>VLOOKUP(AnalizaCzyste[[#This Row],[Moja satysfakcja z pracy na ocenianej uczelni jest wysoka.42]],SkalaLikerta[],2,0)</f>
        <v>#N/A</v>
      </c>
      <c r="DW24" s="1" t="s">
        <v>123</v>
      </c>
      <c r="EJ24" t="e">
        <f>VLOOKUP(AnalizaCzyste[[#This Row],[Ogólny poziom mojej satysfakcji z jakości usług edukacyjnych ocenianej uczelni jest wysoki.]],SkalaLikerta[],2,0)</f>
        <v>#N/A</v>
      </c>
      <c r="FA24" s="1" t="s">
        <v>177</v>
      </c>
      <c r="FB24" t="s">
        <v>178</v>
      </c>
      <c r="FC24" t="s">
        <v>132</v>
      </c>
      <c r="FD24" s="20" t="s">
        <v>2271</v>
      </c>
      <c r="FE24" t="s">
        <v>236</v>
      </c>
      <c r="FF24">
        <f>VLOOKUP(AnalizaCzyste[[#This Row],[Moja satysfakcja z (efektów) usług edukacyjnych na ocenianej uczelni jest wysoka.]],SkalaLikerta[],2,0)</f>
        <v>2</v>
      </c>
      <c r="FG24" t="s">
        <v>236</v>
      </c>
      <c r="FH24" t="s">
        <v>151</v>
      </c>
      <c r="FI24" t="s">
        <v>178</v>
      </c>
      <c r="FJ24" t="s">
        <v>1007</v>
      </c>
      <c r="FK24" t="s">
        <v>1008</v>
      </c>
      <c r="FL24" t="s">
        <v>173</v>
      </c>
      <c r="GB24" s="1" t="s">
        <v>123</v>
      </c>
      <c r="GC24" t="s">
        <v>132</v>
      </c>
      <c r="GE24" t="s">
        <v>132</v>
      </c>
      <c r="GN24" t="e">
        <f>VLOOKUP(AnalizaCzyste[[#This Row],[Ogólny poziom mojej satysfakcji z jakości usług edukacyjnych ocenianej uczelni jest wysoki.32]],SkalaLikerta[],2,0)</f>
        <v>#N/A</v>
      </c>
      <c r="HK24" t="s">
        <v>1009</v>
      </c>
      <c r="HL24" t="s">
        <v>1007</v>
      </c>
      <c r="HM24" t="s">
        <v>1009</v>
      </c>
      <c r="HN24" t="s">
        <v>186</v>
      </c>
      <c r="HO24">
        <v>1966</v>
      </c>
      <c r="HP24" t="str">
        <f>VLOOKUP(AnalizaCzyste[[#This Row],[Rok urodzenia]],KategorieWiekowe[],2,1)</f>
        <v>46–55 lat</v>
      </c>
      <c r="HQ24" t="s">
        <v>141</v>
      </c>
    </row>
    <row r="25" spans="1:229" x14ac:dyDescent="0.45">
      <c r="A25">
        <v>70</v>
      </c>
      <c r="B25">
        <f>_xlfn.IFNA(VLOOKUP(AnalizaCzyste[[#This Row],[Zakończono wypełnianie]],Zakończone[],2,0),"BRAK")</f>
        <v>39</v>
      </c>
      <c r="C25">
        <f t="shared" si="0"/>
        <v>68</v>
      </c>
      <c r="D25" t="s">
        <v>714</v>
      </c>
      <c r="E25" t="s">
        <v>118</v>
      </c>
      <c r="J25" t="s">
        <v>119</v>
      </c>
      <c r="K25" t="s">
        <v>715</v>
      </c>
      <c r="L25" t="s">
        <v>716</v>
      </c>
      <c r="M25">
        <v>1868</v>
      </c>
      <c r="O25">
        <v>0</v>
      </c>
      <c r="P25" t="s">
        <v>122</v>
      </c>
      <c r="Q25" s="1" t="s">
        <v>123</v>
      </c>
      <c r="V25" t="e">
        <f>VLOOKUP(AnalizaCzyste[[#This Row],[Moja satysfakcja z usług edukacyjnych ocenianej uczelni jest wysoka.]],SkalaLikerta[],2,0)</f>
        <v>#N/A</v>
      </c>
      <c r="AH25" s="1" t="s">
        <v>124</v>
      </c>
      <c r="AI25" t="s">
        <v>191</v>
      </c>
      <c r="AJ25" t="str">
        <f>VLOOKUP(AnalizaCzyste[[#This Row],[Jak się nazywa uczelnia którą ukończyłeś? (proszę o wybranie jednej uczelni podlegającej ocenie)]],KategorieUczelni[],2,0)</f>
        <v>Publiczna</v>
      </c>
      <c r="AK25" t="str">
        <f>VLOOKUP(AnalizaCzyste[[#This Row],[Jak się nazywa uczelnia którą ukończyłeś? (proszę o wybranie jednej uczelni podlegającej ocenie)]],KategorieUczelni[],3,0)</f>
        <v>Techniczna</v>
      </c>
      <c r="AL25">
        <f>COUNTIF(AnalizaCzyste[[#This Row],[Czy jesteś absolwentem uczelni wyższej?]],"*"&amp;"Tak"&amp;"*")</f>
        <v>1</v>
      </c>
      <c r="AM25">
        <v>2008</v>
      </c>
      <c r="AN25" t="s">
        <v>126</v>
      </c>
      <c r="AO25" t="s">
        <v>717</v>
      </c>
      <c r="AP25" t="s">
        <v>162</v>
      </c>
      <c r="AQ25">
        <f>VLOOKUP(AnalizaCzyste[[#This Row],[Moja satysfakcja z (efektów) usług edukacyjnych ocenianej uczelni jest wysoka.]],SkalaLikerta[],2,0)</f>
        <v>5</v>
      </c>
      <c r="AR25" t="s">
        <v>151</v>
      </c>
      <c r="AS25" t="s">
        <v>162</v>
      </c>
      <c r="AT25" t="s">
        <v>236</v>
      </c>
      <c r="AU25" t="s">
        <v>236</v>
      </c>
      <c r="AV25" t="s">
        <v>718</v>
      </c>
      <c r="AW25" t="s">
        <v>131</v>
      </c>
      <c r="AX25">
        <f>VLOOKUP(AnalizaCzyste[[#This Row],[w pierwszym roku po ukończeniu studiów : wybierz wartość z listy rozwijanej4]],Zarobki[],2,0)</f>
        <v>1500</v>
      </c>
      <c r="AY25" t="s">
        <v>302</v>
      </c>
      <c r="AZ25">
        <f>VLOOKUP(AnalizaCzyste[[#This Row],[w 3 lata po ukończeniu studiów : wybierz wartość z listy rozwijanej5]],Zarobki[],2,0)</f>
        <v>2500</v>
      </c>
      <c r="BA25" t="s">
        <v>719</v>
      </c>
      <c r="BB25" t="s">
        <v>720</v>
      </c>
      <c r="BC25" t="s">
        <v>721</v>
      </c>
      <c r="BD25" t="s">
        <v>172</v>
      </c>
      <c r="BF25" s="1" t="s">
        <v>123</v>
      </c>
      <c r="BM25" t="e">
        <f>VLOOKUP(AnalizaCzyste[[#This Row],[Moja satysfakcja z (efektów) usług edukacyjnych ocenianej uczelni jest wysoka.8]],SkalaLikerta[],2,0)</f>
        <v>#N/A</v>
      </c>
      <c r="DA25" s="1" t="s">
        <v>123</v>
      </c>
      <c r="DE25" t="e">
        <f>VLOOKUP(AnalizaCzyste[[#This Row],[Moja satysfakcja z pracy na ocenianej uczelni jest wysoka.]],SkalaLikerta[],2,0)</f>
        <v>#N/A</v>
      </c>
      <c r="DL25" s="1" t="s">
        <v>214</v>
      </c>
      <c r="DM25" t="s">
        <v>2275</v>
      </c>
      <c r="DN25" t="s">
        <v>2276</v>
      </c>
      <c r="DO25" t="s">
        <v>150</v>
      </c>
      <c r="DP25">
        <f>VLOOKUP(AnalizaCzyste[[#This Row],[Moja satysfakcja z pracy na ocenianej uczelni jest wysoka.42]],SkalaLikerta[],2,0)</f>
        <v>6</v>
      </c>
      <c r="DQ25" t="s">
        <v>162</v>
      </c>
      <c r="DR25" t="s">
        <v>151</v>
      </c>
      <c r="DS25" t="s">
        <v>162</v>
      </c>
      <c r="DT25" t="s">
        <v>128</v>
      </c>
      <c r="DU25" t="s">
        <v>128</v>
      </c>
      <c r="DV25" t="s">
        <v>724</v>
      </c>
      <c r="DW25" s="1" t="s">
        <v>123</v>
      </c>
      <c r="EJ25" t="e">
        <f>VLOOKUP(AnalizaCzyste[[#This Row],[Ogólny poziom mojej satysfakcji z jakości usług edukacyjnych ocenianej uczelni jest wysoki.]],SkalaLikerta[],2,0)</f>
        <v>#N/A</v>
      </c>
      <c r="FA25" s="1" t="s">
        <v>177</v>
      </c>
      <c r="FB25" t="s">
        <v>180</v>
      </c>
      <c r="FC25">
        <v>1</v>
      </c>
      <c r="FD25" s="20" t="s">
        <v>2275</v>
      </c>
      <c r="FE25" t="s">
        <v>162</v>
      </c>
      <c r="FF25">
        <f>VLOOKUP(AnalizaCzyste[[#This Row],[Moja satysfakcja z (efektów) usług edukacyjnych na ocenianej uczelni jest wysoka.]],SkalaLikerta[],2,0)</f>
        <v>5</v>
      </c>
      <c r="FG25" t="s">
        <v>150</v>
      </c>
      <c r="FH25" t="s">
        <v>236</v>
      </c>
      <c r="FI25" t="s">
        <v>178</v>
      </c>
      <c r="FJ25" t="s">
        <v>725</v>
      </c>
      <c r="FK25" t="s">
        <v>726</v>
      </c>
      <c r="FL25" t="s">
        <v>173</v>
      </c>
      <c r="GB25" s="1" t="s">
        <v>123</v>
      </c>
      <c r="GC25" t="s">
        <v>132</v>
      </c>
      <c r="GE25" t="s">
        <v>132</v>
      </c>
      <c r="GN25" t="e">
        <f>VLOOKUP(AnalizaCzyste[[#This Row],[Ogólny poziom mojej satysfakcji z jakości usług edukacyjnych ocenianej uczelni jest wysoki.32]],SkalaLikerta[],2,0)</f>
        <v>#N/A</v>
      </c>
      <c r="HK25" t="s">
        <v>727</v>
      </c>
      <c r="HL25" t="s">
        <v>728</v>
      </c>
      <c r="HM25" t="s">
        <v>729</v>
      </c>
      <c r="HN25" t="s">
        <v>186</v>
      </c>
      <c r="HO25">
        <v>1983</v>
      </c>
      <c r="HP25" t="str">
        <f>VLOOKUP(AnalizaCzyste[[#This Row],[Rok urodzenia]],KategorieWiekowe[],2,1)</f>
        <v>36–45 lat</v>
      </c>
      <c r="HQ25" t="s">
        <v>141</v>
      </c>
      <c r="HS25" t="s">
        <v>730</v>
      </c>
      <c r="HU25" t="s">
        <v>731</v>
      </c>
    </row>
    <row r="26" spans="1:229" x14ac:dyDescent="0.45">
      <c r="A26">
        <v>86</v>
      </c>
      <c r="B26">
        <f>_xlfn.IFNA(VLOOKUP(AnalizaCzyste[[#This Row],[Zakończono wypełnianie]],Zakończone[],2,0),"BRAK")</f>
        <v>51</v>
      </c>
      <c r="C26">
        <f t="shared" si="0"/>
        <v>57</v>
      </c>
      <c r="D26" t="s">
        <v>873</v>
      </c>
      <c r="E26" t="s">
        <v>118</v>
      </c>
      <c r="F26" t="s">
        <v>797</v>
      </c>
      <c r="J26" t="s">
        <v>119</v>
      </c>
      <c r="K26" t="s">
        <v>880</v>
      </c>
      <c r="L26" t="s">
        <v>881</v>
      </c>
      <c r="M26">
        <v>2138</v>
      </c>
      <c r="O26">
        <v>0</v>
      </c>
      <c r="P26" t="s">
        <v>122</v>
      </c>
      <c r="Q26" s="1" t="s">
        <v>123</v>
      </c>
      <c r="V26" t="e">
        <f>VLOOKUP(AnalizaCzyste[[#This Row],[Moja satysfakcja z usług edukacyjnych ocenianej uczelni jest wysoka.]],SkalaLikerta[],2,0)</f>
        <v>#N/A</v>
      </c>
      <c r="AH26" s="1" t="s">
        <v>124</v>
      </c>
      <c r="AI26" t="s">
        <v>191</v>
      </c>
      <c r="AJ26" t="str">
        <f>VLOOKUP(AnalizaCzyste[[#This Row],[Jak się nazywa uczelnia którą ukończyłeś? (proszę o wybranie jednej uczelni podlegającej ocenie)]],KategorieUczelni[],2,0)</f>
        <v>Publiczna</v>
      </c>
      <c r="AK26" t="str">
        <f>VLOOKUP(AnalizaCzyste[[#This Row],[Jak się nazywa uczelnia którą ukończyłeś? (proszę o wybranie jednej uczelni podlegającej ocenie)]],KategorieUczelni[],3,0)</f>
        <v>Techniczna</v>
      </c>
      <c r="AL26">
        <f>COUNTIF(AnalizaCzyste[[#This Row],[Czy jesteś absolwentem uczelni wyższej?]],"*"&amp;"Tak"&amp;"*")</f>
        <v>1</v>
      </c>
      <c r="AM26">
        <v>2005</v>
      </c>
      <c r="AN26" t="s">
        <v>126</v>
      </c>
      <c r="AO26" t="s">
        <v>882</v>
      </c>
      <c r="AP26" t="s">
        <v>162</v>
      </c>
      <c r="AQ26">
        <f>VLOOKUP(AnalizaCzyste[[#This Row],[Moja satysfakcja z (efektów) usług edukacyjnych ocenianej uczelni jest wysoka.]],SkalaLikerta[],2,0)</f>
        <v>5</v>
      </c>
      <c r="AR26" t="s">
        <v>162</v>
      </c>
      <c r="AS26" t="s">
        <v>162</v>
      </c>
      <c r="AT26" t="s">
        <v>236</v>
      </c>
      <c r="AU26" t="s">
        <v>128</v>
      </c>
      <c r="AV26" t="s">
        <v>883</v>
      </c>
      <c r="AW26" t="s">
        <v>131</v>
      </c>
      <c r="AX26">
        <f>VLOOKUP(AnalizaCzyste[[#This Row],[w pierwszym roku po ukończeniu studiów : wybierz wartość z listy rozwijanej4]],Zarobki[],2,0)</f>
        <v>1500</v>
      </c>
      <c r="AY26" t="s">
        <v>302</v>
      </c>
      <c r="AZ26">
        <f>VLOOKUP(AnalizaCzyste[[#This Row],[w 3 lata po ukończeniu studiów : wybierz wartość z listy rozwijanej5]],Zarobki[],2,0)</f>
        <v>2500</v>
      </c>
      <c r="BA26" t="s">
        <v>884</v>
      </c>
      <c r="BB26" t="s">
        <v>532</v>
      </c>
      <c r="BC26" t="s">
        <v>532</v>
      </c>
      <c r="BD26" t="s">
        <v>157</v>
      </c>
      <c r="BE26" t="s">
        <v>878</v>
      </c>
      <c r="BF26" s="1" t="s">
        <v>123</v>
      </c>
      <c r="BM26" t="e">
        <f>VLOOKUP(AnalizaCzyste[[#This Row],[Moja satysfakcja z (efektów) usług edukacyjnych ocenianej uczelni jest wysoka.8]],SkalaLikerta[],2,0)</f>
        <v>#N/A</v>
      </c>
      <c r="DA26" s="1" t="s">
        <v>123</v>
      </c>
      <c r="DE26" t="e">
        <f>VLOOKUP(AnalizaCzyste[[#This Row],[Moja satysfakcja z pracy na ocenianej uczelni jest wysoka.]],SkalaLikerta[],2,0)</f>
        <v>#N/A</v>
      </c>
      <c r="DL26" s="1" t="s">
        <v>123</v>
      </c>
      <c r="DP26" t="e">
        <f>VLOOKUP(AnalizaCzyste[[#This Row],[Moja satysfakcja z pracy na ocenianej uczelni jest wysoka.42]],SkalaLikerta[],2,0)</f>
        <v>#N/A</v>
      </c>
      <c r="DW26" s="1" t="s">
        <v>123</v>
      </c>
      <c r="EJ26" t="e">
        <f>VLOOKUP(AnalizaCzyste[[#This Row],[Ogólny poziom mojej satysfakcji z jakości usług edukacyjnych ocenianej uczelni jest wysoki.]],SkalaLikerta[],2,0)</f>
        <v>#N/A</v>
      </c>
      <c r="FA26" s="1" t="s">
        <v>177</v>
      </c>
      <c r="FB26" t="s">
        <v>178</v>
      </c>
      <c r="FC26">
        <v>1</v>
      </c>
      <c r="FD26" s="20" t="s">
        <v>191</v>
      </c>
      <c r="FE26" t="s">
        <v>162</v>
      </c>
      <c r="FF26">
        <f>VLOOKUP(AnalizaCzyste[[#This Row],[Moja satysfakcja z (efektów) usług edukacyjnych na ocenianej uczelni jest wysoka.]],SkalaLikerta[],2,0)</f>
        <v>5</v>
      </c>
      <c r="FG26" t="s">
        <v>162</v>
      </c>
      <c r="FH26" t="s">
        <v>151</v>
      </c>
      <c r="FI26" t="s">
        <v>178</v>
      </c>
      <c r="FJ26" t="s">
        <v>885</v>
      </c>
      <c r="FK26" t="s">
        <v>886</v>
      </c>
      <c r="FL26" t="s">
        <v>173</v>
      </c>
      <c r="GB26" s="1" t="s">
        <v>123</v>
      </c>
      <c r="GC26" t="s">
        <v>132</v>
      </c>
      <c r="GN26" t="e">
        <f>VLOOKUP(AnalizaCzyste[[#This Row],[Ogólny poziom mojej satysfakcji z jakości usług edukacyjnych ocenianej uczelni jest wysoki.32]],SkalaLikerta[],2,0)</f>
        <v>#N/A</v>
      </c>
      <c r="HK26" t="s">
        <v>887</v>
      </c>
      <c r="HL26" t="s">
        <v>532</v>
      </c>
      <c r="HM26" t="s">
        <v>532</v>
      </c>
      <c r="HN26" t="s">
        <v>140</v>
      </c>
      <c r="HO26">
        <v>1981</v>
      </c>
      <c r="HP26" t="str">
        <f>VLOOKUP(AnalizaCzyste[[#This Row],[Rok urodzenia]],KategorieWiekowe[],2,1)</f>
        <v>36–45 lat</v>
      </c>
      <c r="HQ26" t="s">
        <v>141</v>
      </c>
    </row>
    <row r="27" spans="1:229" x14ac:dyDescent="0.45">
      <c r="A27">
        <v>137</v>
      </c>
      <c r="B27">
        <f>_xlfn.IFNA(VLOOKUP(AnalizaCzyste[[#This Row],[Zakończono wypełnianie]],Zakończone[],2,0),"BRAK")</f>
        <v>83</v>
      </c>
      <c r="C27">
        <f t="shared" si="0"/>
        <v>57</v>
      </c>
      <c r="D27" t="s">
        <v>1142</v>
      </c>
      <c r="E27" t="s">
        <v>118</v>
      </c>
      <c r="J27" t="s">
        <v>119</v>
      </c>
      <c r="K27" t="s">
        <v>1288</v>
      </c>
      <c r="L27" t="s">
        <v>1289</v>
      </c>
      <c r="M27">
        <v>1208727</v>
      </c>
      <c r="O27">
        <v>0</v>
      </c>
      <c r="P27" t="s">
        <v>122</v>
      </c>
      <c r="Q27" s="1" t="s">
        <v>123</v>
      </c>
      <c r="V27" t="e">
        <f>VLOOKUP(AnalizaCzyste[[#This Row],[Moja satysfakcja z usług edukacyjnych ocenianej uczelni jest wysoka.]],SkalaLikerta[],2,0)</f>
        <v>#N/A</v>
      </c>
      <c r="AH27" s="1" t="s">
        <v>124</v>
      </c>
      <c r="AI27" t="s">
        <v>1290</v>
      </c>
      <c r="AJ27" t="str">
        <f>VLOOKUP(AnalizaCzyste[[#This Row],[Jak się nazywa uczelnia którą ukończyłeś? (proszę o wybranie jednej uczelni podlegającej ocenie)]],KategorieUczelni[],2,0)</f>
        <v>Niepubliczna</v>
      </c>
      <c r="AK27" t="str">
        <f>VLOOKUP(AnalizaCzyste[[#This Row],[Jak się nazywa uczelnia którą ukończyłeś? (proszę o wybranie jednej uczelni podlegającej ocenie)]],KategorieUczelni[],3,0)</f>
        <v>Nietechniczna</v>
      </c>
      <c r="AL27">
        <f>COUNTIF(AnalizaCzyste[[#This Row],[Czy jesteś absolwentem uczelni wyższej?]],"*"&amp;"Tak"&amp;"*")</f>
        <v>1</v>
      </c>
      <c r="AM27">
        <v>2012</v>
      </c>
      <c r="AN27" t="s">
        <v>148</v>
      </c>
      <c r="AO27" t="s">
        <v>1050</v>
      </c>
      <c r="AP27" t="s">
        <v>162</v>
      </c>
      <c r="AQ27">
        <f>VLOOKUP(AnalizaCzyste[[#This Row],[Moja satysfakcja z (efektów) usług edukacyjnych ocenianej uczelni jest wysoka.]],SkalaLikerta[],2,0)</f>
        <v>5</v>
      </c>
      <c r="AR27" t="s">
        <v>151</v>
      </c>
      <c r="AS27" t="s">
        <v>162</v>
      </c>
      <c r="AT27" t="s">
        <v>151</v>
      </c>
      <c r="AU27" t="s">
        <v>128</v>
      </c>
      <c r="AV27" t="s">
        <v>237</v>
      </c>
      <c r="AW27" t="s">
        <v>132</v>
      </c>
      <c r="AX27" t="str">
        <f>VLOOKUP(AnalizaCzyste[[#This Row],[w pierwszym roku po ukończeniu studiów : wybierz wartość z listy rozwijanej4]],Zarobki[],2,0)</f>
        <v>N/D</v>
      </c>
      <c r="AY27" t="s">
        <v>132</v>
      </c>
      <c r="AZ27" t="str">
        <f>VLOOKUP(AnalizaCzyste[[#This Row],[w 3 lata po ukończeniu studiów : wybierz wartość z listy rozwijanej5]],Zarobki[],2,0)</f>
        <v>N/D</v>
      </c>
      <c r="BA27" t="s">
        <v>1291</v>
      </c>
      <c r="BB27" t="s">
        <v>1292</v>
      </c>
      <c r="BC27" t="s">
        <v>1293</v>
      </c>
      <c r="BD27" t="s">
        <v>892</v>
      </c>
      <c r="BF27" s="1" t="s">
        <v>123</v>
      </c>
      <c r="BM27" t="e">
        <f>VLOOKUP(AnalizaCzyste[[#This Row],[Moja satysfakcja z (efektów) usług edukacyjnych ocenianej uczelni jest wysoka.8]],SkalaLikerta[],2,0)</f>
        <v>#N/A</v>
      </c>
      <c r="DA27" s="1" t="s">
        <v>123</v>
      </c>
      <c r="DE27" t="e">
        <f>VLOOKUP(AnalizaCzyste[[#This Row],[Moja satysfakcja z pracy na ocenianej uczelni jest wysoka.]],SkalaLikerta[],2,0)</f>
        <v>#N/A</v>
      </c>
      <c r="DL27" s="1" t="s">
        <v>123</v>
      </c>
      <c r="DP27" t="e">
        <f>VLOOKUP(AnalizaCzyste[[#This Row],[Moja satysfakcja z pracy na ocenianej uczelni jest wysoka.42]],SkalaLikerta[],2,0)</f>
        <v>#N/A</v>
      </c>
      <c r="DW27" s="1" t="s">
        <v>123</v>
      </c>
      <c r="EJ27" t="e">
        <f>VLOOKUP(AnalizaCzyste[[#This Row],[Ogólny poziom mojej satysfakcji z jakości usług edukacyjnych ocenianej uczelni jest wysoki.]],SkalaLikerta[],2,0)</f>
        <v>#N/A</v>
      </c>
      <c r="FA27" s="1" t="s">
        <v>177</v>
      </c>
      <c r="FB27" t="s">
        <v>178</v>
      </c>
      <c r="FC27" t="s">
        <v>132</v>
      </c>
      <c r="FD27" s="20" t="s">
        <v>191</v>
      </c>
      <c r="FE27" t="s">
        <v>162</v>
      </c>
      <c r="FF27">
        <f>VLOOKUP(AnalizaCzyste[[#This Row],[Moja satysfakcja z (efektów) usług edukacyjnych na ocenianej uczelni jest wysoka.]],SkalaLikerta[],2,0)</f>
        <v>5</v>
      </c>
      <c r="FG27" t="s">
        <v>151</v>
      </c>
      <c r="FH27" t="s">
        <v>128</v>
      </c>
      <c r="FI27" t="s">
        <v>178</v>
      </c>
      <c r="FJ27" t="s">
        <v>1294</v>
      </c>
      <c r="FK27" t="s">
        <v>1295</v>
      </c>
      <c r="FL27" t="s">
        <v>173</v>
      </c>
      <c r="GB27" s="1" t="s">
        <v>123</v>
      </c>
      <c r="GN27" t="e">
        <f>VLOOKUP(AnalizaCzyste[[#This Row],[Ogólny poziom mojej satysfakcji z jakości usług edukacyjnych ocenianej uczelni jest wysoki.32]],SkalaLikerta[],2,0)</f>
        <v>#N/A</v>
      </c>
      <c r="HK27" t="s">
        <v>1296</v>
      </c>
      <c r="HL27" t="s">
        <v>1297</v>
      </c>
      <c r="HM27" t="s">
        <v>1298</v>
      </c>
      <c r="HN27" t="s">
        <v>186</v>
      </c>
      <c r="HO27">
        <v>1987</v>
      </c>
      <c r="HP27" t="str">
        <f>VLOOKUP(AnalizaCzyste[[#This Row],[Rok urodzenia]],KategorieWiekowe[],2,1)</f>
        <v>26–35 lat</v>
      </c>
      <c r="HQ27" t="s">
        <v>246</v>
      </c>
      <c r="HS27" t="s">
        <v>1299</v>
      </c>
      <c r="HT27" t="s">
        <v>1300</v>
      </c>
    </row>
    <row r="28" spans="1:229" x14ac:dyDescent="0.45">
      <c r="A28">
        <v>82</v>
      </c>
      <c r="B28">
        <f>_xlfn.IFNA(VLOOKUP(AnalizaCzyste[[#This Row],[Zakończono wypełnianie]],Zakończone[],2,0),"BRAK")</f>
        <v>47</v>
      </c>
      <c r="C28">
        <f t="shared" si="0"/>
        <v>42</v>
      </c>
      <c r="D28" t="s">
        <v>828</v>
      </c>
      <c r="E28" t="s">
        <v>118</v>
      </c>
      <c r="J28" t="s">
        <v>119</v>
      </c>
      <c r="K28" t="s">
        <v>829</v>
      </c>
      <c r="L28" t="s">
        <v>830</v>
      </c>
      <c r="M28">
        <v>3349</v>
      </c>
      <c r="O28">
        <v>0</v>
      </c>
      <c r="P28" t="s">
        <v>122</v>
      </c>
      <c r="Q28" s="1" t="s">
        <v>123</v>
      </c>
      <c r="V28" t="e">
        <f>VLOOKUP(AnalizaCzyste[[#This Row],[Moja satysfakcja z usług edukacyjnych ocenianej uczelni jest wysoka.]],SkalaLikerta[],2,0)</f>
        <v>#N/A</v>
      </c>
      <c r="AH28" s="1" t="s">
        <v>123</v>
      </c>
      <c r="AJ28" t="e">
        <f>VLOOKUP(AnalizaCzyste[[#This Row],[Jak się nazywa uczelnia którą ukończyłeś? (proszę o wybranie jednej uczelni podlegającej ocenie)]],KategorieUczelni[],2,0)</f>
        <v>#N/A</v>
      </c>
      <c r="AK28" t="e">
        <f>VLOOKUP(AnalizaCzyste[[#This Row],[Jak się nazywa uczelnia którą ukończyłeś? (proszę o wybranie jednej uczelni podlegającej ocenie)]],KategorieUczelni[],3,0)</f>
        <v>#N/A</v>
      </c>
      <c r="AL28">
        <f>COUNTIF(AnalizaCzyste[[#This Row],[Czy jesteś absolwentem uczelni wyższej?]],"*"&amp;"Tak"&amp;"*")</f>
        <v>0</v>
      </c>
      <c r="AQ28" t="e">
        <f>VLOOKUP(AnalizaCzyste[[#This Row],[Moja satysfakcja z (efektów) usług edukacyjnych ocenianej uczelni jest wysoka.]],SkalaLikerta[],2,0)</f>
        <v>#N/A</v>
      </c>
      <c r="AX28" t="e">
        <f>VLOOKUP(AnalizaCzyste[[#This Row],[w pierwszym roku po ukończeniu studiów : wybierz wartość z listy rozwijanej4]],Zarobki[],2,0)</f>
        <v>#N/A</v>
      </c>
      <c r="AZ28" t="e">
        <f>VLOOKUP(AnalizaCzyste[[#This Row],[w 3 lata po ukończeniu studiów : wybierz wartość z listy rozwijanej5]],Zarobki[],2,0)</f>
        <v>#N/A</v>
      </c>
      <c r="BF28" s="1" t="s">
        <v>123</v>
      </c>
      <c r="BM28" t="e">
        <f>VLOOKUP(AnalizaCzyste[[#This Row],[Moja satysfakcja z (efektów) usług edukacyjnych ocenianej uczelni jest wysoka.8]],SkalaLikerta[],2,0)</f>
        <v>#N/A</v>
      </c>
      <c r="DA28" s="1" t="s">
        <v>123</v>
      </c>
      <c r="DE28" t="e">
        <f>VLOOKUP(AnalizaCzyste[[#This Row],[Moja satysfakcja z pracy na ocenianej uczelni jest wysoka.]],SkalaLikerta[],2,0)</f>
        <v>#N/A</v>
      </c>
      <c r="DL28" s="1" t="s">
        <v>123</v>
      </c>
      <c r="DP28" t="e">
        <f>VLOOKUP(AnalizaCzyste[[#This Row],[Moja satysfakcja z pracy na ocenianej uczelni jest wysoka.42]],SkalaLikerta[],2,0)</f>
        <v>#N/A</v>
      </c>
      <c r="DW28" s="1" t="s">
        <v>123</v>
      </c>
      <c r="EJ28" t="e">
        <f>VLOOKUP(AnalizaCzyste[[#This Row],[Ogólny poziom mojej satysfakcji z jakości usług edukacyjnych ocenianej uczelni jest wysoki.]],SkalaLikerta[],2,0)</f>
        <v>#N/A</v>
      </c>
      <c r="FA28" s="1" t="s">
        <v>177</v>
      </c>
      <c r="FB28" t="s">
        <v>178</v>
      </c>
      <c r="FC28">
        <v>1</v>
      </c>
      <c r="FD28" t="s">
        <v>191</v>
      </c>
      <c r="FE28" t="s">
        <v>162</v>
      </c>
      <c r="FF28">
        <f>VLOOKUP(AnalizaCzyste[[#This Row],[Moja satysfakcja z (efektów) usług edukacyjnych na ocenianej uczelni jest wysoka.]],SkalaLikerta[],2,0)</f>
        <v>5</v>
      </c>
      <c r="FG28" t="s">
        <v>162</v>
      </c>
      <c r="FH28" t="s">
        <v>128</v>
      </c>
      <c r="FI28" t="s">
        <v>178</v>
      </c>
      <c r="FJ28" t="s">
        <v>831</v>
      </c>
      <c r="FK28" t="s">
        <v>832</v>
      </c>
      <c r="FL28" t="s">
        <v>173</v>
      </c>
      <c r="GB28" s="1" t="s">
        <v>123</v>
      </c>
      <c r="GC28" t="s">
        <v>132</v>
      </c>
      <c r="GE28" t="s">
        <v>132</v>
      </c>
      <c r="GN28" t="e">
        <f>VLOOKUP(AnalizaCzyste[[#This Row],[Ogólny poziom mojej satysfakcji z jakości usług edukacyjnych ocenianej uczelni jest wysoki.32]],SkalaLikerta[],2,0)</f>
        <v>#N/A</v>
      </c>
      <c r="HK28" t="s">
        <v>833</v>
      </c>
      <c r="HL28" t="s">
        <v>834</v>
      </c>
      <c r="HM28" t="s">
        <v>835</v>
      </c>
      <c r="HN28" t="s">
        <v>140</v>
      </c>
      <c r="HO28">
        <v>1977</v>
      </c>
      <c r="HP28" t="str">
        <f>VLOOKUP(AnalizaCzyste[[#This Row],[Rok urodzenia]],KategorieWiekowe[],2,1)</f>
        <v>36–45 lat</v>
      </c>
      <c r="HQ28" t="s">
        <v>398</v>
      </c>
      <c r="HS28" t="s">
        <v>836</v>
      </c>
    </row>
    <row r="29" spans="1:229" x14ac:dyDescent="0.45">
      <c r="A29">
        <v>128</v>
      </c>
      <c r="B29">
        <f>_xlfn.IFNA(VLOOKUP(AnalizaCzyste[[#This Row],[Zakończono wypełnianie]],Zakończone[],2,0),"BRAK")</f>
        <v>77</v>
      </c>
      <c r="C29">
        <f t="shared" si="0"/>
        <v>57</v>
      </c>
      <c r="D29" t="s">
        <v>1200</v>
      </c>
      <c r="E29" t="s">
        <v>118</v>
      </c>
      <c r="J29" t="s">
        <v>119</v>
      </c>
      <c r="K29" t="s">
        <v>1201</v>
      </c>
      <c r="L29" t="s">
        <v>1202</v>
      </c>
      <c r="M29">
        <v>658</v>
      </c>
      <c r="O29">
        <v>0</v>
      </c>
      <c r="P29" t="s">
        <v>122</v>
      </c>
      <c r="Q29" s="1" t="s">
        <v>123</v>
      </c>
      <c r="V29" t="e">
        <f>VLOOKUP(AnalizaCzyste[[#This Row],[Moja satysfakcja z usług edukacyjnych ocenianej uczelni jest wysoka.]],SkalaLikerta[],2,0)</f>
        <v>#N/A</v>
      </c>
      <c r="AH29" s="1" t="s">
        <v>123</v>
      </c>
      <c r="AJ29" t="e">
        <f>VLOOKUP(AnalizaCzyste[[#This Row],[Jak się nazywa uczelnia którą ukończyłeś? (proszę o wybranie jednej uczelni podlegającej ocenie)]],KategorieUczelni[],2,0)</f>
        <v>#N/A</v>
      </c>
      <c r="AK29" t="e">
        <f>VLOOKUP(AnalizaCzyste[[#This Row],[Jak się nazywa uczelnia którą ukończyłeś? (proszę o wybranie jednej uczelni podlegającej ocenie)]],KategorieUczelni[],3,0)</f>
        <v>#N/A</v>
      </c>
      <c r="AL29">
        <f>COUNTIF(AnalizaCzyste[[#This Row],[Czy jesteś absolwentem uczelni wyższej?]],"*"&amp;"Tak"&amp;"*")</f>
        <v>0</v>
      </c>
      <c r="AQ29" t="e">
        <f>VLOOKUP(AnalizaCzyste[[#This Row],[Moja satysfakcja z (efektów) usług edukacyjnych ocenianej uczelni jest wysoka.]],SkalaLikerta[],2,0)</f>
        <v>#N/A</v>
      </c>
      <c r="AX29" t="e">
        <f>VLOOKUP(AnalizaCzyste[[#This Row],[w pierwszym roku po ukończeniu studiów : wybierz wartość z listy rozwijanej4]],Zarobki[],2,0)</f>
        <v>#N/A</v>
      </c>
      <c r="AZ29" t="e">
        <f>VLOOKUP(AnalizaCzyste[[#This Row],[w 3 lata po ukończeniu studiów : wybierz wartość z listy rozwijanej5]],Zarobki[],2,0)</f>
        <v>#N/A</v>
      </c>
      <c r="BF29" s="1" t="s">
        <v>123</v>
      </c>
      <c r="BM29" t="e">
        <f>VLOOKUP(AnalizaCzyste[[#This Row],[Moja satysfakcja z (efektów) usług edukacyjnych ocenianej uczelni jest wysoka.8]],SkalaLikerta[],2,0)</f>
        <v>#N/A</v>
      </c>
      <c r="DA29" s="1" t="s">
        <v>123</v>
      </c>
      <c r="DE29" t="e">
        <f>VLOOKUP(AnalizaCzyste[[#This Row],[Moja satysfakcja z pracy na ocenianej uczelni jest wysoka.]],SkalaLikerta[],2,0)</f>
        <v>#N/A</v>
      </c>
      <c r="DL29" s="1" t="s">
        <v>214</v>
      </c>
      <c r="DM29" t="s">
        <v>191</v>
      </c>
      <c r="DN29" t="s">
        <v>308</v>
      </c>
      <c r="DO29" t="s">
        <v>162</v>
      </c>
      <c r="DP29">
        <f>VLOOKUP(AnalizaCzyste[[#This Row],[Moja satysfakcja z pracy na ocenianej uczelni jest wysoka.42]],SkalaLikerta[],2,0)</f>
        <v>5</v>
      </c>
      <c r="DQ29" t="s">
        <v>162</v>
      </c>
      <c r="DR29" t="s">
        <v>150</v>
      </c>
      <c r="DS29" t="s">
        <v>150</v>
      </c>
      <c r="DT29" t="s">
        <v>150</v>
      </c>
      <c r="DU29" t="s">
        <v>169</v>
      </c>
      <c r="DV29" t="s">
        <v>1203</v>
      </c>
      <c r="DW29" s="1" t="s">
        <v>123</v>
      </c>
      <c r="EJ29" t="e">
        <f>VLOOKUP(AnalizaCzyste[[#This Row],[Ogólny poziom mojej satysfakcji z jakości usług edukacyjnych ocenianej uczelni jest wysoki.]],SkalaLikerta[],2,0)</f>
        <v>#N/A</v>
      </c>
      <c r="FA29" s="1" t="s">
        <v>177</v>
      </c>
      <c r="FB29" t="s">
        <v>178</v>
      </c>
      <c r="FC29">
        <v>2</v>
      </c>
      <c r="FD29" t="s">
        <v>191</v>
      </c>
      <c r="FE29" t="s">
        <v>169</v>
      </c>
      <c r="FF29">
        <f>VLOOKUP(AnalizaCzyste[[#This Row],[Moja satysfakcja z (efektów) usług edukacyjnych na ocenianej uczelni jest wysoka.]],SkalaLikerta[],2,0)</f>
        <v>7</v>
      </c>
      <c r="FG29" t="s">
        <v>169</v>
      </c>
      <c r="FH29" t="s">
        <v>169</v>
      </c>
      <c r="FI29" t="s">
        <v>178</v>
      </c>
      <c r="FJ29" t="s">
        <v>1204</v>
      </c>
      <c r="FK29" t="s">
        <v>1205</v>
      </c>
      <c r="FL29" t="s">
        <v>1206</v>
      </c>
      <c r="FM29" t="s">
        <v>223</v>
      </c>
      <c r="FN29" t="s">
        <v>128</v>
      </c>
      <c r="FO29" t="s">
        <v>236</v>
      </c>
      <c r="FP29" t="s">
        <v>129</v>
      </c>
      <c r="FQ29" t="s">
        <v>178</v>
      </c>
      <c r="FR29" t="s">
        <v>960</v>
      </c>
      <c r="FS29" t="s">
        <v>1207</v>
      </c>
      <c r="FT29" t="s">
        <v>173</v>
      </c>
      <c r="GB29" s="1" t="s">
        <v>123</v>
      </c>
      <c r="GN29" t="e">
        <f>VLOOKUP(AnalizaCzyste[[#This Row],[Ogólny poziom mojej satysfakcji z jakości usług edukacyjnych ocenianej uczelni jest wysoki.32]],SkalaLikerta[],2,0)</f>
        <v>#N/A</v>
      </c>
      <c r="HK29" t="s">
        <v>1208</v>
      </c>
      <c r="HL29" t="s">
        <v>1209</v>
      </c>
      <c r="HM29" t="s">
        <v>1210</v>
      </c>
      <c r="HN29" t="s">
        <v>186</v>
      </c>
      <c r="HO29">
        <v>1987</v>
      </c>
      <c r="HP29" t="str">
        <f>VLOOKUP(AnalizaCzyste[[#This Row],[Rok urodzenia]],KategorieWiekowe[],2,1)</f>
        <v>26–35 lat</v>
      </c>
      <c r="HQ29" t="s">
        <v>141</v>
      </c>
      <c r="HS29" t="s">
        <v>191</v>
      </c>
    </row>
    <row r="30" spans="1:229" x14ac:dyDescent="0.45">
      <c r="A30">
        <v>93</v>
      </c>
      <c r="B30">
        <f>_xlfn.IFNA(VLOOKUP(AnalizaCzyste[[#This Row],[Zakończono wypełnianie]],Zakończone[],2,0),"BRAK")</f>
        <v>56</v>
      </c>
      <c r="C30">
        <f t="shared" si="0"/>
        <v>60</v>
      </c>
      <c r="D30" t="s">
        <v>938</v>
      </c>
      <c r="E30" t="s">
        <v>118</v>
      </c>
      <c r="J30" t="s">
        <v>119</v>
      </c>
      <c r="K30" t="s">
        <v>939</v>
      </c>
      <c r="L30" t="s">
        <v>940</v>
      </c>
      <c r="M30">
        <v>451</v>
      </c>
      <c r="O30">
        <v>0</v>
      </c>
      <c r="P30" t="s">
        <v>122</v>
      </c>
      <c r="Q30" s="1" t="s">
        <v>123</v>
      </c>
      <c r="V30" t="e">
        <f>VLOOKUP(AnalizaCzyste[[#This Row],[Moja satysfakcja z usług edukacyjnych ocenianej uczelni jest wysoka.]],SkalaLikerta[],2,0)</f>
        <v>#N/A</v>
      </c>
      <c r="AH30" s="1" t="s">
        <v>124</v>
      </c>
      <c r="AI30" t="s">
        <v>223</v>
      </c>
      <c r="AJ30" t="str">
        <f>VLOOKUP(AnalizaCzyste[[#This Row],[Jak się nazywa uczelnia którą ukończyłeś? (proszę o wybranie jednej uczelni podlegającej ocenie)]],KategorieUczelni[],2,0)</f>
        <v>Publiczna</v>
      </c>
      <c r="AK30" t="str">
        <f>VLOOKUP(AnalizaCzyste[[#This Row],[Jak się nazywa uczelnia którą ukończyłeś? (proszę o wybranie jednej uczelni podlegającej ocenie)]],KategorieUczelni[],3,0)</f>
        <v>Nietechniczna</v>
      </c>
      <c r="AL30">
        <f>COUNTIF(AnalizaCzyste[[#This Row],[Czy jesteś absolwentem uczelni wyższej?]],"*"&amp;"Tak"&amp;"*")</f>
        <v>1</v>
      </c>
      <c r="AM30">
        <v>2004</v>
      </c>
      <c r="AN30" t="s">
        <v>148</v>
      </c>
      <c r="AO30" t="s">
        <v>942</v>
      </c>
      <c r="AP30" t="s">
        <v>150</v>
      </c>
      <c r="AQ30">
        <f>VLOOKUP(AnalizaCzyste[[#This Row],[Moja satysfakcja z (efektów) usług edukacyjnych ocenianej uczelni jest wysoka.]],SkalaLikerta[],2,0)</f>
        <v>6</v>
      </c>
      <c r="AR30" t="s">
        <v>150</v>
      </c>
      <c r="AS30" t="s">
        <v>150</v>
      </c>
      <c r="AT30" t="s">
        <v>150</v>
      </c>
      <c r="AU30" t="s">
        <v>169</v>
      </c>
      <c r="AV30" t="s">
        <v>237</v>
      </c>
      <c r="AW30" t="s">
        <v>302</v>
      </c>
      <c r="AX30">
        <f>VLOOKUP(AnalizaCzyste[[#This Row],[w pierwszym roku po ukończeniu studiów : wybierz wartość z listy rozwijanej4]],Zarobki[],2,0)</f>
        <v>2500</v>
      </c>
      <c r="AY30" t="s">
        <v>943</v>
      </c>
      <c r="AZ30">
        <f>VLOOKUP(AnalizaCzyste[[#This Row],[w 3 lata po ukończeniu studiów : wybierz wartość z listy rozwijanej5]],Zarobki[],2,0)</f>
        <v>8500</v>
      </c>
      <c r="BA30" t="s">
        <v>944</v>
      </c>
      <c r="BB30" t="s">
        <v>945</v>
      </c>
      <c r="BC30" t="s">
        <v>946</v>
      </c>
      <c r="BD30" t="s">
        <v>157</v>
      </c>
      <c r="BF30" s="1" t="s">
        <v>123</v>
      </c>
      <c r="BM30" t="e">
        <f>VLOOKUP(AnalizaCzyste[[#This Row],[Moja satysfakcja z (efektów) usług edukacyjnych ocenianej uczelni jest wysoka.8]],SkalaLikerta[],2,0)</f>
        <v>#N/A</v>
      </c>
      <c r="DA30" s="1" t="s">
        <v>123</v>
      </c>
      <c r="DE30" t="e">
        <f>VLOOKUP(AnalizaCzyste[[#This Row],[Moja satysfakcja z pracy na ocenianej uczelni jest wysoka.]],SkalaLikerta[],2,0)</f>
        <v>#N/A</v>
      </c>
      <c r="DL30" s="1" t="s">
        <v>123</v>
      </c>
      <c r="DP30" t="e">
        <f>VLOOKUP(AnalizaCzyste[[#This Row],[Moja satysfakcja z pracy na ocenianej uczelni jest wysoka.42]],SkalaLikerta[],2,0)</f>
        <v>#N/A</v>
      </c>
      <c r="DW30" s="1" t="s">
        <v>123</v>
      </c>
      <c r="EJ30" t="e">
        <f>VLOOKUP(AnalizaCzyste[[#This Row],[Ogólny poziom mojej satysfakcji z jakości usług edukacyjnych ocenianej uczelni jest wysoki.]],SkalaLikerta[],2,0)</f>
        <v>#N/A</v>
      </c>
      <c r="FA30" s="1" t="s">
        <v>177</v>
      </c>
      <c r="FB30" t="s">
        <v>178</v>
      </c>
      <c r="FC30">
        <v>1</v>
      </c>
      <c r="FD30" s="20" t="s">
        <v>191</v>
      </c>
      <c r="FE30" t="s">
        <v>169</v>
      </c>
      <c r="FF30">
        <f>VLOOKUP(AnalizaCzyste[[#This Row],[Moja satysfakcja z (efektów) usług edukacyjnych na ocenianej uczelni jest wysoka.]],SkalaLikerta[],2,0)</f>
        <v>7</v>
      </c>
      <c r="FG30" t="s">
        <v>169</v>
      </c>
      <c r="FH30" t="s">
        <v>169</v>
      </c>
      <c r="FI30" t="s">
        <v>178</v>
      </c>
      <c r="FJ30" t="s">
        <v>947</v>
      </c>
      <c r="FK30" t="s">
        <v>948</v>
      </c>
      <c r="FL30" t="s">
        <v>173</v>
      </c>
      <c r="GB30" s="1" t="s">
        <v>123</v>
      </c>
      <c r="GC30" t="s">
        <v>132</v>
      </c>
      <c r="GE30" t="s">
        <v>132</v>
      </c>
      <c r="GN30" t="e">
        <f>VLOOKUP(AnalizaCzyste[[#This Row],[Ogólny poziom mojej satysfakcji z jakości usług edukacyjnych ocenianej uczelni jest wysoki.32]],SkalaLikerta[],2,0)</f>
        <v>#N/A</v>
      </c>
      <c r="HK30" t="s">
        <v>949</v>
      </c>
      <c r="HL30" t="s">
        <v>950</v>
      </c>
      <c r="HM30" t="s">
        <v>951</v>
      </c>
      <c r="HN30" t="s">
        <v>186</v>
      </c>
      <c r="HO30">
        <v>1984</v>
      </c>
      <c r="HP30" t="str">
        <f>VLOOKUP(AnalizaCzyste[[#This Row],[Rok urodzenia]],KategorieWiekowe[],2,1)</f>
        <v>36–45 lat</v>
      </c>
      <c r="HQ30" t="s">
        <v>141</v>
      </c>
      <c r="HR30" t="s">
        <v>952</v>
      </c>
      <c r="HS30" t="s">
        <v>953</v>
      </c>
      <c r="HT30" t="s">
        <v>954</v>
      </c>
    </row>
    <row r="31" spans="1:229" x14ac:dyDescent="0.45">
      <c r="A31">
        <v>76</v>
      </c>
      <c r="B31">
        <f>_xlfn.IFNA(VLOOKUP(AnalizaCzyste[[#This Row],[Zakończono wypełnianie]],Zakończone[],2,0),"BRAK")</f>
        <v>42</v>
      </c>
      <c r="C31">
        <f t="shared" si="0"/>
        <v>67</v>
      </c>
      <c r="D31" t="s">
        <v>773</v>
      </c>
      <c r="E31" t="s">
        <v>118</v>
      </c>
      <c r="F31" t="s">
        <v>774</v>
      </c>
      <c r="J31" t="s">
        <v>119</v>
      </c>
      <c r="K31" t="s">
        <v>775</v>
      </c>
      <c r="L31" t="s">
        <v>776</v>
      </c>
      <c r="M31">
        <v>1636</v>
      </c>
      <c r="O31">
        <v>0</v>
      </c>
      <c r="P31" t="s">
        <v>122</v>
      </c>
      <c r="Q31" s="1" t="s">
        <v>123</v>
      </c>
      <c r="V31" t="e">
        <f>VLOOKUP(AnalizaCzyste[[#This Row],[Moja satysfakcja z usług edukacyjnych ocenianej uczelni jest wysoka.]],SkalaLikerta[],2,0)</f>
        <v>#N/A</v>
      </c>
      <c r="AH31" s="1" t="s">
        <v>124</v>
      </c>
      <c r="AI31" t="s">
        <v>1461</v>
      </c>
      <c r="AJ31" t="str">
        <f>VLOOKUP(AnalizaCzyste[[#This Row],[Jak się nazywa uczelnia którą ukończyłeś? (proszę o wybranie jednej uczelni podlegającej ocenie)]],KategorieUczelni[],2,0)</f>
        <v>Publiczna</v>
      </c>
      <c r="AK31" t="str">
        <f>VLOOKUP(AnalizaCzyste[[#This Row],[Jak się nazywa uczelnia którą ukończyłeś? (proszę o wybranie jednej uczelni podlegającej ocenie)]],KategorieUczelni[],3,0)</f>
        <v>Nietechniczna</v>
      </c>
      <c r="AL31">
        <f>COUNTIF(AnalizaCzyste[[#This Row],[Czy jesteś absolwentem uczelni wyższej?]],"*"&amp;"Tak"&amp;"*")</f>
        <v>1</v>
      </c>
      <c r="AM31">
        <v>2013</v>
      </c>
      <c r="AN31" t="s">
        <v>148</v>
      </c>
      <c r="AO31" t="s">
        <v>429</v>
      </c>
      <c r="AP31" t="s">
        <v>128</v>
      </c>
      <c r="AQ31">
        <f>VLOOKUP(AnalizaCzyste[[#This Row],[Moja satysfakcja z (efektów) usług edukacyjnych ocenianej uczelni jest wysoka.]],SkalaLikerta[],2,0)</f>
        <v>3</v>
      </c>
      <c r="AR31" t="s">
        <v>151</v>
      </c>
      <c r="AS31" t="s">
        <v>162</v>
      </c>
      <c r="AT31" t="s">
        <v>129</v>
      </c>
      <c r="AU31" t="s">
        <v>236</v>
      </c>
      <c r="AV31">
        <v>0</v>
      </c>
      <c r="AW31" t="s">
        <v>131</v>
      </c>
      <c r="AX31">
        <f>VLOOKUP(AnalizaCzyste[[#This Row],[w pierwszym roku po ukończeniu studiów : wybierz wartość z listy rozwijanej4]],Zarobki[],2,0)</f>
        <v>1500</v>
      </c>
      <c r="AY31" t="s">
        <v>131</v>
      </c>
      <c r="AZ31">
        <f>VLOOKUP(AnalizaCzyste[[#This Row],[w 3 lata po ukończeniu studiów : wybierz wartość z listy rozwijanej5]],Zarobki[],2,0)</f>
        <v>1500</v>
      </c>
      <c r="BA31" t="s">
        <v>778</v>
      </c>
      <c r="BB31" t="s">
        <v>779</v>
      </c>
      <c r="BC31" t="s">
        <v>780</v>
      </c>
      <c r="BD31" t="s">
        <v>157</v>
      </c>
      <c r="BF31" s="1" t="s">
        <v>123</v>
      </c>
      <c r="BM31" t="e">
        <f>VLOOKUP(AnalizaCzyste[[#This Row],[Moja satysfakcja z (efektów) usług edukacyjnych ocenianej uczelni jest wysoka.8]],SkalaLikerta[],2,0)</f>
        <v>#N/A</v>
      </c>
      <c r="DA31" s="1" t="s">
        <v>123</v>
      </c>
      <c r="DE31" t="e">
        <f>VLOOKUP(AnalizaCzyste[[#This Row],[Moja satysfakcja z pracy na ocenianej uczelni jest wysoka.]],SkalaLikerta[],2,0)</f>
        <v>#N/A</v>
      </c>
      <c r="DL31" s="1" t="s">
        <v>214</v>
      </c>
      <c r="DM31" t="s">
        <v>1461</v>
      </c>
      <c r="DN31" t="s">
        <v>781</v>
      </c>
      <c r="DO31" t="s">
        <v>129</v>
      </c>
      <c r="DP31">
        <f>VLOOKUP(AnalizaCzyste[[#This Row],[Moja satysfakcja z pracy na ocenianej uczelni jest wysoka.42]],SkalaLikerta[],2,0)</f>
        <v>1</v>
      </c>
      <c r="DQ31" t="s">
        <v>150</v>
      </c>
      <c r="DR31" t="s">
        <v>129</v>
      </c>
      <c r="DS31" t="s">
        <v>236</v>
      </c>
      <c r="DT31" t="s">
        <v>151</v>
      </c>
      <c r="DU31" t="s">
        <v>151</v>
      </c>
      <c r="DV31" t="s">
        <v>782</v>
      </c>
      <c r="DW31" s="1" t="s">
        <v>123</v>
      </c>
      <c r="EJ31" t="e">
        <f>VLOOKUP(AnalizaCzyste[[#This Row],[Ogólny poziom mojej satysfakcji z jakości usług edukacyjnych ocenianej uczelni jest wysoki.]],SkalaLikerta[],2,0)</f>
        <v>#N/A</v>
      </c>
      <c r="FA31" s="1" t="s">
        <v>177</v>
      </c>
      <c r="FB31" t="s">
        <v>180</v>
      </c>
      <c r="FC31">
        <v>1</v>
      </c>
      <c r="FD31" t="s">
        <v>783</v>
      </c>
      <c r="FE31" t="s">
        <v>150</v>
      </c>
      <c r="FF31">
        <f>VLOOKUP(AnalizaCzyste[[#This Row],[Moja satysfakcja z (efektów) usług edukacyjnych na ocenianej uczelni jest wysoka.]],SkalaLikerta[],2,0)</f>
        <v>6</v>
      </c>
      <c r="FG31" t="s">
        <v>150</v>
      </c>
      <c r="FH31" t="s">
        <v>236</v>
      </c>
      <c r="FI31" t="s">
        <v>178</v>
      </c>
      <c r="FJ31" t="s">
        <v>784</v>
      </c>
      <c r="FK31" t="s">
        <v>785</v>
      </c>
      <c r="FL31" t="s">
        <v>173</v>
      </c>
      <c r="GB31" s="1" t="s">
        <v>123</v>
      </c>
      <c r="GC31" t="s">
        <v>132</v>
      </c>
      <c r="GN31" t="e">
        <f>VLOOKUP(AnalizaCzyste[[#This Row],[Ogólny poziom mojej satysfakcji z jakości usług edukacyjnych ocenianej uczelni jest wysoki.32]],SkalaLikerta[],2,0)</f>
        <v>#N/A</v>
      </c>
      <c r="HK31" t="s">
        <v>786</v>
      </c>
      <c r="HL31" t="s">
        <v>787</v>
      </c>
      <c r="HM31" t="s">
        <v>788</v>
      </c>
      <c r="HN31" t="s">
        <v>140</v>
      </c>
      <c r="HO31">
        <v>1988</v>
      </c>
      <c r="HP31" t="str">
        <f>VLOOKUP(AnalizaCzyste[[#This Row],[Rok urodzenia]],KategorieWiekowe[],2,1)</f>
        <v>26–35 lat</v>
      </c>
      <c r="HQ31" t="s">
        <v>246</v>
      </c>
      <c r="HS31" t="s">
        <v>789</v>
      </c>
      <c r="HU31" t="s">
        <v>790</v>
      </c>
    </row>
    <row r="32" spans="1:229" x14ac:dyDescent="0.45">
      <c r="A32">
        <v>179</v>
      </c>
      <c r="B32">
        <f>_xlfn.IFNA(VLOOKUP(AnalizaCzyste[[#This Row],[Zakończono wypełnianie]],Zakończone[],2,0),"BRAK")</f>
        <v>101</v>
      </c>
      <c r="C32">
        <f t="shared" si="0"/>
        <v>56</v>
      </c>
      <c r="D32" t="s">
        <v>1511</v>
      </c>
      <c r="E32" t="s">
        <v>118</v>
      </c>
      <c r="J32" t="s">
        <v>119</v>
      </c>
      <c r="K32" t="s">
        <v>1512</v>
      </c>
      <c r="L32" t="s">
        <v>1513</v>
      </c>
      <c r="M32">
        <v>2685</v>
      </c>
      <c r="O32">
        <v>0</v>
      </c>
      <c r="P32" t="s">
        <v>122</v>
      </c>
      <c r="Q32" s="1" t="s">
        <v>123</v>
      </c>
      <c r="V32" t="e">
        <f>VLOOKUP(AnalizaCzyste[[#This Row],[Moja satysfakcja z usług edukacyjnych ocenianej uczelni jest wysoka.]],SkalaLikerta[],2,0)</f>
        <v>#N/A</v>
      </c>
      <c r="AH32" s="1" t="s">
        <v>124</v>
      </c>
      <c r="AI32" t="s">
        <v>1514</v>
      </c>
      <c r="AJ32" t="str">
        <f>VLOOKUP(AnalizaCzyste[[#This Row],[Jak się nazywa uczelnia którą ukończyłeś? (proszę o wybranie jednej uczelni podlegającej ocenie)]],KategorieUczelni[],2,0)</f>
        <v>Zagraniczna</v>
      </c>
      <c r="AK32" t="str">
        <f>VLOOKUP(AnalizaCzyste[[#This Row],[Jak się nazywa uczelnia którą ukończyłeś? (proszę o wybranie jednej uczelni podlegającej ocenie)]],KategorieUczelni[],3,0)</f>
        <v>Nietechniczna</v>
      </c>
      <c r="AL32">
        <f>COUNTIF(AnalizaCzyste[[#This Row],[Czy jesteś absolwentem uczelni wyższej?]],"*"&amp;"Tak"&amp;"*")</f>
        <v>1</v>
      </c>
      <c r="AM32">
        <v>1996</v>
      </c>
      <c r="AN32" t="s">
        <v>148</v>
      </c>
      <c r="AO32" t="s">
        <v>1515</v>
      </c>
      <c r="AP32" t="s">
        <v>162</v>
      </c>
      <c r="AQ32">
        <f>VLOOKUP(AnalizaCzyste[[#This Row],[Moja satysfakcja z (efektów) usług edukacyjnych ocenianej uczelni jest wysoka.]],SkalaLikerta[],2,0)</f>
        <v>5</v>
      </c>
      <c r="AR32" t="s">
        <v>151</v>
      </c>
      <c r="AS32" t="s">
        <v>162</v>
      </c>
      <c r="AT32" t="s">
        <v>162</v>
      </c>
      <c r="AU32" t="s">
        <v>151</v>
      </c>
      <c r="AV32" t="s">
        <v>1516</v>
      </c>
      <c r="AW32" t="s">
        <v>194</v>
      </c>
      <c r="AX32">
        <f>VLOOKUP(AnalizaCzyste[[#This Row],[w pierwszym roku po ukończeniu studiów : wybierz wartość z listy rozwijanej4]],Zarobki[],2,0)</f>
        <v>10500</v>
      </c>
      <c r="AY32" t="s">
        <v>194</v>
      </c>
      <c r="AZ32">
        <f>VLOOKUP(AnalizaCzyste[[#This Row],[w 3 lata po ukończeniu studiów : wybierz wartość z listy rozwijanej5]],Zarobki[],2,0)</f>
        <v>10500</v>
      </c>
      <c r="BA32" t="s">
        <v>1517</v>
      </c>
      <c r="BB32" t="s">
        <v>1518</v>
      </c>
      <c r="BC32" t="s">
        <v>1519</v>
      </c>
      <c r="BD32" t="s">
        <v>172</v>
      </c>
      <c r="BF32" s="1" t="s">
        <v>123</v>
      </c>
      <c r="BM32" t="e">
        <f>VLOOKUP(AnalizaCzyste[[#This Row],[Moja satysfakcja z (efektów) usług edukacyjnych ocenianej uczelni jest wysoka.8]],SkalaLikerta[],2,0)</f>
        <v>#N/A</v>
      </c>
      <c r="DA32" s="1" t="s">
        <v>123</v>
      </c>
      <c r="DE32" t="e">
        <f>VLOOKUP(AnalizaCzyste[[#This Row],[Moja satysfakcja z pracy na ocenianej uczelni jest wysoka.]],SkalaLikerta[],2,0)</f>
        <v>#N/A</v>
      </c>
      <c r="DL32" s="1" t="s">
        <v>123</v>
      </c>
      <c r="DP32" t="e">
        <f>VLOOKUP(AnalizaCzyste[[#This Row],[Moja satysfakcja z pracy na ocenianej uczelni jest wysoka.42]],SkalaLikerta[],2,0)</f>
        <v>#N/A</v>
      </c>
      <c r="DW32" s="1" t="s">
        <v>123</v>
      </c>
      <c r="EJ32" t="e">
        <f>VLOOKUP(AnalizaCzyste[[#This Row],[Ogólny poziom mojej satysfakcji z jakości usług edukacyjnych ocenianej uczelni jest wysoki.]],SkalaLikerta[],2,0)</f>
        <v>#N/A</v>
      </c>
      <c r="FA32" s="1" t="s">
        <v>177</v>
      </c>
      <c r="FB32" t="s">
        <v>180</v>
      </c>
      <c r="FC32">
        <v>1</v>
      </c>
      <c r="FD32" t="s">
        <v>1520</v>
      </c>
      <c r="FE32" t="s">
        <v>150</v>
      </c>
      <c r="FF32">
        <f>VLOOKUP(AnalizaCzyste[[#This Row],[Moja satysfakcja z (efektów) usług edukacyjnych na ocenianej uczelni jest wysoka.]],SkalaLikerta[],2,0)</f>
        <v>6</v>
      </c>
      <c r="FG32" t="s">
        <v>162</v>
      </c>
      <c r="FH32" t="s">
        <v>162</v>
      </c>
      <c r="FI32" t="s">
        <v>178</v>
      </c>
      <c r="FJ32" t="s">
        <v>1521</v>
      </c>
      <c r="FK32" t="s">
        <v>1522</v>
      </c>
      <c r="FL32" t="s">
        <v>173</v>
      </c>
      <c r="GB32" s="1" t="s">
        <v>123</v>
      </c>
      <c r="GN32" t="e">
        <f>VLOOKUP(AnalizaCzyste[[#This Row],[Ogólny poziom mojej satysfakcji z jakości usług edukacyjnych ocenianej uczelni jest wysoki.32]],SkalaLikerta[],2,0)</f>
        <v>#N/A</v>
      </c>
      <c r="HK32" t="s">
        <v>1523</v>
      </c>
      <c r="HL32" t="s">
        <v>1524</v>
      </c>
      <c r="HM32" t="s">
        <v>1525</v>
      </c>
      <c r="HN32" t="s">
        <v>186</v>
      </c>
      <c r="HO32">
        <v>1974</v>
      </c>
      <c r="HP32" t="str">
        <f>VLOOKUP(AnalizaCzyste[[#This Row],[Rok urodzenia]],KategorieWiekowe[],2,1)</f>
        <v>46–55 lat</v>
      </c>
      <c r="HQ32" t="s">
        <v>398</v>
      </c>
      <c r="HS32" t="s">
        <v>1526</v>
      </c>
    </row>
    <row r="33" spans="1:228" x14ac:dyDescent="0.45">
      <c r="A33">
        <v>258</v>
      </c>
      <c r="B33">
        <f>_xlfn.IFNA(VLOOKUP(AnalizaCzyste[[#This Row],[Zakończono wypełnianie]],Zakończone[],2,0),"BRAK")</f>
        <v>135</v>
      </c>
      <c r="C33">
        <f t="shared" si="0"/>
        <v>69</v>
      </c>
      <c r="D33" t="s">
        <v>2014</v>
      </c>
      <c r="E33" t="s">
        <v>118</v>
      </c>
      <c r="J33" t="s">
        <v>119</v>
      </c>
      <c r="K33" t="s">
        <v>2028</v>
      </c>
      <c r="L33" t="s">
        <v>2029</v>
      </c>
      <c r="M33">
        <v>721</v>
      </c>
      <c r="O33">
        <v>0</v>
      </c>
      <c r="P33" t="s">
        <v>122</v>
      </c>
      <c r="Q33" s="1" t="s">
        <v>123</v>
      </c>
      <c r="V33" t="e">
        <f>VLOOKUP(AnalizaCzyste[[#This Row],[Moja satysfakcja z usług edukacyjnych ocenianej uczelni jest wysoka.]],SkalaLikerta[],2,0)</f>
        <v>#N/A</v>
      </c>
      <c r="AH33" s="1" t="s">
        <v>124</v>
      </c>
      <c r="AI33" t="s">
        <v>234</v>
      </c>
      <c r="AJ33" t="str">
        <f>VLOOKUP(AnalizaCzyste[[#This Row],[Jak się nazywa uczelnia którą ukończyłeś? (proszę o wybranie jednej uczelni podlegającej ocenie)]],KategorieUczelni[],2,0)</f>
        <v>Publiczna</v>
      </c>
      <c r="AK33" t="str">
        <f>VLOOKUP(AnalizaCzyste[[#This Row],[Jak się nazywa uczelnia którą ukończyłeś? (proszę o wybranie jednej uczelni podlegającej ocenie)]],KategorieUczelni[],3,0)</f>
        <v>Nietechniczna</v>
      </c>
      <c r="AL33">
        <f>COUNTIF(AnalizaCzyste[[#This Row],[Czy jesteś absolwentem uczelni wyższej?]],"*"&amp;"Tak"&amp;"*")</f>
        <v>1</v>
      </c>
      <c r="AM33">
        <v>1985</v>
      </c>
      <c r="AN33" t="s">
        <v>148</v>
      </c>
      <c r="AO33" t="s">
        <v>2030</v>
      </c>
      <c r="AP33" t="s">
        <v>169</v>
      </c>
      <c r="AQ33">
        <f>VLOOKUP(AnalizaCzyste[[#This Row],[Moja satysfakcja z (efektów) usług edukacyjnych ocenianej uczelni jest wysoka.]],SkalaLikerta[],2,0)</f>
        <v>7</v>
      </c>
      <c r="AR33" t="s">
        <v>169</v>
      </c>
      <c r="AS33" t="s">
        <v>150</v>
      </c>
      <c r="AT33" t="s">
        <v>128</v>
      </c>
      <c r="AU33" t="s">
        <v>128</v>
      </c>
      <c r="AV33">
        <v>4</v>
      </c>
      <c r="AW33" t="s">
        <v>131</v>
      </c>
      <c r="AX33">
        <f>VLOOKUP(AnalizaCzyste[[#This Row],[w pierwszym roku po ukończeniu studiów : wybierz wartość z listy rozwijanej4]],Zarobki[],2,0)</f>
        <v>1500</v>
      </c>
      <c r="AY33" t="s">
        <v>131</v>
      </c>
      <c r="AZ33">
        <f>VLOOKUP(AnalizaCzyste[[#This Row],[w 3 lata po ukończeniu studiów : wybierz wartość z listy rozwijanej5]],Zarobki[],2,0)</f>
        <v>1500</v>
      </c>
      <c r="BA33" t="s">
        <v>2031</v>
      </c>
      <c r="BB33" t="s">
        <v>1229</v>
      </c>
      <c r="BC33" t="s">
        <v>1229</v>
      </c>
      <c r="BD33" t="s">
        <v>157</v>
      </c>
      <c r="BE33" t="s">
        <v>2032</v>
      </c>
      <c r="BF33" s="1" t="s">
        <v>123</v>
      </c>
      <c r="BM33" t="e">
        <f>VLOOKUP(AnalizaCzyste[[#This Row],[Moja satysfakcja z (efektów) usług edukacyjnych ocenianej uczelni jest wysoka.8]],SkalaLikerta[],2,0)</f>
        <v>#N/A</v>
      </c>
      <c r="DA33" s="1" t="s">
        <v>123</v>
      </c>
      <c r="DE33" t="e">
        <f>VLOOKUP(AnalizaCzyste[[#This Row],[Moja satysfakcja z pracy na ocenianej uczelni jest wysoka.]],SkalaLikerta[],2,0)</f>
        <v>#N/A</v>
      </c>
      <c r="DL33" s="1" t="s">
        <v>123</v>
      </c>
      <c r="DP33" t="e">
        <f>VLOOKUP(AnalizaCzyste[[#This Row],[Moja satysfakcja z pracy na ocenianej uczelni jest wysoka.42]],SkalaLikerta[],2,0)</f>
        <v>#N/A</v>
      </c>
      <c r="DW33" s="1" t="s">
        <v>174</v>
      </c>
      <c r="DX33" t="s">
        <v>394</v>
      </c>
      <c r="EB33" t="s">
        <v>234</v>
      </c>
      <c r="EC33" t="s">
        <v>162</v>
      </c>
      <c r="ED33" t="s">
        <v>162</v>
      </c>
      <c r="EE33" t="s">
        <v>162</v>
      </c>
      <c r="EF33" t="s">
        <v>132</v>
      </c>
      <c r="EG33" t="s">
        <v>132</v>
      </c>
      <c r="EH33" t="s">
        <v>132</v>
      </c>
      <c r="EI33" t="s">
        <v>162</v>
      </c>
      <c r="EJ33">
        <f>VLOOKUP(AnalizaCzyste[[#This Row],[Ogólny poziom mojej satysfakcji z jakości usług edukacyjnych ocenianej uczelni jest wysoki.]],SkalaLikerta[],2,0)</f>
        <v>5</v>
      </c>
      <c r="EK33">
        <v>20</v>
      </c>
      <c r="EL33">
        <v>60</v>
      </c>
      <c r="EM33">
        <v>0</v>
      </c>
      <c r="EN33">
        <v>0</v>
      </c>
      <c r="EO33">
        <v>0</v>
      </c>
      <c r="EP33">
        <v>20</v>
      </c>
      <c r="EQ33">
        <v>0</v>
      </c>
      <c r="ES33">
        <v>20</v>
      </c>
      <c r="ET33">
        <v>60</v>
      </c>
      <c r="EU33">
        <v>0</v>
      </c>
      <c r="EV33">
        <v>0</v>
      </c>
      <c r="EW33">
        <v>0</v>
      </c>
      <c r="EX33">
        <v>20</v>
      </c>
      <c r="EY33">
        <v>0</v>
      </c>
      <c r="FA33" s="1" t="s">
        <v>123</v>
      </c>
      <c r="FF33" t="e">
        <f>VLOOKUP(AnalizaCzyste[[#This Row],[Moja satysfakcja z (efektów) usług edukacyjnych na ocenianej uczelni jest wysoka.]],SkalaLikerta[],2,0)</f>
        <v>#N/A</v>
      </c>
      <c r="GB33" s="1" t="s">
        <v>123</v>
      </c>
      <c r="GN33" t="e">
        <f>VLOOKUP(AnalizaCzyste[[#This Row],[Ogólny poziom mojej satysfakcji z jakości usług edukacyjnych ocenianej uczelni jest wysoki.32]],SkalaLikerta[],2,0)</f>
        <v>#N/A</v>
      </c>
      <c r="HK33" t="s">
        <v>2033</v>
      </c>
      <c r="HL33" t="s">
        <v>1229</v>
      </c>
      <c r="HM33" t="s">
        <v>1229</v>
      </c>
      <c r="HN33" t="s">
        <v>186</v>
      </c>
      <c r="HO33">
        <v>1961</v>
      </c>
      <c r="HP33" t="str">
        <f>VLOOKUP(AnalizaCzyste[[#This Row],[Rok urodzenia]],KategorieWiekowe[],2,1)</f>
        <v>56–65 lat</v>
      </c>
      <c r="HQ33" t="s">
        <v>141</v>
      </c>
    </row>
    <row r="34" spans="1:228" x14ac:dyDescent="0.45">
      <c r="A34">
        <v>21</v>
      </c>
      <c r="B34">
        <f>_xlfn.IFNA(VLOOKUP(AnalizaCzyste[[#This Row],[Zakończono wypełnianie]],Zakończone[],2,0),"BRAK")</f>
        <v>18</v>
      </c>
      <c r="C34">
        <f t="shared" si="0"/>
        <v>90</v>
      </c>
      <c r="D34" t="s">
        <v>378</v>
      </c>
      <c r="E34" t="s">
        <v>118</v>
      </c>
      <c r="J34" t="s">
        <v>119</v>
      </c>
      <c r="K34" t="s">
        <v>379</v>
      </c>
      <c r="L34" t="s">
        <v>380</v>
      </c>
      <c r="M34">
        <v>5438</v>
      </c>
      <c r="O34">
        <v>0</v>
      </c>
      <c r="P34" t="s">
        <v>122</v>
      </c>
      <c r="Q34" s="1" t="s">
        <v>123</v>
      </c>
      <c r="V34" t="e">
        <f>VLOOKUP(AnalizaCzyste[[#This Row],[Moja satysfakcja z usług edukacyjnych ocenianej uczelni jest wysoka.]],SkalaLikerta[],2,0)</f>
        <v>#N/A</v>
      </c>
      <c r="AH34" s="1" t="s">
        <v>124</v>
      </c>
      <c r="AI34" t="s">
        <v>2268</v>
      </c>
      <c r="AJ34" t="str">
        <f>VLOOKUP(AnalizaCzyste[[#This Row],[Jak się nazywa uczelnia którą ukończyłeś? (proszę o wybranie jednej uczelni podlegającej ocenie)]],KategorieUczelni[],2,0)</f>
        <v>Publiczna</v>
      </c>
      <c r="AK34" t="str">
        <f>VLOOKUP(AnalizaCzyste[[#This Row],[Jak się nazywa uczelnia którą ukończyłeś? (proszę o wybranie jednej uczelni podlegającej ocenie)]],KategorieUczelni[],3,0)</f>
        <v>Nietechniczna</v>
      </c>
      <c r="AL34">
        <f>COUNTIF(AnalizaCzyste[[#This Row],[Czy jesteś absolwentem uczelni wyższej?]],"*"&amp;"Tak"&amp;"*")</f>
        <v>1</v>
      </c>
      <c r="AM34">
        <v>1985</v>
      </c>
      <c r="AN34" t="s">
        <v>148</v>
      </c>
      <c r="AO34" t="s">
        <v>382</v>
      </c>
      <c r="AP34" t="s">
        <v>169</v>
      </c>
      <c r="AQ34">
        <f>VLOOKUP(AnalizaCzyste[[#This Row],[Moja satysfakcja z (efektów) usług edukacyjnych ocenianej uczelni jest wysoka.]],SkalaLikerta[],2,0)</f>
        <v>7</v>
      </c>
      <c r="AR34" t="s">
        <v>169</v>
      </c>
      <c r="AS34" t="s">
        <v>128</v>
      </c>
      <c r="AT34" t="s">
        <v>236</v>
      </c>
      <c r="AU34" t="s">
        <v>236</v>
      </c>
      <c r="AV34" t="s">
        <v>383</v>
      </c>
      <c r="AW34" t="s">
        <v>152</v>
      </c>
      <c r="AX34">
        <f>VLOOKUP(AnalizaCzyste[[#This Row],[w pierwszym roku po ukończeniu studiów : wybierz wartość z listy rozwijanej4]],Zarobki[],2,0)</f>
        <v>500</v>
      </c>
      <c r="AY34" t="s">
        <v>152</v>
      </c>
      <c r="AZ34">
        <f>VLOOKUP(AnalizaCzyste[[#This Row],[w 3 lata po ukończeniu studiów : wybierz wartość z listy rozwijanej5]],Zarobki[],2,0)</f>
        <v>500</v>
      </c>
      <c r="BA34" t="s">
        <v>384</v>
      </c>
      <c r="BB34" t="s">
        <v>385</v>
      </c>
      <c r="BC34" t="s">
        <v>386</v>
      </c>
      <c r="BD34" t="s">
        <v>172</v>
      </c>
      <c r="BF34" s="1" t="s">
        <v>123</v>
      </c>
      <c r="BM34" t="e">
        <f>VLOOKUP(AnalizaCzyste[[#This Row],[Moja satysfakcja z (efektów) usług edukacyjnych ocenianej uczelni jest wysoka.8]],SkalaLikerta[],2,0)</f>
        <v>#N/A</v>
      </c>
      <c r="DA34" s="1" t="s">
        <v>387</v>
      </c>
      <c r="DB34" t="s">
        <v>388</v>
      </c>
      <c r="DC34" t="s">
        <v>389</v>
      </c>
      <c r="DD34" t="s">
        <v>169</v>
      </c>
      <c r="DE34">
        <f>VLOOKUP(AnalizaCzyste[[#This Row],[Moja satysfakcja z pracy na ocenianej uczelni jest wysoka.]],SkalaLikerta[],2,0)</f>
        <v>7</v>
      </c>
      <c r="DF34" t="s">
        <v>169</v>
      </c>
      <c r="DG34" t="s">
        <v>169</v>
      </c>
      <c r="DH34" t="s">
        <v>169</v>
      </c>
      <c r="DI34" t="s">
        <v>169</v>
      </c>
      <c r="DJ34" t="s">
        <v>169</v>
      </c>
      <c r="DK34" t="s">
        <v>390</v>
      </c>
      <c r="DL34" s="1" t="s">
        <v>214</v>
      </c>
      <c r="DM34" t="s">
        <v>388</v>
      </c>
      <c r="DN34" t="s">
        <v>2274</v>
      </c>
      <c r="DO34" t="s">
        <v>169</v>
      </c>
      <c r="DP34">
        <f>VLOOKUP(AnalizaCzyste[[#This Row],[Moja satysfakcja z pracy na ocenianej uczelni jest wysoka.42]],SkalaLikerta[],2,0)</f>
        <v>7</v>
      </c>
      <c r="DQ34" t="s">
        <v>169</v>
      </c>
      <c r="DR34" t="s">
        <v>169</v>
      </c>
      <c r="DS34" t="s">
        <v>169</v>
      </c>
      <c r="DT34" t="s">
        <v>169</v>
      </c>
      <c r="DU34" t="s">
        <v>169</v>
      </c>
      <c r="DV34" t="s">
        <v>393</v>
      </c>
      <c r="DW34" s="1" t="s">
        <v>174</v>
      </c>
      <c r="DX34" t="s">
        <v>394</v>
      </c>
      <c r="EB34" s="20" t="s">
        <v>388</v>
      </c>
      <c r="EC34" t="s">
        <v>169</v>
      </c>
      <c r="ED34" t="s">
        <v>169</v>
      </c>
      <c r="EE34" t="s">
        <v>169</v>
      </c>
      <c r="EF34" t="s">
        <v>169</v>
      </c>
      <c r="EG34" t="s">
        <v>169</v>
      </c>
      <c r="EH34" t="s">
        <v>169</v>
      </c>
      <c r="EI34" t="s">
        <v>169</v>
      </c>
      <c r="EJ34">
        <f>VLOOKUP(AnalizaCzyste[[#This Row],[Ogólny poziom mojej satysfakcji z jakości usług edukacyjnych ocenianej uczelni jest wysoki.]],SkalaLikerta[],2,0)</f>
        <v>7</v>
      </c>
      <c r="EK34">
        <v>20</v>
      </c>
      <c r="EL34">
        <v>20</v>
      </c>
      <c r="EM34">
        <v>0</v>
      </c>
      <c r="EN34">
        <v>15</v>
      </c>
      <c r="EO34">
        <v>30</v>
      </c>
      <c r="EP34">
        <v>0</v>
      </c>
      <c r="EQ34">
        <v>15</v>
      </c>
      <c r="ES34">
        <v>30</v>
      </c>
      <c r="ET34">
        <v>20</v>
      </c>
      <c r="EU34">
        <v>0</v>
      </c>
      <c r="EV34">
        <v>10</v>
      </c>
      <c r="EW34">
        <v>25</v>
      </c>
      <c r="EX34">
        <v>0</v>
      </c>
      <c r="EY34">
        <v>15</v>
      </c>
      <c r="FA34" s="1" t="s">
        <v>123</v>
      </c>
      <c r="FB34" t="s">
        <v>178</v>
      </c>
      <c r="FC34" t="s">
        <v>132</v>
      </c>
      <c r="FF34" t="e">
        <f>VLOOKUP(AnalizaCzyste[[#This Row],[Moja satysfakcja z (efektów) usług edukacyjnych na ocenianej uczelni jest wysoka.]],SkalaLikerta[],2,0)</f>
        <v>#N/A</v>
      </c>
      <c r="GB34" s="1" t="s">
        <v>123</v>
      </c>
      <c r="GC34" t="s">
        <v>132</v>
      </c>
      <c r="GE34" t="s">
        <v>132</v>
      </c>
      <c r="GN34" t="e">
        <f>VLOOKUP(AnalizaCzyste[[#This Row],[Ogólny poziom mojej satysfakcji z jakości usług edukacyjnych ocenianej uczelni jest wysoki.32]],SkalaLikerta[],2,0)</f>
        <v>#N/A</v>
      </c>
      <c r="HK34" t="s">
        <v>395</v>
      </c>
      <c r="HL34" t="s">
        <v>396</v>
      </c>
      <c r="HM34" t="s">
        <v>397</v>
      </c>
      <c r="HN34" t="s">
        <v>186</v>
      </c>
      <c r="HO34">
        <v>1960</v>
      </c>
      <c r="HP34" t="str">
        <f>VLOOKUP(AnalizaCzyste[[#This Row],[Rok urodzenia]],KategorieWiekowe[],2,1)</f>
        <v>56–65 lat</v>
      </c>
      <c r="HQ34" t="s">
        <v>398</v>
      </c>
    </row>
    <row r="35" spans="1:228" x14ac:dyDescent="0.45">
      <c r="A35">
        <v>133</v>
      </c>
      <c r="B35">
        <f>_xlfn.IFNA(VLOOKUP(AnalizaCzyste[[#This Row],[Zakończono wypełnianie]],Zakończone[],2,0),"BRAK")</f>
        <v>81</v>
      </c>
      <c r="C35">
        <f t="shared" ref="C35:C66" si="1">COUNTA(P35:HU35)</f>
        <v>55</v>
      </c>
      <c r="D35" t="s">
        <v>1251</v>
      </c>
      <c r="E35" t="s">
        <v>118</v>
      </c>
      <c r="J35" t="s">
        <v>119</v>
      </c>
      <c r="K35" t="s">
        <v>1252</v>
      </c>
      <c r="L35" t="s">
        <v>1253</v>
      </c>
      <c r="M35">
        <v>367</v>
      </c>
      <c r="O35">
        <v>0</v>
      </c>
      <c r="P35" t="s">
        <v>122</v>
      </c>
      <c r="Q35" s="1" t="s">
        <v>123</v>
      </c>
      <c r="V35" t="e">
        <f>VLOOKUP(AnalizaCzyste[[#This Row],[Moja satysfakcja z usług edukacyjnych ocenianej uczelni jest wysoka.]],SkalaLikerta[],2,0)</f>
        <v>#N/A</v>
      </c>
      <c r="AH35" s="1" t="s">
        <v>124</v>
      </c>
      <c r="AI35" t="s">
        <v>223</v>
      </c>
      <c r="AJ35" t="str">
        <f>VLOOKUP(AnalizaCzyste[[#This Row],[Jak się nazywa uczelnia którą ukończyłeś? (proszę o wybranie jednej uczelni podlegającej ocenie)]],KategorieUczelni[],2,0)</f>
        <v>Publiczna</v>
      </c>
      <c r="AK35" t="str">
        <f>VLOOKUP(AnalizaCzyste[[#This Row],[Jak się nazywa uczelnia którą ukończyłeś? (proszę o wybranie jednej uczelni podlegającej ocenie)]],KategorieUczelni[],3,0)</f>
        <v>Nietechniczna</v>
      </c>
      <c r="AL35">
        <f>COUNTIF(AnalizaCzyste[[#This Row],[Czy jesteś absolwentem uczelni wyższej?]],"*"&amp;"Tak"&amp;"*")</f>
        <v>1</v>
      </c>
      <c r="AM35">
        <v>2006</v>
      </c>
      <c r="AN35" t="s">
        <v>148</v>
      </c>
      <c r="AO35" t="s">
        <v>1050</v>
      </c>
      <c r="AP35" t="s">
        <v>162</v>
      </c>
      <c r="AQ35">
        <f>VLOOKUP(AnalizaCzyste[[#This Row],[Moja satysfakcja z (efektów) usług edukacyjnych ocenianej uczelni jest wysoka.]],SkalaLikerta[],2,0)</f>
        <v>5</v>
      </c>
      <c r="AR35" t="s">
        <v>162</v>
      </c>
      <c r="AS35" t="s">
        <v>169</v>
      </c>
      <c r="AT35" t="s">
        <v>236</v>
      </c>
      <c r="AU35" t="s">
        <v>151</v>
      </c>
      <c r="AV35">
        <v>3</v>
      </c>
      <c r="AW35" t="s">
        <v>131</v>
      </c>
      <c r="AX35">
        <f>VLOOKUP(AnalizaCzyste[[#This Row],[w pierwszym roku po ukończeniu studiów : wybierz wartość z listy rozwijanej4]],Zarobki[],2,0)</f>
        <v>1500</v>
      </c>
      <c r="AY35" t="s">
        <v>302</v>
      </c>
      <c r="AZ35">
        <f>VLOOKUP(AnalizaCzyste[[#This Row],[w 3 lata po ukończeniu studiów : wybierz wartość z listy rozwijanej5]],Zarobki[],2,0)</f>
        <v>2500</v>
      </c>
      <c r="BA35" t="s">
        <v>1254</v>
      </c>
      <c r="BB35" t="s">
        <v>1255</v>
      </c>
      <c r="BC35" t="s">
        <v>1256</v>
      </c>
      <c r="BD35" t="s">
        <v>157</v>
      </c>
      <c r="BE35" t="s">
        <v>1257</v>
      </c>
      <c r="BF35" s="1" t="s">
        <v>123</v>
      </c>
      <c r="BM35" t="e">
        <f>VLOOKUP(AnalizaCzyste[[#This Row],[Moja satysfakcja z (efektów) usług edukacyjnych ocenianej uczelni jest wysoka.8]],SkalaLikerta[],2,0)</f>
        <v>#N/A</v>
      </c>
      <c r="DA35" s="1" t="s">
        <v>123</v>
      </c>
      <c r="DE35" t="e">
        <f>VLOOKUP(AnalizaCzyste[[#This Row],[Moja satysfakcja z pracy na ocenianej uczelni jest wysoka.]],SkalaLikerta[],2,0)</f>
        <v>#N/A</v>
      </c>
      <c r="DL35" s="1" t="s">
        <v>214</v>
      </c>
      <c r="DM35" t="s">
        <v>191</v>
      </c>
      <c r="DN35" t="s">
        <v>308</v>
      </c>
      <c r="DO35" t="s">
        <v>169</v>
      </c>
      <c r="DP35">
        <f>VLOOKUP(AnalizaCzyste[[#This Row],[Moja satysfakcja z pracy na ocenianej uczelni jest wysoka.42]],SkalaLikerta[],2,0)</f>
        <v>7</v>
      </c>
      <c r="DQ35" t="s">
        <v>150</v>
      </c>
      <c r="DR35" t="s">
        <v>150</v>
      </c>
      <c r="DS35" t="s">
        <v>169</v>
      </c>
      <c r="DT35" t="s">
        <v>162</v>
      </c>
      <c r="DU35" t="s">
        <v>162</v>
      </c>
      <c r="DV35" t="s">
        <v>1258</v>
      </c>
      <c r="DW35" s="1" t="s">
        <v>123</v>
      </c>
      <c r="EJ35" t="e">
        <f>VLOOKUP(AnalizaCzyste[[#This Row],[Ogólny poziom mojej satysfakcji z jakości usług edukacyjnych ocenianej uczelni jest wysoki.]],SkalaLikerta[],2,0)</f>
        <v>#N/A</v>
      </c>
      <c r="FA35" s="1" t="s">
        <v>123</v>
      </c>
      <c r="FF35" t="e">
        <f>VLOOKUP(AnalizaCzyste[[#This Row],[Moja satysfakcja z (efektów) usług edukacyjnych na ocenianej uczelni jest wysoka.]],SkalaLikerta[],2,0)</f>
        <v>#N/A</v>
      </c>
      <c r="GB35" s="1" t="s">
        <v>123</v>
      </c>
      <c r="GN35" t="e">
        <f>VLOOKUP(AnalizaCzyste[[#This Row],[Ogólny poziom mojej satysfakcji z jakości usług edukacyjnych ocenianej uczelni jest wysoki.32]],SkalaLikerta[],2,0)</f>
        <v>#N/A</v>
      </c>
      <c r="HK35" t="s">
        <v>1259</v>
      </c>
      <c r="HL35" t="s">
        <v>1260</v>
      </c>
      <c r="HM35" t="s">
        <v>1261</v>
      </c>
      <c r="HN35" t="s">
        <v>186</v>
      </c>
      <c r="HO35">
        <v>1982</v>
      </c>
      <c r="HP35" t="str">
        <f>VLOOKUP(AnalizaCzyste[[#This Row],[Rok urodzenia]],KategorieWiekowe[],2,1)</f>
        <v>36–45 lat</v>
      </c>
      <c r="HQ35" t="s">
        <v>141</v>
      </c>
    </row>
    <row r="36" spans="1:228" x14ac:dyDescent="0.45">
      <c r="A36">
        <v>60</v>
      </c>
      <c r="B36">
        <f>_xlfn.IFNA(VLOOKUP(AnalizaCzyste[[#This Row],[Zakończono wypełnianie]],Zakończone[],2,0),"BRAK")</f>
        <v>35</v>
      </c>
      <c r="C36">
        <f t="shared" si="1"/>
        <v>54</v>
      </c>
      <c r="D36" t="s">
        <v>656</v>
      </c>
      <c r="E36" t="s">
        <v>118</v>
      </c>
      <c r="F36" t="s">
        <v>359</v>
      </c>
      <c r="J36" t="s">
        <v>119</v>
      </c>
      <c r="K36" t="s">
        <v>657</v>
      </c>
      <c r="L36" t="s">
        <v>658</v>
      </c>
      <c r="M36">
        <v>770</v>
      </c>
      <c r="O36">
        <v>0</v>
      </c>
      <c r="P36" t="s">
        <v>122</v>
      </c>
      <c r="Q36" s="1" t="s">
        <v>123</v>
      </c>
      <c r="V36" t="e">
        <f>VLOOKUP(AnalizaCzyste[[#This Row],[Moja satysfakcja z usług edukacyjnych ocenianej uczelni jest wysoka.]],SkalaLikerta[],2,0)</f>
        <v>#N/A</v>
      </c>
      <c r="AH36" s="1" t="s">
        <v>124</v>
      </c>
      <c r="AI36" t="s">
        <v>445</v>
      </c>
      <c r="AJ36" t="str">
        <f>VLOOKUP(AnalizaCzyste[[#This Row],[Jak się nazywa uczelnia którą ukończyłeś? (proszę o wybranie jednej uczelni podlegającej ocenie)]],KategorieUczelni[],2,0)</f>
        <v>Publiczna</v>
      </c>
      <c r="AK36" t="str">
        <f>VLOOKUP(AnalizaCzyste[[#This Row],[Jak się nazywa uczelnia którą ukończyłeś? (proszę o wybranie jednej uczelni podlegającej ocenie)]],KategorieUczelni[],3,0)</f>
        <v>Nietechniczna</v>
      </c>
      <c r="AL36">
        <f>COUNTIF(AnalizaCzyste[[#This Row],[Czy jesteś absolwentem uczelni wyższej?]],"*"&amp;"Tak"&amp;"*")</f>
        <v>1</v>
      </c>
      <c r="AM36" t="s">
        <v>659</v>
      </c>
      <c r="AN36" t="s">
        <v>148</v>
      </c>
      <c r="AO36" t="s">
        <v>660</v>
      </c>
      <c r="AP36" t="s">
        <v>169</v>
      </c>
      <c r="AQ36">
        <f>VLOOKUP(AnalizaCzyste[[#This Row],[Moja satysfakcja z (efektów) usług edukacyjnych ocenianej uczelni jest wysoka.]],SkalaLikerta[],2,0)</f>
        <v>7</v>
      </c>
      <c r="AR36" t="s">
        <v>169</v>
      </c>
      <c r="AS36" t="s">
        <v>169</v>
      </c>
      <c r="AT36" t="s">
        <v>150</v>
      </c>
      <c r="AU36" t="s">
        <v>132</v>
      </c>
      <c r="AV36" t="s">
        <v>661</v>
      </c>
      <c r="AW36" t="s">
        <v>302</v>
      </c>
      <c r="AX36">
        <f>VLOOKUP(AnalizaCzyste[[#This Row],[w pierwszym roku po ukończeniu studiów : wybierz wartość z listy rozwijanej4]],Zarobki[],2,0)</f>
        <v>2500</v>
      </c>
      <c r="AY36" t="s">
        <v>132</v>
      </c>
      <c r="AZ36" t="str">
        <f>VLOOKUP(AnalizaCzyste[[#This Row],[w 3 lata po ukończeniu studiów : wybierz wartość z listy rozwijanej5]],Zarobki[],2,0)</f>
        <v>N/D</v>
      </c>
      <c r="BB36" t="s">
        <v>662</v>
      </c>
      <c r="BC36" t="s">
        <v>663</v>
      </c>
      <c r="BD36" t="s">
        <v>157</v>
      </c>
      <c r="BE36" t="s">
        <v>664</v>
      </c>
      <c r="BF36" s="1" t="s">
        <v>123</v>
      </c>
      <c r="BM36" t="e">
        <f>VLOOKUP(AnalizaCzyste[[#This Row],[Moja satysfakcja z (efektów) usług edukacyjnych ocenianej uczelni jest wysoka.8]],SkalaLikerta[],2,0)</f>
        <v>#N/A</v>
      </c>
      <c r="DA36" s="1" t="s">
        <v>123</v>
      </c>
      <c r="DE36" t="e">
        <f>VLOOKUP(AnalizaCzyste[[#This Row],[Moja satysfakcja z pracy na ocenianej uczelni jest wysoka.]],SkalaLikerta[],2,0)</f>
        <v>#N/A</v>
      </c>
      <c r="DL36" s="1" t="s">
        <v>214</v>
      </c>
      <c r="DM36" t="s">
        <v>445</v>
      </c>
      <c r="DN36" t="s">
        <v>518</v>
      </c>
      <c r="DO36" t="s">
        <v>169</v>
      </c>
      <c r="DP36">
        <f>VLOOKUP(AnalizaCzyste[[#This Row],[Moja satysfakcja z pracy na ocenianej uczelni jest wysoka.42]],SkalaLikerta[],2,0)</f>
        <v>7</v>
      </c>
      <c r="DQ36" t="s">
        <v>169</v>
      </c>
      <c r="DR36" t="s">
        <v>169</v>
      </c>
      <c r="DS36" t="s">
        <v>169</v>
      </c>
      <c r="DT36" t="s">
        <v>169</v>
      </c>
      <c r="DU36" t="s">
        <v>150</v>
      </c>
      <c r="DW36" s="1" t="s">
        <v>123</v>
      </c>
      <c r="EJ36" t="e">
        <f>VLOOKUP(AnalizaCzyste[[#This Row],[Ogólny poziom mojej satysfakcji z jakości usług edukacyjnych ocenianej uczelni jest wysoki.]],SkalaLikerta[],2,0)</f>
        <v>#N/A</v>
      </c>
      <c r="FA36" s="1" t="s">
        <v>123</v>
      </c>
      <c r="FF36" t="e">
        <f>VLOOKUP(AnalizaCzyste[[#This Row],[Moja satysfakcja z (efektów) usług edukacyjnych na ocenianej uczelni jest wysoka.]],SkalaLikerta[],2,0)</f>
        <v>#N/A</v>
      </c>
      <c r="GB36" s="1" t="s">
        <v>123</v>
      </c>
      <c r="GC36" t="s">
        <v>132</v>
      </c>
      <c r="GN36" t="e">
        <f>VLOOKUP(AnalizaCzyste[[#This Row],[Ogólny poziom mojej satysfakcji z jakości usług edukacyjnych ocenianej uczelni jest wysoki.32]],SkalaLikerta[],2,0)</f>
        <v>#N/A</v>
      </c>
      <c r="HK36" t="s">
        <v>665</v>
      </c>
      <c r="HL36" t="s">
        <v>666</v>
      </c>
      <c r="HM36" t="s">
        <v>667</v>
      </c>
      <c r="HN36" t="s">
        <v>140</v>
      </c>
      <c r="HO36">
        <v>1989</v>
      </c>
      <c r="HP36" t="str">
        <f>VLOOKUP(AnalizaCzyste[[#This Row],[Rok urodzenia]],KategorieWiekowe[],2,1)</f>
        <v>26–35 lat</v>
      </c>
      <c r="HQ36" t="s">
        <v>141</v>
      </c>
    </row>
    <row r="37" spans="1:228" x14ac:dyDescent="0.45">
      <c r="A37">
        <v>38</v>
      </c>
      <c r="B37">
        <f>_xlfn.IFNA(VLOOKUP(AnalizaCzyste[[#This Row],[Zakończono wypełnianie]],Zakończone[],2,0),"BRAK")</f>
        <v>26</v>
      </c>
      <c r="C37">
        <f t="shared" si="1"/>
        <v>58</v>
      </c>
      <c r="D37" t="s">
        <v>511</v>
      </c>
      <c r="E37" t="s">
        <v>118</v>
      </c>
      <c r="F37" t="s">
        <v>375</v>
      </c>
      <c r="J37" t="s">
        <v>119</v>
      </c>
      <c r="K37" t="s">
        <v>512</v>
      </c>
      <c r="L37" t="s">
        <v>513</v>
      </c>
      <c r="M37">
        <v>424</v>
      </c>
      <c r="O37">
        <v>0</v>
      </c>
      <c r="P37" t="s">
        <v>122</v>
      </c>
      <c r="Q37" s="1" t="s">
        <v>123</v>
      </c>
      <c r="V37" t="e">
        <f>VLOOKUP(AnalizaCzyste[[#This Row],[Moja satysfakcja z usług edukacyjnych ocenianej uczelni jest wysoka.]],SkalaLikerta[],2,0)</f>
        <v>#N/A</v>
      </c>
      <c r="AH37" s="1" t="s">
        <v>124</v>
      </c>
      <c r="AI37" t="s">
        <v>445</v>
      </c>
      <c r="AJ37" t="str">
        <f>VLOOKUP(AnalizaCzyste[[#This Row],[Jak się nazywa uczelnia którą ukończyłeś? (proszę o wybranie jednej uczelni podlegającej ocenie)]],KategorieUczelni[],2,0)</f>
        <v>Publiczna</v>
      </c>
      <c r="AK37" t="str">
        <f>VLOOKUP(AnalizaCzyste[[#This Row],[Jak się nazywa uczelnia którą ukończyłeś? (proszę o wybranie jednej uczelni podlegającej ocenie)]],KategorieUczelni[],3,0)</f>
        <v>Nietechniczna</v>
      </c>
      <c r="AL37">
        <f>COUNTIF(AnalizaCzyste[[#This Row],[Czy jesteś absolwentem uczelni wyższej?]],"*"&amp;"Tak"&amp;"*")</f>
        <v>1</v>
      </c>
      <c r="AM37">
        <v>2018</v>
      </c>
      <c r="AN37" t="s">
        <v>148</v>
      </c>
      <c r="AO37" t="s">
        <v>514</v>
      </c>
      <c r="AP37" t="s">
        <v>150</v>
      </c>
      <c r="AQ37">
        <f>VLOOKUP(AnalizaCzyste[[#This Row],[Moja satysfakcja z (efektów) usług edukacyjnych ocenianej uczelni jest wysoka.]],SkalaLikerta[],2,0)</f>
        <v>6</v>
      </c>
      <c r="AR37" t="s">
        <v>169</v>
      </c>
      <c r="AS37" t="s">
        <v>169</v>
      </c>
      <c r="AT37" t="s">
        <v>150</v>
      </c>
      <c r="AU37" t="s">
        <v>132</v>
      </c>
      <c r="AV37" t="s">
        <v>515</v>
      </c>
      <c r="AW37" t="s">
        <v>302</v>
      </c>
      <c r="AX37">
        <f>VLOOKUP(AnalizaCzyste[[#This Row],[w pierwszym roku po ukończeniu studiów : wybierz wartość z listy rozwijanej4]],Zarobki[],2,0)</f>
        <v>2500</v>
      </c>
      <c r="AY37" t="s">
        <v>132</v>
      </c>
      <c r="AZ37" t="str">
        <f>VLOOKUP(AnalizaCzyste[[#This Row],[w 3 lata po ukończeniu studiów : wybierz wartość z listy rozwijanej5]],Zarobki[],2,0)</f>
        <v>N/D</v>
      </c>
      <c r="BA37" t="s">
        <v>516</v>
      </c>
      <c r="BB37" t="s">
        <v>517</v>
      </c>
      <c r="BC37" t="s">
        <v>142</v>
      </c>
      <c r="BD37" t="s">
        <v>157</v>
      </c>
      <c r="BF37" s="1" t="s">
        <v>123</v>
      </c>
      <c r="BM37" t="e">
        <f>VLOOKUP(AnalizaCzyste[[#This Row],[Moja satysfakcja z (efektów) usług edukacyjnych ocenianej uczelni jest wysoka.8]],SkalaLikerta[],2,0)</f>
        <v>#N/A</v>
      </c>
      <c r="DA37" s="1" t="s">
        <v>123</v>
      </c>
      <c r="DE37" t="e">
        <f>VLOOKUP(AnalizaCzyste[[#This Row],[Moja satysfakcja z pracy na ocenianej uczelni jest wysoka.]],SkalaLikerta[],2,0)</f>
        <v>#N/A</v>
      </c>
      <c r="DL37" s="1" t="s">
        <v>214</v>
      </c>
      <c r="DM37" t="s">
        <v>445</v>
      </c>
      <c r="DN37" t="s">
        <v>518</v>
      </c>
      <c r="DO37" t="s">
        <v>169</v>
      </c>
      <c r="DP37">
        <f>VLOOKUP(AnalizaCzyste[[#This Row],[Moja satysfakcja z pracy na ocenianej uczelni jest wysoka.42]],SkalaLikerta[],2,0)</f>
        <v>7</v>
      </c>
      <c r="DQ37" t="s">
        <v>150</v>
      </c>
      <c r="DR37" t="s">
        <v>162</v>
      </c>
      <c r="DS37" t="s">
        <v>150</v>
      </c>
      <c r="DT37" t="s">
        <v>150</v>
      </c>
      <c r="DU37" t="s">
        <v>151</v>
      </c>
      <c r="DW37" s="1" t="s">
        <v>123</v>
      </c>
      <c r="EJ37" t="e">
        <f>VLOOKUP(AnalizaCzyste[[#This Row],[Ogólny poziom mojej satysfakcji z jakości usług edukacyjnych ocenianej uczelni jest wysoki.]],SkalaLikerta[],2,0)</f>
        <v>#N/A</v>
      </c>
      <c r="FA37" s="1" t="s">
        <v>123</v>
      </c>
      <c r="FB37" t="s">
        <v>180</v>
      </c>
      <c r="FC37" t="s">
        <v>132</v>
      </c>
      <c r="FF37" t="e">
        <f>VLOOKUP(AnalizaCzyste[[#This Row],[Moja satysfakcja z (efektów) usług edukacyjnych na ocenianej uczelni jest wysoka.]],SkalaLikerta[],2,0)</f>
        <v>#N/A</v>
      </c>
      <c r="GB37" s="1" t="s">
        <v>123</v>
      </c>
      <c r="GC37" t="s">
        <v>132</v>
      </c>
      <c r="GE37" t="s">
        <v>132</v>
      </c>
      <c r="GN37" t="e">
        <f>VLOOKUP(AnalizaCzyste[[#This Row],[Ogólny poziom mojej satysfakcji z jakości usług edukacyjnych ocenianej uczelni jest wysoki.32]],SkalaLikerta[],2,0)</f>
        <v>#N/A</v>
      </c>
      <c r="HK37" t="s">
        <v>519</v>
      </c>
      <c r="HL37" t="s">
        <v>520</v>
      </c>
      <c r="HM37" t="s">
        <v>142</v>
      </c>
      <c r="HN37" t="s">
        <v>186</v>
      </c>
      <c r="HO37">
        <v>1994</v>
      </c>
      <c r="HP37" t="str">
        <f>VLOOKUP(AnalizaCzyste[[#This Row],[Rok urodzenia]],KategorieWiekowe[],2,1)</f>
        <v>26–35 lat</v>
      </c>
      <c r="HQ37" t="s">
        <v>141</v>
      </c>
      <c r="HT37" t="s">
        <v>521</v>
      </c>
    </row>
    <row r="38" spans="1:228" x14ac:dyDescent="0.45">
      <c r="A38">
        <v>223</v>
      </c>
      <c r="B38">
        <f>_xlfn.IFNA(VLOOKUP(AnalizaCzyste[[#This Row],[Zakończono wypełnianie]],Zakończone[],2,0),"BRAK")</f>
        <v>122</v>
      </c>
      <c r="C38">
        <f t="shared" si="1"/>
        <v>55</v>
      </c>
      <c r="D38" t="s">
        <v>1827</v>
      </c>
      <c r="E38" t="s">
        <v>118</v>
      </c>
      <c r="J38" t="s">
        <v>119</v>
      </c>
      <c r="K38" t="s">
        <v>1828</v>
      </c>
      <c r="L38" t="s">
        <v>1829</v>
      </c>
      <c r="M38">
        <v>673</v>
      </c>
      <c r="O38">
        <v>0</v>
      </c>
      <c r="P38" t="s">
        <v>122</v>
      </c>
      <c r="Q38" s="1" t="s">
        <v>123</v>
      </c>
      <c r="V38" t="e">
        <f>VLOOKUP(AnalizaCzyste[[#This Row],[Moja satysfakcja z usług edukacyjnych ocenianej uczelni jest wysoka.]],SkalaLikerta[],2,0)</f>
        <v>#N/A</v>
      </c>
      <c r="AH38" s="1" t="s">
        <v>124</v>
      </c>
      <c r="AI38" t="s">
        <v>223</v>
      </c>
      <c r="AJ38" t="str">
        <f>VLOOKUP(AnalizaCzyste[[#This Row],[Jak się nazywa uczelnia którą ukończyłeś? (proszę o wybranie jednej uczelni podlegającej ocenie)]],KategorieUczelni[],2,0)</f>
        <v>Publiczna</v>
      </c>
      <c r="AK38" t="str">
        <f>VLOOKUP(AnalizaCzyste[[#This Row],[Jak się nazywa uczelnia którą ukończyłeś? (proszę o wybranie jednej uczelni podlegającej ocenie)]],KategorieUczelni[],3,0)</f>
        <v>Nietechniczna</v>
      </c>
      <c r="AL38">
        <f>COUNTIF(AnalizaCzyste[[#This Row],[Czy jesteś absolwentem uczelni wyższej?]],"*"&amp;"Tak"&amp;"*")</f>
        <v>1</v>
      </c>
      <c r="AM38">
        <v>2005</v>
      </c>
      <c r="AN38" t="s">
        <v>148</v>
      </c>
      <c r="AO38" t="s">
        <v>1831</v>
      </c>
      <c r="AP38" t="s">
        <v>162</v>
      </c>
      <c r="AQ38">
        <f>VLOOKUP(AnalizaCzyste[[#This Row],[Moja satysfakcja z (efektów) usług edukacyjnych ocenianej uczelni jest wysoka.]],SkalaLikerta[],2,0)</f>
        <v>5</v>
      </c>
      <c r="AR38" t="s">
        <v>169</v>
      </c>
      <c r="AS38" t="s">
        <v>169</v>
      </c>
      <c r="AT38" t="s">
        <v>128</v>
      </c>
      <c r="AU38" t="s">
        <v>162</v>
      </c>
      <c r="AV38" t="s">
        <v>237</v>
      </c>
      <c r="AW38" t="s">
        <v>302</v>
      </c>
      <c r="AX38">
        <f>VLOOKUP(AnalizaCzyste[[#This Row],[w pierwszym roku po ukończeniu studiów : wybierz wartość z listy rozwijanej4]],Zarobki[],2,0)</f>
        <v>2500</v>
      </c>
      <c r="AY38" t="s">
        <v>153</v>
      </c>
      <c r="AZ38">
        <f>VLOOKUP(AnalizaCzyste[[#This Row],[w 3 lata po ukończeniu studiów : wybierz wartość z listy rozwijanej5]],Zarobki[],2,0)</f>
        <v>3500</v>
      </c>
      <c r="BA38" t="s">
        <v>1832</v>
      </c>
      <c r="BB38" t="s">
        <v>1833</v>
      </c>
      <c r="BC38" t="s">
        <v>1834</v>
      </c>
      <c r="BE38" t="s">
        <v>158</v>
      </c>
      <c r="BF38" s="1" t="s">
        <v>123</v>
      </c>
      <c r="BM38" t="e">
        <f>VLOOKUP(AnalizaCzyste[[#This Row],[Moja satysfakcja z (efektów) usług edukacyjnych ocenianej uczelni jest wysoka.8]],SkalaLikerta[],2,0)</f>
        <v>#N/A</v>
      </c>
      <c r="DA38" s="1" t="s">
        <v>123</v>
      </c>
      <c r="DE38" t="e">
        <f>VLOOKUP(AnalizaCzyste[[#This Row],[Moja satysfakcja z pracy na ocenianej uczelni jest wysoka.]],SkalaLikerta[],2,0)</f>
        <v>#N/A</v>
      </c>
      <c r="DL38" s="1" t="s">
        <v>214</v>
      </c>
      <c r="DM38" t="s">
        <v>191</v>
      </c>
      <c r="DN38" t="s">
        <v>2277</v>
      </c>
      <c r="DO38" t="s">
        <v>150</v>
      </c>
      <c r="DP38">
        <f>VLOOKUP(AnalizaCzyste[[#This Row],[Moja satysfakcja z pracy na ocenianej uczelni jest wysoka.42]],SkalaLikerta[],2,0)</f>
        <v>6</v>
      </c>
      <c r="DQ38" t="s">
        <v>150</v>
      </c>
      <c r="DR38" t="s">
        <v>151</v>
      </c>
      <c r="DS38" t="s">
        <v>150</v>
      </c>
      <c r="DT38" t="s">
        <v>169</v>
      </c>
      <c r="DU38" t="s">
        <v>169</v>
      </c>
      <c r="DV38" t="s">
        <v>1836</v>
      </c>
      <c r="DW38" s="1" t="s">
        <v>123</v>
      </c>
      <c r="EJ38" t="e">
        <f>VLOOKUP(AnalizaCzyste[[#This Row],[Ogólny poziom mojej satysfakcji z jakości usług edukacyjnych ocenianej uczelni jest wysoki.]],SkalaLikerta[],2,0)</f>
        <v>#N/A</v>
      </c>
      <c r="FA38" s="1" t="s">
        <v>123</v>
      </c>
      <c r="FF38" t="e">
        <f>VLOOKUP(AnalizaCzyste[[#This Row],[Moja satysfakcja z (efektów) usług edukacyjnych na ocenianej uczelni jest wysoka.]],SkalaLikerta[],2,0)</f>
        <v>#N/A</v>
      </c>
      <c r="GB38" s="1" t="s">
        <v>123</v>
      </c>
      <c r="GN38" t="e">
        <f>VLOOKUP(AnalizaCzyste[[#This Row],[Ogólny poziom mojej satysfakcji z jakości usług edukacyjnych ocenianej uczelni jest wysoki.32]],SkalaLikerta[],2,0)</f>
        <v>#N/A</v>
      </c>
      <c r="HK38" t="s">
        <v>1837</v>
      </c>
      <c r="HL38" t="s">
        <v>1838</v>
      </c>
      <c r="HM38" t="s">
        <v>1839</v>
      </c>
      <c r="HN38" t="s">
        <v>140</v>
      </c>
      <c r="HO38">
        <v>1981</v>
      </c>
      <c r="HP38" t="str">
        <f>VLOOKUP(AnalizaCzyste[[#This Row],[Rok urodzenia]],KategorieWiekowe[],2,1)</f>
        <v>36–45 lat</v>
      </c>
      <c r="HQ38" t="s">
        <v>141</v>
      </c>
      <c r="HS38" t="s">
        <v>1840</v>
      </c>
    </row>
    <row r="39" spans="1:228" x14ac:dyDescent="0.45">
      <c r="A39">
        <v>4</v>
      </c>
      <c r="B39">
        <f>_xlfn.IFNA(VLOOKUP(AnalizaCzyste[[#This Row],[Zakończono wypełnianie]],Zakończone[],2,0),"BRAK")</f>
        <v>4</v>
      </c>
      <c r="C39">
        <f t="shared" si="1"/>
        <v>58</v>
      </c>
      <c r="D39" t="s">
        <v>202</v>
      </c>
      <c r="E39" t="s">
        <v>118</v>
      </c>
      <c r="J39" t="s">
        <v>119</v>
      </c>
      <c r="K39" t="s">
        <v>203</v>
      </c>
      <c r="L39" t="s">
        <v>204</v>
      </c>
      <c r="M39">
        <v>3161</v>
      </c>
      <c r="O39">
        <v>0</v>
      </c>
      <c r="P39" t="s">
        <v>122</v>
      </c>
      <c r="Q39" s="1" t="s">
        <v>123</v>
      </c>
      <c r="V39" t="e">
        <f>VLOOKUP(AnalizaCzyste[[#This Row],[Moja satysfakcja z usług edukacyjnych ocenianej uczelni jest wysoka.]],SkalaLikerta[],2,0)</f>
        <v>#N/A</v>
      </c>
      <c r="AH39" s="1" t="s">
        <v>124</v>
      </c>
      <c r="AI39" t="s">
        <v>234</v>
      </c>
      <c r="AJ39" t="str">
        <f>VLOOKUP(AnalizaCzyste[[#This Row],[Jak się nazywa uczelnia którą ukończyłeś? (proszę o wybranie jednej uczelni podlegającej ocenie)]],KategorieUczelni[],2,0)</f>
        <v>Publiczna</v>
      </c>
      <c r="AK39" t="str">
        <f>VLOOKUP(AnalizaCzyste[[#This Row],[Jak się nazywa uczelnia którą ukończyłeś? (proszę o wybranie jednej uczelni podlegającej ocenie)]],KategorieUczelni[],3,0)</f>
        <v>Nietechniczna</v>
      </c>
      <c r="AL39">
        <f>COUNTIF(AnalizaCzyste[[#This Row],[Czy jesteś absolwentem uczelni wyższej?]],"*"&amp;"Tak"&amp;"*")</f>
        <v>1</v>
      </c>
      <c r="AM39">
        <v>1986</v>
      </c>
      <c r="AN39" t="s">
        <v>148</v>
      </c>
      <c r="AO39" t="s">
        <v>207</v>
      </c>
      <c r="AP39" t="s">
        <v>150</v>
      </c>
      <c r="AQ39">
        <f>VLOOKUP(AnalizaCzyste[[#This Row],[Moja satysfakcja z (efektów) usług edukacyjnych ocenianej uczelni jest wysoka.]],SkalaLikerta[],2,0)</f>
        <v>6</v>
      </c>
      <c r="AR39" t="s">
        <v>150</v>
      </c>
      <c r="AS39" t="s">
        <v>162</v>
      </c>
      <c r="AT39" t="s">
        <v>162</v>
      </c>
      <c r="AU39" t="s">
        <v>162</v>
      </c>
      <c r="AV39" t="s">
        <v>208</v>
      </c>
      <c r="AW39" t="s">
        <v>209</v>
      </c>
      <c r="AX39">
        <f>VLOOKUP(AnalizaCzyste[[#This Row],[w pierwszym roku po ukończeniu studiów : wybierz wartość z listy rozwijanej4]],Zarobki[],2,0)</f>
        <v>7500</v>
      </c>
      <c r="AY39" t="s">
        <v>209</v>
      </c>
      <c r="AZ39">
        <f>VLOOKUP(AnalizaCzyste[[#This Row],[w 3 lata po ukończeniu studiów : wybierz wartość z listy rozwijanej5]],Zarobki[],2,0)</f>
        <v>7500</v>
      </c>
      <c r="BA39" t="s">
        <v>210</v>
      </c>
      <c r="BB39" t="s">
        <v>211</v>
      </c>
      <c r="BC39" t="s">
        <v>212</v>
      </c>
      <c r="BD39" t="s">
        <v>157</v>
      </c>
      <c r="BE39" t="s">
        <v>213</v>
      </c>
      <c r="BF39" s="1" t="s">
        <v>123</v>
      </c>
      <c r="BM39" t="e">
        <f>VLOOKUP(AnalizaCzyste[[#This Row],[Moja satysfakcja z (efektów) usług edukacyjnych ocenianej uczelni jest wysoka.8]],SkalaLikerta[],2,0)</f>
        <v>#N/A</v>
      </c>
      <c r="DA39" s="1" t="s">
        <v>123</v>
      </c>
      <c r="DE39" t="e">
        <f>VLOOKUP(AnalizaCzyste[[#This Row],[Moja satysfakcja z pracy na ocenianej uczelni jest wysoka.]],SkalaLikerta[],2,0)</f>
        <v>#N/A</v>
      </c>
      <c r="DL39" s="1" t="s">
        <v>214</v>
      </c>
      <c r="DM39" t="s">
        <v>234</v>
      </c>
      <c r="DN39" t="s">
        <v>215</v>
      </c>
      <c r="DO39" t="s">
        <v>150</v>
      </c>
      <c r="DP39">
        <f>VLOOKUP(AnalizaCzyste[[#This Row],[Moja satysfakcja z pracy na ocenianej uczelni jest wysoka.42]],SkalaLikerta[],2,0)</f>
        <v>6</v>
      </c>
      <c r="DQ39" t="s">
        <v>169</v>
      </c>
      <c r="DR39" t="s">
        <v>169</v>
      </c>
      <c r="DS39" t="s">
        <v>150</v>
      </c>
      <c r="DT39" t="s">
        <v>151</v>
      </c>
      <c r="DU39" t="s">
        <v>151</v>
      </c>
      <c r="DV39" t="s">
        <v>216</v>
      </c>
      <c r="DW39" s="1" t="s">
        <v>123</v>
      </c>
      <c r="EJ39" t="e">
        <f>VLOOKUP(AnalizaCzyste[[#This Row],[Ogólny poziom mojej satysfakcji z jakości usług edukacyjnych ocenianej uczelni jest wysoki.]],SkalaLikerta[],2,0)</f>
        <v>#N/A</v>
      </c>
      <c r="FA39" s="1" t="s">
        <v>123</v>
      </c>
      <c r="FB39" t="s">
        <v>178</v>
      </c>
      <c r="FC39" t="s">
        <v>132</v>
      </c>
      <c r="FF39" t="e">
        <f>VLOOKUP(AnalizaCzyste[[#This Row],[Moja satysfakcja z (efektów) usług edukacyjnych na ocenianej uczelni jest wysoka.]],SkalaLikerta[],2,0)</f>
        <v>#N/A</v>
      </c>
      <c r="GB39" s="1" t="s">
        <v>123</v>
      </c>
      <c r="GC39" t="s">
        <v>132</v>
      </c>
      <c r="GN39" t="e">
        <f>VLOOKUP(AnalizaCzyste[[#This Row],[Ogólny poziom mojej satysfakcji z jakości usług edukacyjnych ocenianej uczelni jest wysoki.32]],SkalaLikerta[],2,0)</f>
        <v>#N/A</v>
      </c>
      <c r="HK39" t="s">
        <v>217</v>
      </c>
      <c r="HL39" t="s">
        <v>218</v>
      </c>
      <c r="HM39" t="s">
        <v>219</v>
      </c>
      <c r="HN39" t="s">
        <v>140</v>
      </c>
      <c r="HO39">
        <v>1961</v>
      </c>
      <c r="HP39" t="str">
        <f>VLOOKUP(AnalizaCzyste[[#This Row],[Rok urodzenia]],KategorieWiekowe[],2,1)</f>
        <v>56–65 lat</v>
      </c>
      <c r="HQ39" t="s">
        <v>220</v>
      </c>
    </row>
    <row r="40" spans="1:228" x14ac:dyDescent="0.45">
      <c r="A40">
        <v>30</v>
      </c>
      <c r="B40">
        <f>_xlfn.IFNA(VLOOKUP(AnalizaCzyste[[#This Row],[Zakończono wypełnianie]],Zakończone[],2,0),"BRAK")</f>
        <v>21</v>
      </c>
      <c r="C40">
        <f t="shared" si="1"/>
        <v>60</v>
      </c>
      <c r="D40" t="s">
        <v>442</v>
      </c>
      <c r="E40" t="s">
        <v>118</v>
      </c>
      <c r="J40" t="s">
        <v>119</v>
      </c>
      <c r="K40" t="s">
        <v>443</v>
      </c>
      <c r="L40" t="s">
        <v>444</v>
      </c>
      <c r="M40">
        <v>6812</v>
      </c>
      <c r="O40">
        <v>0</v>
      </c>
      <c r="P40" t="s">
        <v>122</v>
      </c>
      <c r="Q40" s="1" t="s">
        <v>123</v>
      </c>
      <c r="V40" t="e">
        <f>VLOOKUP(AnalizaCzyste[[#This Row],[Moja satysfakcja z usług edukacyjnych ocenianej uczelni jest wysoka.]],SkalaLikerta[],2,0)</f>
        <v>#N/A</v>
      </c>
      <c r="AH40" s="1" t="s">
        <v>124</v>
      </c>
      <c r="AI40" t="s">
        <v>445</v>
      </c>
      <c r="AJ40" t="str">
        <f>VLOOKUP(AnalizaCzyste[[#This Row],[Jak się nazywa uczelnia którą ukończyłeś? (proszę o wybranie jednej uczelni podlegającej ocenie)]],KategorieUczelni[],2,0)</f>
        <v>Publiczna</v>
      </c>
      <c r="AK40" t="str">
        <f>VLOOKUP(AnalizaCzyste[[#This Row],[Jak się nazywa uczelnia którą ukończyłeś? (proszę o wybranie jednej uczelni podlegającej ocenie)]],KategorieUczelni[],3,0)</f>
        <v>Nietechniczna</v>
      </c>
      <c r="AL40">
        <f>COUNTIF(AnalizaCzyste[[#This Row],[Czy jesteś absolwentem uczelni wyższej?]],"*"&amp;"Tak"&amp;"*")</f>
        <v>1</v>
      </c>
      <c r="AM40">
        <v>2019</v>
      </c>
      <c r="AN40" t="s">
        <v>148</v>
      </c>
      <c r="AO40" t="s">
        <v>446</v>
      </c>
      <c r="AP40" t="s">
        <v>150</v>
      </c>
      <c r="AQ40">
        <f>VLOOKUP(AnalizaCzyste[[#This Row],[Moja satysfakcja z (efektów) usług edukacyjnych ocenianej uczelni jest wysoka.]],SkalaLikerta[],2,0)</f>
        <v>6</v>
      </c>
      <c r="AR40" t="s">
        <v>150</v>
      </c>
      <c r="AS40" t="s">
        <v>169</v>
      </c>
      <c r="AT40" t="s">
        <v>169</v>
      </c>
      <c r="AU40" t="s">
        <v>132</v>
      </c>
      <c r="AV40" t="s">
        <v>237</v>
      </c>
      <c r="AW40" t="s">
        <v>226</v>
      </c>
      <c r="AX40">
        <f>VLOOKUP(AnalizaCzyste[[#This Row],[w pierwszym roku po ukończeniu studiów : wybierz wartość z listy rozwijanej4]],Zarobki[],2,0)</f>
        <v>4500</v>
      </c>
      <c r="AY40" t="s">
        <v>132</v>
      </c>
      <c r="AZ40" t="str">
        <f>VLOOKUP(AnalizaCzyste[[#This Row],[w 3 lata po ukończeniu studiów : wybierz wartość z listy rozwijanej5]],Zarobki[],2,0)</f>
        <v>N/D</v>
      </c>
      <c r="BA40" t="s">
        <v>447</v>
      </c>
      <c r="BB40" t="s">
        <v>448</v>
      </c>
      <c r="BC40" t="s">
        <v>449</v>
      </c>
      <c r="BD40" t="s">
        <v>157</v>
      </c>
      <c r="BF40" s="1" t="s">
        <v>123</v>
      </c>
      <c r="BM40" t="e">
        <f>VLOOKUP(AnalizaCzyste[[#This Row],[Moja satysfakcja z (efektów) usług edukacyjnych ocenianej uczelni jest wysoka.8]],SkalaLikerta[],2,0)</f>
        <v>#N/A</v>
      </c>
      <c r="DA40" s="1" t="s">
        <v>387</v>
      </c>
      <c r="DB40" t="s">
        <v>445</v>
      </c>
      <c r="DC40" t="s">
        <v>450</v>
      </c>
      <c r="DD40" t="s">
        <v>169</v>
      </c>
      <c r="DE40">
        <f>VLOOKUP(AnalizaCzyste[[#This Row],[Moja satysfakcja z pracy na ocenianej uczelni jest wysoka.]],SkalaLikerta[],2,0)</f>
        <v>7</v>
      </c>
      <c r="DF40" t="s">
        <v>169</v>
      </c>
      <c r="DG40" t="s">
        <v>169</v>
      </c>
      <c r="DH40" t="s">
        <v>150</v>
      </c>
      <c r="DI40" t="s">
        <v>150</v>
      </c>
      <c r="DJ40" t="s">
        <v>150</v>
      </c>
      <c r="DK40" t="s">
        <v>451</v>
      </c>
      <c r="DL40" s="1" t="s">
        <v>123</v>
      </c>
      <c r="DP40" t="e">
        <f>VLOOKUP(AnalizaCzyste[[#This Row],[Moja satysfakcja z pracy na ocenianej uczelni jest wysoka.42]],SkalaLikerta[],2,0)</f>
        <v>#N/A</v>
      </c>
      <c r="DW40" s="1" t="s">
        <v>123</v>
      </c>
      <c r="EJ40" t="e">
        <f>VLOOKUP(AnalizaCzyste[[#This Row],[Ogólny poziom mojej satysfakcji z jakości usług edukacyjnych ocenianej uczelni jest wysoki.]],SkalaLikerta[],2,0)</f>
        <v>#N/A</v>
      </c>
      <c r="FA40" s="1" t="s">
        <v>123</v>
      </c>
      <c r="FB40" t="s">
        <v>180</v>
      </c>
      <c r="FC40" t="s">
        <v>132</v>
      </c>
      <c r="FF40" t="e">
        <f>VLOOKUP(AnalizaCzyste[[#This Row],[Moja satysfakcja z (efektów) usług edukacyjnych na ocenianej uczelni jest wysoka.]],SkalaLikerta[],2,0)</f>
        <v>#N/A</v>
      </c>
      <c r="GB40" s="1" t="s">
        <v>123</v>
      </c>
      <c r="GC40" t="s">
        <v>132</v>
      </c>
      <c r="GE40" t="s">
        <v>132</v>
      </c>
      <c r="GN40" t="e">
        <f>VLOOKUP(AnalizaCzyste[[#This Row],[Ogólny poziom mojej satysfakcji z jakości usług edukacyjnych ocenianej uczelni jest wysoki.32]],SkalaLikerta[],2,0)</f>
        <v>#N/A</v>
      </c>
      <c r="HK40" t="s">
        <v>452</v>
      </c>
      <c r="HL40" t="s">
        <v>453</v>
      </c>
      <c r="HM40" t="s">
        <v>454</v>
      </c>
      <c r="HN40" t="s">
        <v>140</v>
      </c>
      <c r="HO40">
        <v>1994</v>
      </c>
      <c r="HP40" t="str">
        <f>VLOOKUP(AnalizaCzyste[[#This Row],[Rok urodzenia]],KategorieWiekowe[],2,1)</f>
        <v>26–35 lat</v>
      </c>
      <c r="HQ40" t="s">
        <v>220</v>
      </c>
      <c r="HS40" t="s">
        <v>455</v>
      </c>
      <c r="HT40" t="s">
        <v>456</v>
      </c>
    </row>
    <row r="41" spans="1:228" x14ac:dyDescent="0.45">
      <c r="A41">
        <v>74</v>
      </c>
      <c r="B41">
        <f>_xlfn.IFNA(VLOOKUP(AnalizaCzyste[[#This Row],[Zakończono wypełnianie]],Zakończone[],2,0),"BRAK")</f>
        <v>40</v>
      </c>
      <c r="C41">
        <f t="shared" si="1"/>
        <v>60</v>
      </c>
      <c r="D41" t="s">
        <v>739</v>
      </c>
      <c r="E41" t="s">
        <v>118</v>
      </c>
      <c r="J41" t="s">
        <v>119</v>
      </c>
      <c r="K41" t="s">
        <v>740</v>
      </c>
      <c r="L41" t="s">
        <v>741</v>
      </c>
      <c r="M41">
        <v>341</v>
      </c>
      <c r="O41">
        <v>0</v>
      </c>
      <c r="P41" t="s">
        <v>122</v>
      </c>
      <c r="Q41" s="1" t="s">
        <v>123</v>
      </c>
      <c r="V41" t="e">
        <f>VLOOKUP(AnalizaCzyste[[#This Row],[Moja satysfakcja z usług edukacyjnych ocenianej uczelni jest wysoka.]],SkalaLikerta[],2,0)</f>
        <v>#N/A</v>
      </c>
      <c r="AH41" s="1" t="s">
        <v>124</v>
      </c>
      <c r="AI41" t="s">
        <v>223</v>
      </c>
      <c r="AJ41" t="str">
        <f>VLOOKUP(AnalizaCzyste[[#This Row],[Jak się nazywa uczelnia którą ukończyłeś? (proszę o wybranie jednej uczelni podlegającej ocenie)]],KategorieUczelni[],2,0)</f>
        <v>Publiczna</v>
      </c>
      <c r="AK41" t="str">
        <f>VLOOKUP(AnalizaCzyste[[#This Row],[Jak się nazywa uczelnia którą ukończyłeś? (proszę o wybranie jednej uczelni podlegającej ocenie)]],KategorieUczelni[],3,0)</f>
        <v>Nietechniczna</v>
      </c>
      <c r="AL41">
        <f>COUNTIF(AnalizaCzyste[[#This Row],[Czy jesteś absolwentem uczelni wyższej?]],"*"&amp;"Tak"&amp;"*")</f>
        <v>1</v>
      </c>
      <c r="AM41">
        <v>2007</v>
      </c>
      <c r="AN41" t="s">
        <v>148</v>
      </c>
      <c r="AO41" t="s">
        <v>743</v>
      </c>
      <c r="AP41" t="s">
        <v>236</v>
      </c>
      <c r="AQ41">
        <f>VLOOKUP(AnalizaCzyste[[#This Row],[Moja satysfakcja z (efektów) usług edukacyjnych ocenianej uczelni jest wysoka.]],SkalaLikerta[],2,0)</f>
        <v>2</v>
      </c>
      <c r="AR41" t="s">
        <v>129</v>
      </c>
      <c r="AS41" t="s">
        <v>128</v>
      </c>
      <c r="AT41" t="s">
        <v>162</v>
      </c>
      <c r="AU41" t="s">
        <v>150</v>
      </c>
      <c r="AV41" t="s">
        <v>237</v>
      </c>
      <c r="AW41" t="s">
        <v>302</v>
      </c>
      <c r="AX41">
        <f>VLOOKUP(AnalizaCzyste[[#This Row],[w pierwszym roku po ukończeniu studiów : wybierz wartość z listy rozwijanej4]],Zarobki[],2,0)</f>
        <v>2500</v>
      </c>
      <c r="AY41" t="s">
        <v>153</v>
      </c>
      <c r="AZ41">
        <f>VLOOKUP(AnalizaCzyste[[#This Row],[w 3 lata po ukończeniu studiów : wybierz wartość z listy rozwijanej5]],Zarobki[],2,0)</f>
        <v>3500</v>
      </c>
      <c r="BA41" t="s">
        <v>744</v>
      </c>
      <c r="BB41" t="s">
        <v>745</v>
      </c>
      <c r="BC41" t="s">
        <v>746</v>
      </c>
      <c r="BD41" t="s">
        <v>172</v>
      </c>
      <c r="BF41" s="1" t="s">
        <v>123</v>
      </c>
      <c r="BM41" t="e">
        <f>VLOOKUP(AnalizaCzyste[[#This Row],[Moja satysfakcja z (efektów) usług edukacyjnych ocenianej uczelni jest wysoka.8]],SkalaLikerta[],2,0)</f>
        <v>#N/A</v>
      </c>
      <c r="DA41" s="1" t="s">
        <v>387</v>
      </c>
      <c r="DB41" t="s">
        <v>191</v>
      </c>
      <c r="DC41" t="s">
        <v>748</v>
      </c>
      <c r="DD41" t="s">
        <v>150</v>
      </c>
      <c r="DE41">
        <f>VLOOKUP(AnalizaCzyste[[#This Row],[Moja satysfakcja z pracy na ocenianej uczelni jest wysoka.]],SkalaLikerta[],2,0)</f>
        <v>6</v>
      </c>
      <c r="DF41" t="s">
        <v>150</v>
      </c>
      <c r="DG41" t="s">
        <v>169</v>
      </c>
      <c r="DH41" t="s">
        <v>169</v>
      </c>
      <c r="DI41" t="s">
        <v>150</v>
      </c>
      <c r="DJ41" t="s">
        <v>150</v>
      </c>
      <c r="DK41" t="s">
        <v>749</v>
      </c>
      <c r="DL41" s="1" t="s">
        <v>123</v>
      </c>
      <c r="DP41" t="e">
        <f>VLOOKUP(AnalizaCzyste[[#This Row],[Moja satysfakcja z pracy na ocenianej uczelni jest wysoka.42]],SkalaLikerta[],2,0)</f>
        <v>#N/A</v>
      </c>
      <c r="DW41" s="1" t="s">
        <v>123</v>
      </c>
      <c r="EJ41" t="e">
        <f>VLOOKUP(AnalizaCzyste[[#This Row],[Ogólny poziom mojej satysfakcji z jakości usług edukacyjnych ocenianej uczelni jest wysoki.]],SkalaLikerta[],2,0)</f>
        <v>#N/A</v>
      </c>
      <c r="FA41" s="1" t="s">
        <v>123</v>
      </c>
      <c r="FB41" t="s">
        <v>178</v>
      </c>
      <c r="FC41" t="s">
        <v>132</v>
      </c>
      <c r="FF41" t="e">
        <f>VLOOKUP(AnalizaCzyste[[#This Row],[Moja satysfakcja z (efektów) usług edukacyjnych na ocenianej uczelni jest wysoka.]],SkalaLikerta[],2,0)</f>
        <v>#N/A</v>
      </c>
      <c r="GB41" s="1" t="s">
        <v>123</v>
      </c>
      <c r="GC41" t="s">
        <v>132</v>
      </c>
      <c r="GE41" t="s">
        <v>132</v>
      </c>
      <c r="GN41" t="e">
        <f>VLOOKUP(AnalizaCzyste[[#This Row],[Ogólny poziom mojej satysfakcji z jakości usług edukacyjnych ocenianej uczelni jest wysoki.32]],SkalaLikerta[],2,0)</f>
        <v>#N/A</v>
      </c>
      <c r="HK41" t="s">
        <v>750</v>
      </c>
      <c r="HL41" t="s">
        <v>751</v>
      </c>
      <c r="HM41" t="s">
        <v>752</v>
      </c>
      <c r="HN41" t="s">
        <v>186</v>
      </c>
      <c r="HO41">
        <v>1983</v>
      </c>
      <c r="HP41" t="str">
        <f>VLOOKUP(AnalizaCzyste[[#This Row],[Rok urodzenia]],KategorieWiekowe[],2,1)</f>
        <v>36–45 lat</v>
      </c>
      <c r="HQ41" t="s">
        <v>398</v>
      </c>
      <c r="HS41" t="s">
        <v>753</v>
      </c>
      <c r="HT41" t="s">
        <v>532</v>
      </c>
    </row>
    <row r="42" spans="1:228" x14ac:dyDescent="0.45">
      <c r="A42">
        <v>96</v>
      </c>
      <c r="B42">
        <f>_xlfn.IFNA(VLOOKUP(AnalizaCzyste[[#This Row],[Zakończono wypełnianie]],Zakończone[],2,0),"BRAK")</f>
        <v>59</v>
      </c>
      <c r="C42">
        <f t="shared" si="1"/>
        <v>50</v>
      </c>
      <c r="D42" t="s">
        <v>370</v>
      </c>
      <c r="E42" t="s">
        <v>118</v>
      </c>
      <c r="F42" t="s">
        <v>774</v>
      </c>
      <c r="J42" t="s">
        <v>119</v>
      </c>
      <c r="K42" t="s">
        <v>967</v>
      </c>
      <c r="L42" t="s">
        <v>968</v>
      </c>
      <c r="M42">
        <v>5160</v>
      </c>
      <c r="O42">
        <v>0</v>
      </c>
      <c r="P42" t="s">
        <v>122</v>
      </c>
      <c r="Q42" s="1" t="s">
        <v>123</v>
      </c>
      <c r="V42" t="e">
        <f>VLOOKUP(AnalizaCzyste[[#This Row],[Moja satysfakcja z usług edukacyjnych ocenianej uczelni jest wysoka.]],SkalaLikerta[],2,0)</f>
        <v>#N/A</v>
      </c>
      <c r="AH42" s="1" t="s">
        <v>124</v>
      </c>
      <c r="AI42" t="s">
        <v>191</v>
      </c>
      <c r="AJ42" t="str">
        <f>VLOOKUP(AnalizaCzyste[[#This Row],[Jak się nazywa uczelnia którą ukończyłeś? (proszę o wybranie jednej uczelni podlegającej ocenie)]],KategorieUczelni[],2,0)</f>
        <v>Publiczna</v>
      </c>
      <c r="AK42" t="str">
        <f>VLOOKUP(AnalizaCzyste[[#This Row],[Jak się nazywa uczelnia którą ukończyłeś? (proszę o wybranie jednej uczelni podlegającej ocenie)]],KategorieUczelni[],3,0)</f>
        <v>Techniczna</v>
      </c>
      <c r="AL42">
        <f>COUNTIF(AnalizaCzyste[[#This Row],[Czy jesteś absolwentem uczelni wyższej?]],"*"&amp;"Tak"&amp;"*")</f>
        <v>1</v>
      </c>
      <c r="AM42">
        <v>2000</v>
      </c>
      <c r="AN42" t="s">
        <v>148</v>
      </c>
      <c r="AO42" t="s">
        <v>969</v>
      </c>
      <c r="AP42" t="s">
        <v>151</v>
      </c>
      <c r="AQ42">
        <f>VLOOKUP(AnalizaCzyste[[#This Row],[Moja satysfakcja z (efektów) usług edukacyjnych ocenianej uczelni jest wysoka.]],SkalaLikerta[],2,0)</f>
        <v>4</v>
      </c>
      <c r="AR42" t="s">
        <v>151</v>
      </c>
      <c r="AS42" t="s">
        <v>162</v>
      </c>
      <c r="AT42" t="s">
        <v>162</v>
      </c>
      <c r="AU42" t="s">
        <v>150</v>
      </c>
      <c r="AV42">
        <v>0</v>
      </c>
      <c r="AW42" t="s">
        <v>153</v>
      </c>
      <c r="AX42">
        <f>VLOOKUP(AnalizaCzyste[[#This Row],[w pierwszym roku po ukończeniu studiów : wybierz wartość z listy rozwijanej4]],Zarobki[],2,0)</f>
        <v>3500</v>
      </c>
      <c r="AY42" t="s">
        <v>226</v>
      </c>
      <c r="AZ42">
        <f>VLOOKUP(AnalizaCzyste[[#This Row],[w 3 lata po ukończeniu studiów : wybierz wartość z listy rozwijanej5]],Zarobki[],2,0)</f>
        <v>4500</v>
      </c>
      <c r="BA42" t="s">
        <v>802</v>
      </c>
      <c r="BB42" t="s">
        <v>824</v>
      </c>
      <c r="BC42" t="s">
        <v>780</v>
      </c>
      <c r="BD42" t="s">
        <v>230</v>
      </c>
      <c r="BE42" t="s">
        <v>970</v>
      </c>
      <c r="BF42" s="1" t="s">
        <v>123</v>
      </c>
      <c r="BM42" t="e">
        <f>VLOOKUP(AnalizaCzyste[[#This Row],[Moja satysfakcja z (efektów) usług edukacyjnych ocenianej uczelni jest wysoka.8]],SkalaLikerta[],2,0)</f>
        <v>#N/A</v>
      </c>
      <c r="DA42" s="1" t="s">
        <v>123</v>
      </c>
      <c r="DE42" t="e">
        <f>VLOOKUP(AnalizaCzyste[[#This Row],[Moja satysfakcja z pracy na ocenianej uczelni jest wysoka.]],SkalaLikerta[],2,0)</f>
        <v>#N/A</v>
      </c>
      <c r="DL42" s="1" t="s">
        <v>123</v>
      </c>
      <c r="DP42" t="e">
        <f>VLOOKUP(AnalizaCzyste[[#This Row],[Moja satysfakcja z pracy na ocenianej uczelni jest wysoka.42]],SkalaLikerta[],2,0)</f>
        <v>#N/A</v>
      </c>
      <c r="DW42" s="1" t="s">
        <v>123</v>
      </c>
      <c r="EJ42" t="e">
        <f>VLOOKUP(AnalizaCzyste[[#This Row],[Ogólny poziom mojej satysfakcji z jakości usług edukacyjnych ocenianej uczelni jest wysoki.]],SkalaLikerta[],2,0)</f>
        <v>#N/A</v>
      </c>
      <c r="FA42" s="1" t="s">
        <v>123</v>
      </c>
      <c r="FF42" t="e">
        <f>VLOOKUP(AnalizaCzyste[[#This Row],[Moja satysfakcja z (efektów) usług edukacyjnych na ocenianej uczelni jest wysoka.]],SkalaLikerta[],2,0)</f>
        <v>#N/A</v>
      </c>
      <c r="GB42" s="1" t="s">
        <v>123</v>
      </c>
      <c r="GC42" t="s">
        <v>132</v>
      </c>
      <c r="GE42" t="s">
        <v>132</v>
      </c>
      <c r="GN42" t="e">
        <f>VLOOKUP(AnalizaCzyste[[#This Row],[Ogólny poziom mojej satysfakcji z jakości usług edukacyjnych ocenianej uczelni jest wysoki.32]],SkalaLikerta[],2,0)</f>
        <v>#N/A</v>
      </c>
      <c r="HK42" t="s">
        <v>786</v>
      </c>
      <c r="HL42" t="s">
        <v>787</v>
      </c>
      <c r="HM42" t="s">
        <v>807</v>
      </c>
      <c r="HN42" t="s">
        <v>186</v>
      </c>
      <c r="HO42">
        <v>1968</v>
      </c>
      <c r="HP42" t="str">
        <f>VLOOKUP(AnalizaCzyste[[#This Row],[Rok urodzenia]],KategorieWiekowe[],2,1)</f>
        <v>46–55 lat</v>
      </c>
      <c r="HQ42" t="s">
        <v>398</v>
      </c>
      <c r="HR42" t="s">
        <v>971</v>
      </c>
      <c r="HS42" t="s">
        <v>972</v>
      </c>
    </row>
    <row r="43" spans="1:228" x14ac:dyDescent="0.45">
      <c r="A43">
        <v>126</v>
      </c>
      <c r="B43">
        <f>_xlfn.IFNA(VLOOKUP(AnalizaCzyste[[#This Row],[Zakończono wypełnianie]],Zakończone[],2,0),"BRAK")</f>
        <v>75</v>
      </c>
      <c r="C43">
        <f t="shared" si="1"/>
        <v>45</v>
      </c>
      <c r="D43" t="s">
        <v>1151</v>
      </c>
      <c r="E43" t="s">
        <v>118</v>
      </c>
      <c r="F43" t="s">
        <v>359</v>
      </c>
      <c r="J43" t="s">
        <v>119</v>
      </c>
      <c r="K43" t="s">
        <v>1184</v>
      </c>
      <c r="L43" t="s">
        <v>1185</v>
      </c>
      <c r="M43">
        <v>739</v>
      </c>
      <c r="O43">
        <v>0</v>
      </c>
      <c r="P43" t="s">
        <v>122</v>
      </c>
      <c r="Q43" s="1" t="s">
        <v>123</v>
      </c>
      <c r="V43" t="e">
        <f>VLOOKUP(AnalizaCzyste[[#This Row],[Moja satysfakcja z usług edukacyjnych ocenianej uczelni jest wysoka.]],SkalaLikerta[],2,0)</f>
        <v>#N/A</v>
      </c>
      <c r="AH43" s="1" t="s">
        <v>124</v>
      </c>
      <c r="AI43" t="s">
        <v>191</v>
      </c>
      <c r="AJ43" t="str">
        <f>VLOOKUP(AnalizaCzyste[[#This Row],[Jak się nazywa uczelnia którą ukończyłeś? (proszę o wybranie jednej uczelni podlegającej ocenie)]],KategorieUczelni[],2,0)</f>
        <v>Publiczna</v>
      </c>
      <c r="AK43" t="str">
        <f>VLOOKUP(AnalizaCzyste[[#This Row],[Jak się nazywa uczelnia którą ukończyłeś? (proszę o wybranie jednej uczelni podlegającej ocenie)]],KategorieUczelni[],3,0)</f>
        <v>Techniczna</v>
      </c>
      <c r="AL43">
        <f>COUNTIF(AnalizaCzyste[[#This Row],[Czy jesteś absolwentem uczelni wyższej?]],"*"&amp;"Tak"&amp;"*")</f>
        <v>1</v>
      </c>
      <c r="AM43">
        <v>2018</v>
      </c>
      <c r="AN43" t="s">
        <v>126</v>
      </c>
      <c r="AO43" t="s">
        <v>1186</v>
      </c>
      <c r="AP43" t="s">
        <v>151</v>
      </c>
      <c r="AQ43">
        <f>VLOOKUP(AnalizaCzyste[[#This Row],[Moja satysfakcja z (efektów) usług edukacyjnych ocenianej uczelni jest wysoka.]],SkalaLikerta[],2,0)</f>
        <v>4</v>
      </c>
      <c r="AR43" t="s">
        <v>162</v>
      </c>
      <c r="AS43" t="s">
        <v>169</v>
      </c>
      <c r="AT43" t="s">
        <v>150</v>
      </c>
      <c r="AU43" t="s">
        <v>132</v>
      </c>
      <c r="AV43" t="s">
        <v>959</v>
      </c>
      <c r="AW43" t="s">
        <v>302</v>
      </c>
      <c r="AX43">
        <f>VLOOKUP(AnalizaCzyste[[#This Row],[w pierwszym roku po ukończeniu studiów : wybierz wartość z listy rozwijanej4]],Zarobki[],2,0)</f>
        <v>2500</v>
      </c>
      <c r="AY43" t="s">
        <v>226</v>
      </c>
      <c r="AZ43">
        <f>VLOOKUP(AnalizaCzyste[[#This Row],[w 3 lata po ukończeniu studiów : wybierz wartość z listy rozwijanej5]],Zarobki[],2,0)</f>
        <v>4500</v>
      </c>
      <c r="BA43" t="s">
        <v>1187</v>
      </c>
      <c r="BB43" t="s">
        <v>1188</v>
      </c>
      <c r="BC43" t="s">
        <v>1189</v>
      </c>
      <c r="BD43" t="s">
        <v>172</v>
      </c>
      <c r="BF43" s="1" t="s">
        <v>123</v>
      </c>
      <c r="BM43" t="e">
        <f>VLOOKUP(AnalizaCzyste[[#This Row],[Moja satysfakcja z (efektów) usług edukacyjnych ocenianej uczelni jest wysoka.8]],SkalaLikerta[],2,0)</f>
        <v>#N/A</v>
      </c>
      <c r="DA43" s="1" t="s">
        <v>123</v>
      </c>
      <c r="DE43" t="e">
        <f>VLOOKUP(AnalizaCzyste[[#This Row],[Moja satysfakcja z pracy na ocenianej uczelni jest wysoka.]],SkalaLikerta[],2,0)</f>
        <v>#N/A</v>
      </c>
      <c r="DL43" s="1" t="s">
        <v>123</v>
      </c>
      <c r="DP43" t="e">
        <f>VLOOKUP(AnalizaCzyste[[#This Row],[Moja satysfakcja z pracy na ocenianej uczelni jest wysoka.42]],SkalaLikerta[],2,0)</f>
        <v>#N/A</v>
      </c>
      <c r="DW43" s="1" t="s">
        <v>123</v>
      </c>
      <c r="EJ43" t="e">
        <f>VLOOKUP(AnalizaCzyste[[#This Row],[Ogólny poziom mojej satysfakcji z jakości usług edukacyjnych ocenianej uczelni jest wysoki.]],SkalaLikerta[],2,0)</f>
        <v>#N/A</v>
      </c>
      <c r="FA43" s="1" t="s">
        <v>123</v>
      </c>
      <c r="FF43" t="e">
        <f>VLOOKUP(AnalizaCzyste[[#This Row],[Moja satysfakcja z (efektów) usług edukacyjnych na ocenianej uczelni jest wysoka.]],SkalaLikerta[],2,0)</f>
        <v>#N/A</v>
      </c>
      <c r="GB43" s="1" t="s">
        <v>123</v>
      </c>
      <c r="GN43" t="e">
        <f>VLOOKUP(AnalizaCzyste[[#This Row],[Ogólny poziom mojej satysfakcji z jakości usług edukacyjnych ocenianej uczelni jest wysoki.32]],SkalaLikerta[],2,0)</f>
        <v>#N/A</v>
      </c>
      <c r="HK43" t="s">
        <v>276</v>
      </c>
      <c r="HL43" t="s">
        <v>1190</v>
      </c>
      <c r="HM43" t="s">
        <v>1191</v>
      </c>
      <c r="HN43" t="s">
        <v>186</v>
      </c>
      <c r="HO43">
        <v>1991</v>
      </c>
      <c r="HP43" t="str">
        <f>VLOOKUP(AnalizaCzyste[[#This Row],[Rok urodzenia]],KategorieWiekowe[],2,1)</f>
        <v>26–35 lat</v>
      </c>
      <c r="HQ43" t="s">
        <v>141</v>
      </c>
    </row>
    <row r="44" spans="1:228" x14ac:dyDescent="0.45">
      <c r="A44">
        <v>89</v>
      </c>
      <c r="B44">
        <f>_xlfn.IFNA(VLOOKUP(AnalizaCzyste[[#This Row],[Zakończono wypełnianie]],Zakończone[],2,0),"BRAK")</f>
        <v>54</v>
      </c>
      <c r="C44">
        <f t="shared" si="1"/>
        <v>49</v>
      </c>
      <c r="D44" t="s">
        <v>902</v>
      </c>
      <c r="E44" t="s">
        <v>118</v>
      </c>
      <c r="J44" t="s">
        <v>119</v>
      </c>
      <c r="K44" t="s">
        <v>903</v>
      </c>
      <c r="L44" t="s">
        <v>904</v>
      </c>
      <c r="M44">
        <v>255</v>
      </c>
      <c r="O44">
        <v>0</v>
      </c>
      <c r="P44" t="s">
        <v>122</v>
      </c>
      <c r="Q44" s="1" t="s">
        <v>123</v>
      </c>
      <c r="V44" t="e">
        <f>VLOOKUP(AnalizaCzyste[[#This Row],[Moja satysfakcja z usług edukacyjnych ocenianej uczelni jest wysoka.]],SkalaLikerta[],2,0)</f>
        <v>#N/A</v>
      </c>
      <c r="AH44" s="1" t="s">
        <v>124</v>
      </c>
      <c r="AI44" t="s">
        <v>191</v>
      </c>
      <c r="AJ44" t="str">
        <f>VLOOKUP(AnalizaCzyste[[#This Row],[Jak się nazywa uczelnia którą ukończyłeś? (proszę o wybranie jednej uczelni podlegającej ocenie)]],KategorieUczelni[],2,0)</f>
        <v>Publiczna</v>
      </c>
      <c r="AK44" t="str">
        <f>VLOOKUP(AnalizaCzyste[[#This Row],[Jak się nazywa uczelnia którą ukończyłeś? (proszę o wybranie jednej uczelni podlegającej ocenie)]],KategorieUczelni[],3,0)</f>
        <v>Techniczna</v>
      </c>
      <c r="AL44">
        <f>COUNTIF(AnalizaCzyste[[#This Row],[Czy jesteś absolwentem uczelni wyższej?]],"*"&amp;"Tak"&amp;"*")</f>
        <v>1</v>
      </c>
      <c r="AM44">
        <v>2009</v>
      </c>
      <c r="AN44" t="s">
        <v>126</v>
      </c>
      <c r="AO44" t="s">
        <v>906</v>
      </c>
      <c r="AP44" t="s">
        <v>151</v>
      </c>
      <c r="AQ44">
        <f>VLOOKUP(AnalizaCzyste[[#This Row],[Moja satysfakcja z (efektów) usług edukacyjnych ocenianej uczelni jest wysoka.]],SkalaLikerta[],2,0)</f>
        <v>4</v>
      </c>
      <c r="AR44" t="s">
        <v>151</v>
      </c>
      <c r="AS44" t="s">
        <v>150</v>
      </c>
      <c r="AT44" t="s">
        <v>128</v>
      </c>
      <c r="AU44" t="s">
        <v>162</v>
      </c>
      <c r="AV44" t="s">
        <v>907</v>
      </c>
      <c r="AW44" t="s">
        <v>131</v>
      </c>
      <c r="AX44">
        <f>VLOOKUP(AnalizaCzyste[[#This Row],[w pierwszym roku po ukończeniu studiów : wybierz wartość z listy rozwijanej4]],Zarobki[],2,0)</f>
        <v>1500</v>
      </c>
      <c r="AY44" t="s">
        <v>759</v>
      </c>
      <c r="AZ44">
        <f>VLOOKUP(AnalizaCzyste[[#This Row],[w 3 lata po ukończeniu studiów : wybierz wartość z listy rozwijanej5]],Zarobki[],2,0)</f>
        <v>5500</v>
      </c>
      <c r="BA44" t="s">
        <v>908</v>
      </c>
      <c r="BB44" t="s">
        <v>908</v>
      </c>
      <c r="BC44" t="s">
        <v>909</v>
      </c>
      <c r="BD44" t="s">
        <v>172</v>
      </c>
      <c r="BF44" s="1" t="s">
        <v>123</v>
      </c>
      <c r="BM44" t="e">
        <f>VLOOKUP(AnalizaCzyste[[#This Row],[Moja satysfakcja z (efektów) usług edukacyjnych ocenianej uczelni jest wysoka.8]],SkalaLikerta[],2,0)</f>
        <v>#N/A</v>
      </c>
      <c r="DA44" s="1" t="s">
        <v>123</v>
      </c>
      <c r="DE44" t="e">
        <f>VLOOKUP(AnalizaCzyste[[#This Row],[Moja satysfakcja z pracy na ocenianej uczelni jest wysoka.]],SkalaLikerta[],2,0)</f>
        <v>#N/A</v>
      </c>
      <c r="DL44" s="1" t="s">
        <v>123</v>
      </c>
      <c r="DP44" t="e">
        <f>VLOOKUP(AnalizaCzyste[[#This Row],[Moja satysfakcja z pracy na ocenianej uczelni jest wysoka.42]],SkalaLikerta[],2,0)</f>
        <v>#N/A</v>
      </c>
      <c r="DW44" s="1" t="s">
        <v>123</v>
      </c>
      <c r="EJ44" t="e">
        <f>VLOOKUP(AnalizaCzyste[[#This Row],[Ogólny poziom mojej satysfakcji z jakości usług edukacyjnych ocenianej uczelni jest wysoki.]],SkalaLikerta[],2,0)</f>
        <v>#N/A</v>
      </c>
      <c r="FA44" s="1" t="s">
        <v>123</v>
      </c>
      <c r="FB44" t="s">
        <v>180</v>
      </c>
      <c r="FC44" t="s">
        <v>132</v>
      </c>
      <c r="FF44" t="e">
        <f>VLOOKUP(AnalizaCzyste[[#This Row],[Moja satysfakcja z (efektów) usług edukacyjnych na ocenianej uczelni jest wysoka.]],SkalaLikerta[],2,0)</f>
        <v>#N/A</v>
      </c>
      <c r="GB44" s="1" t="s">
        <v>123</v>
      </c>
      <c r="GC44" t="s">
        <v>132</v>
      </c>
      <c r="GE44" t="s">
        <v>132</v>
      </c>
      <c r="GN44" t="e">
        <f>VLOOKUP(AnalizaCzyste[[#This Row],[Ogólny poziom mojej satysfakcji z jakości usług edukacyjnych ocenianej uczelni jest wysoki.32]],SkalaLikerta[],2,0)</f>
        <v>#N/A</v>
      </c>
      <c r="HK44" t="s">
        <v>910</v>
      </c>
      <c r="HL44" t="s">
        <v>911</v>
      </c>
      <c r="HM44" t="s">
        <v>912</v>
      </c>
      <c r="HN44" t="s">
        <v>186</v>
      </c>
      <c r="HO44">
        <v>1983</v>
      </c>
      <c r="HP44" t="str">
        <f>VLOOKUP(AnalizaCzyste[[#This Row],[Rok urodzenia]],KategorieWiekowe[],2,1)</f>
        <v>36–45 lat</v>
      </c>
      <c r="HQ44" t="s">
        <v>141</v>
      </c>
    </row>
    <row r="45" spans="1:228" x14ac:dyDescent="0.45">
      <c r="A45">
        <v>77</v>
      </c>
      <c r="B45">
        <f>_xlfn.IFNA(VLOOKUP(AnalizaCzyste[[#This Row],[Zakończono wypełnianie]],Zakończone[],2,0),"BRAK")</f>
        <v>43</v>
      </c>
      <c r="C45">
        <f t="shared" si="1"/>
        <v>47</v>
      </c>
      <c r="D45" t="s">
        <v>773</v>
      </c>
      <c r="E45" t="s">
        <v>118</v>
      </c>
      <c r="F45" t="s">
        <v>774</v>
      </c>
      <c r="J45" t="s">
        <v>119</v>
      </c>
      <c r="K45" t="s">
        <v>791</v>
      </c>
      <c r="L45" t="s">
        <v>792</v>
      </c>
      <c r="M45">
        <v>333</v>
      </c>
      <c r="O45">
        <v>0</v>
      </c>
      <c r="P45" t="s">
        <v>122</v>
      </c>
      <c r="Q45" s="1" t="s">
        <v>123</v>
      </c>
      <c r="V45" t="e">
        <f>VLOOKUP(AnalizaCzyste[[#This Row],[Moja satysfakcja z usług edukacyjnych ocenianej uczelni jest wysoka.]],SkalaLikerta[],2,0)</f>
        <v>#N/A</v>
      </c>
      <c r="AH45" s="1" t="s">
        <v>124</v>
      </c>
      <c r="AI45" t="s">
        <v>223</v>
      </c>
      <c r="AJ45" t="str">
        <f>VLOOKUP(AnalizaCzyste[[#This Row],[Jak się nazywa uczelnia którą ukończyłeś? (proszę o wybranie jednej uczelni podlegającej ocenie)]],KategorieUczelni[],2,0)</f>
        <v>Publiczna</v>
      </c>
      <c r="AK45" t="str">
        <f>VLOOKUP(AnalizaCzyste[[#This Row],[Jak się nazywa uczelnia którą ukończyłeś? (proszę o wybranie jednej uczelni podlegającej ocenie)]],KategorieUczelni[],3,0)</f>
        <v>Nietechniczna</v>
      </c>
      <c r="AL45">
        <f>COUNTIF(AnalizaCzyste[[#This Row],[Czy jesteś absolwentem uczelni wyższej?]],"*"&amp;"Tak"&amp;"*")</f>
        <v>1</v>
      </c>
      <c r="AM45">
        <v>2012</v>
      </c>
      <c r="AN45" t="s">
        <v>148</v>
      </c>
      <c r="AO45" t="s">
        <v>793</v>
      </c>
      <c r="AP45" t="s">
        <v>151</v>
      </c>
      <c r="AQ45">
        <f>VLOOKUP(AnalizaCzyste[[#This Row],[Moja satysfakcja z (efektów) usług edukacyjnych ocenianej uczelni jest wysoka.]],SkalaLikerta[],2,0)</f>
        <v>4</v>
      </c>
      <c r="AR45" t="s">
        <v>151</v>
      </c>
      <c r="AS45" t="s">
        <v>129</v>
      </c>
      <c r="AT45" t="s">
        <v>129</v>
      </c>
      <c r="AU45" t="s">
        <v>128</v>
      </c>
      <c r="AV45">
        <v>3</v>
      </c>
      <c r="AW45" t="s">
        <v>131</v>
      </c>
      <c r="AX45">
        <f>VLOOKUP(AnalizaCzyste[[#This Row],[w pierwszym roku po ukończeniu studiów : wybierz wartość z listy rozwijanej4]],Zarobki[],2,0)</f>
        <v>1500</v>
      </c>
      <c r="AY45" t="s">
        <v>302</v>
      </c>
      <c r="AZ45">
        <f>VLOOKUP(AnalizaCzyste[[#This Row],[w 3 lata po ukończeniu studiów : wybierz wartość z listy rozwijanej5]],Zarobki[],2,0)</f>
        <v>2500</v>
      </c>
      <c r="BA45" t="s">
        <v>386</v>
      </c>
      <c r="BB45" t="s">
        <v>794</v>
      </c>
      <c r="BC45" t="s">
        <v>780</v>
      </c>
      <c r="BD45" t="s">
        <v>157</v>
      </c>
      <c r="BF45" s="1" t="s">
        <v>123</v>
      </c>
      <c r="BM45" t="e">
        <f>VLOOKUP(AnalizaCzyste[[#This Row],[Moja satysfakcja z (efektów) usług edukacyjnych ocenianej uczelni jest wysoka.8]],SkalaLikerta[],2,0)</f>
        <v>#N/A</v>
      </c>
      <c r="DA45" s="1" t="s">
        <v>123</v>
      </c>
      <c r="DE45" t="e">
        <f>VLOOKUP(AnalizaCzyste[[#This Row],[Moja satysfakcja z pracy na ocenianej uczelni jest wysoka.]],SkalaLikerta[],2,0)</f>
        <v>#N/A</v>
      </c>
      <c r="DL45" s="1" t="s">
        <v>123</v>
      </c>
      <c r="DP45" t="e">
        <f>VLOOKUP(AnalizaCzyste[[#This Row],[Moja satysfakcja z pracy na ocenianej uczelni jest wysoka.42]],SkalaLikerta[],2,0)</f>
        <v>#N/A</v>
      </c>
      <c r="DW45" s="1" t="s">
        <v>123</v>
      </c>
      <c r="EJ45" t="e">
        <f>VLOOKUP(AnalizaCzyste[[#This Row],[Ogólny poziom mojej satysfakcji z jakości usług edukacyjnych ocenianej uczelni jest wysoki.]],SkalaLikerta[],2,0)</f>
        <v>#N/A</v>
      </c>
      <c r="FA45" s="1" t="s">
        <v>123</v>
      </c>
      <c r="FF45" t="e">
        <f>VLOOKUP(AnalizaCzyste[[#This Row],[Moja satysfakcja z (efektów) usług edukacyjnych na ocenianej uczelni jest wysoka.]],SkalaLikerta[],2,0)</f>
        <v>#N/A</v>
      </c>
      <c r="GB45" s="1" t="s">
        <v>123</v>
      </c>
      <c r="GC45" t="s">
        <v>132</v>
      </c>
      <c r="GN45" t="e">
        <f>VLOOKUP(AnalizaCzyste[[#This Row],[Ogólny poziom mojej satysfakcji z jakości usług edukacyjnych ocenianej uczelni jest wysoki.32]],SkalaLikerta[],2,0)</f>
        <v>#N/A</v>
      </c>
      <c r="HK45" t="s">
        <v>786</v>
      </c>
      <c r="HL45" t="s">
        <v>787</v>
      </c>
      <c r="HM45" t="s">
        <v>788</v>
      </c>
      <c r="HN45" t="s">
        <v>186</v>
      </c>
      <c r="HO45">
        <v>1987</v>
      </c>
      <c r="HP45" t="str">
        <f>VLOOKUP(AnalizaCzyste[[#This Row],[Rok urodzenia]],KategorieWiekowe[],2,1)</f>
        <v>26–35 lat</v>
      </c>
      <c r="HQ45" t="s">
        <v>141</v>
      </c>
      <c r="HS45" t="s">
        <v>795</v>
      </c>
    </row>
    <row r="46" spans="1:228" x14ac:dyDescent="0.45">
      <c r="A46">
        <v>17</v>
      </c>
      <c r="B46">
        <f>_xlfn.IFNA(VLOOKUP(AnalizaCzyste[[#This Row],[Zakończono wypełnianie]],Zakończone[],2,0),"BRAK")</f>
        <v>16</v>
      </c>
      <c r="C46">
        <f t="shared" si="1"/>
        <v>47</v>
      </c>
      <c r="D46" t="s">
        <v>358</v>
      </c>
      <c r="E46" t="s">
        <v>118</v>
      </c>
      <c r="F46" t="s">
        <v>359</v>
      </c>
      <c r="J46" t="s">
        <v>119</v>
      </c>
      <c r="K46" t="s">
        <v>360</v>
      </c>
      <c r="L46" t="s">
        <v>361</v>
      </c>
      <c r="M46">
        <v>1534</v>
      </c>
      <c r="O46">
        <v>0</v>
      </c>
      <c r="P46" t="s">
        <v>122</v>
      </c>
      <c r="Q46" s="1" t="s">
        <v>123</v>
      </c>
      <c r="V46" t="e">
        <f>VLOOKUP(AnalizaCzyste[[#This Row],[Moja satysfakcja z usług edukacyjnych ocenianej uczelni jest wysoka.]],SkalaLikerta[],2,0)</f>
        <v>#N/A</v>
      </c>
      <c r="AH46" s="1" t="s">
        <v>124</v>
      </c>
      <c r="AI46" t="s">
        <v>223</v>
      </c>
      <c r="AJ46" t="str">
        <f>VLOOKUP(AnalizaCzyste[[#This Row],[Jak się nazywa uczelnia którą ukończyłeś? (proszę o wybranie jednej uczelni podlegającej ocenie)]],KategorieUczelni[],2,0)</f>
        <v>Publiczna</v>
      </c>
      <c r="AK46" t="str">
        <f>VLOOKUP(AnalizaCzyste[[#This Row],[Jak się nazywa uczelnia którą ukończyłeś? (proszę o wybranie jednej uczelni podlegającej ocenie)]],KategorieUczelni[],3,0)</f>
        <v>Nietechniczna</v>
      </c>
      <c r="AL46">
        <f>COUNTIF(AnalizaCzyste[[#This Row],[Czy jesteś absolwentem uczelni wyższej?]],"*"&amp;"Tak"&amp;"*")</f>
        <v>1</v>
      </c>
      <c r="AM46">
        <v>2011</v>
      </c>
      <c r="AN46" t="s">
        <v>148</v>
      </c>
      <c r="AO46" t="s">
        <v>362</v>
      </c>
      <c r="AP46" t="s">
        <v>151</v>
      </c>
      <c r="AQ46">
        <f>VLOOKUP(AnalizaCzyste[[#This Row],[Moja satysfakcja z (efektów) usług edukacyjnych ocenianej uczelni jest wysoka.]],SkalaLikerta[],2,0)</f>
        <v>4</v>
      </c>
      <c r="AR46" t="s">
        <v>236</v>
      </c>
      <c r="AS46" t="s">
        <v>129</v>
      </c>
      <c r="AT46" t="s">
        <v>129</v>
      </c>
      <c r="AU46" t="s">
        <v>129</v>
      </c>
      <c r="AV46">
        <v>4</v>
      </c>
      <c r="AW46" t="s">
        <v>131</v>
      </c>
      <c r="AX46">
        <f>VLOOKUP(AnalizaCzyste[[#This Row],[w pierwszym roku po ukończeniu studiów : wybierz wartość z listy rozwijanej4]],Zarobki[],2,0)</f>
        <v>1500</v>
      </c>
      <c r="AY46" t="s">
        <v>131</v>
      </c>
      <c r="AZ46">
        <f>VLOOKUP(AnalizaCzyste[[#This Row],[w 3 lata po ukończeniu studiów : wybierz wartość z listy rozwijanej5]],Zarobki[],2,0)</f>
        <v>1500</v>
      </c>
      <c r="BA46" t="s">
        <v>363</v>
      </c>
      <c r="BB46" t="s">
        <v>364</v>
      </c>
      <c r="BC46" t="s">
        <v>365</v>
      </c>
      <c r="BD46" t="s">
        <v>157</v>
      </c>
      <c r="BF46" s="1" t="s">
        <v>123</v>
      </c>
      <c r="BM46" t="e">
        <f>VLOOKUP(AnalizaCzyste[[#This Row],[Moja satysfakcja z (efektów) usług edukacyjnych ocenianej uczelni jest wysoka.8]],SkalaLikerta[],2,0)</f>
        <v>#N/A</v>
      </c>
      <c r="DA46" s="1" t="s">
        <v>123</v>
      </c>
      <c r="DE46" t="e">
        <f>VLOOKUP(AnalizaCzyste[[#This Row],[Moja satysfakcja z pracy na ocenianej uczelni jest wysoka.]],SkalaLikerta[],2,0)</f>
        <v>#N/A</v>
      </c>
      <c r="DL46" s="1" t="s">
        <v>123</v>
      </c>
      <c r="DP46" t="e">
        <f>VLOOKUP(AnalizaCzyste[[#This Row],[Moja satysfakcja z pracy na ocenianej uczelni jest wysoka.42]],SkalaLikerta[],2,0)</f>
        <v>#N/A</v>
      </c>
      <c r="DW46" s="1" t="s">
        <v>123</v>
      </c>
      <c r="EJ46" t="e">
        <f>VLOOKUP(AnalizaCzyste[[#This Row],[Ogólny poziom mojej satysfakcji z jakości usług edukacyjnych ocenianej uczelni jest wysoki.]],SkalaLikerta[],2,0)</f>
        <v>#N/A</v>
      </c>
      <c r="FA46" s="1" t="s">
        <v>123</v>
      </c>
      <c r="FF46" t="e">
        <f>VLOOKUP(AnalizaCzyste[[#This Row],[Moja satysfakcja z (efektów) usług edukacyjnych na ocenianej uczelni jest wysoka.]],SkalaLikerta[],2,0)</f>
        <v>#N/A</v>
      </c>
      <c r="GB46" s="1" t="s">
        <v>123</v>
      </c>
      <c r="GC46" t="s">
        <v>132</v>
      </c>
      <c r="GN46" t="e">
        <f>VLOOKUP(AnalizaCzyste[[#This Row],[Ogólny poziom mojej satysfakcji z jakości usług edukacyjnych ocenianej uczelni jest wysoki.32]],SkalaLikerta[],2,0)</f>
        <v>#N/A</v>
      </c>
      <c r="HK46" t="s">
        <v>366</v>
      </c>
      <c r="HL46" t="s">
        <v>367</v>
      </c>
      <c r="HM46" t="s">
        <v>368</v>
      </c>
      <c r="HN46" t="s">
        <v>140</v>
      </c>
      <c r="HO46">
        <v>1987</v>
      </c>
      <c r="HP46" t="str">
        <f>VLOOKUP(AnalizaCzyste[[#This Row],[Rok urodzenia]],KategorieWiekowe[],2,1)</f>
        <v>26–35 lat</v>
      </c>
      <c r="HQ46" t="s">
        <v>141</v>
      </c>
      <c r="HS46" t="s">
        <v>369</v>
      </c>
    </row>
    <row r="47" spans="1:228" x14ac:dyDescent="0.45">
      <c r="A47">
        <v>171</v>
      </c>
      <c r="B47">
        <f>_xlfn.IFNA(VLOOKUP(AnalizaCzyste[[#This Row],[Zakończono wypełnianie]],Zakończone[],2,0),"BRAK")</f>
        <v>98</v>
      </c>
      <c r="C47">
        <f t="shared" si="1"/>
        <v>44</v>
      </c>
      <c r="D47" t="s">
        <v>1336</v>
      </c>
      <c r="E47" t="s">
        <v>118</v>
      </c>
      <c r="J47" t="s">
        <v>119</v>
      </c>
      <c r="K47" t="s">
        <v>1481</v>
      </c>
      <c r="L47" t="s">
        <v>1482</v>
      </c>
      <c r="M47">
        <v>562</v>
      </c>
      <c r="O47">
        <v>0</v>
      </c>
      <c r="P47" t="s">
        <v>122</v>
      </c>
      <c r="Q47" s="1" t="s">
        <v>123</v>
      </c>
      <c r="V47" t="e">
        <f>VLOOKUP(AnalizaCzyste[[#This Row],[Moja satysfakcja z usług edukacyjnych ocenianej uczelni jest wysoka.]],SkalaLikerta[],2,0)</f>
        <v>#N/A</v>
      </c>
      <c r="AH47" s="1" t="s">
        <v>124</v>
      </c>
      <c r="AI47" t="s">
        <v>223</v>
      </c>
      <c r="AJ47" t="str">
        <f>VLOOKUP(AnalizaCzyste[[#This Row],[Jak się nazywa uczelnia którą ukończyłeś? (proszę o wybranie jednej uczelni podlegającej ocenie)]],KategorieUczelni[],2,0)</f>
        <v>Publiczna</v>
      </c>
      <c r="AK47" t="str">
        <f>VLOOKUP(AnalizaCzyste[[#This Row],[Jak się nazywa uczelnia którą ukończyłeś? (proszę o wybranie jednej uczelni podlegającej ocenie)]],KategorieUczelni[],3,0)</f>
        <v>Nietechniczna</v>
      </c>
      <c r="AL47">
        <f>COUNTIF(AnalizaCzyste[[#This Row],[Czy jesteś absolwentem uczelni wyższej?]],"*"&amp;"Tak"&amp;"*")</f>
        <v>1</v>
      </c>
      <c r="AM47">
        <v>2014</v>
      </c>
      <c r="AN47" t="s">
        <v>148</v>
      </c>
      <c r="AO47" t="s">
        <v>1483</v>
      </c>
      <c r="AP47" t="s">
        <v>151</v>
      </c>
      <c r="AQ47">
        <f>VLOOKUP(AnalizaCzyste[[#This Row],[Moja satysfakcja z (efektów) usług edukacyjnych ocenianej uczelni jest wysoka.]],SkalaLikerta[],2,0)</f>
        <v>4</v>
      </c>
      <c r="AR47" t="s">
        <v>128</v>
      </c>
      <c r="AS47" t="s">
        <v>128</v>
      </c>
      <c r="AT47" t="s">
        <v>151</v>
      </c>
      <c r="AU47" t="s">
        <v>162</v>
      </c>
      <c r="AV47" t="s">
        <v>1484</v>
      </c>
      <c r="AW47" t="s">
        <v>153</v>
      </c>
      <c r="AX47">
        <f>VLOOKUP(AnalizaCzyste[[#This Row],[w pierwszym roku po ukończeniu studiów : wybierz wartość z listy rozwijanej4]],Zarobki[],2,0)</f>
        <v>3500</v>
      </c>
      <c r="AY47" t="s">
        <v>153</v>
      </c>
      <c r="AZ47">
        <f>VLOOKUP(AnalizaCzyste[[#This Row],[w 3 lata po ukończeniu studiów : wybierz wartość z listy rozwijanej5]],Zarobki[],2,0)</f>
        <v>3500</v>
      </c>
      <c r="BB47" t="s">
        <v>1485</v>
      </c>
      <c r="BC47" t="s">
        <v>1486</v>
      </c>
      <c r="BD47" t="s">
        <v>172</v>
      </c>
      <c r="BF47" s="1" t="s">
        <v>123</v>
      </c>
      <c r="BM47" t="e">
        <f>VLOOKUP(AnalizaCzyste[[#This Row],[Moja satysfakcja z (efektów) usług edukacyjnych ocenianej uczelni jest wysoka.8]],SkalaLikerta[],2,0)</f>
        <v>#N/A</v>
      </c>
      <c r="DA47" s="1" t="s">
        <v>123</v>
      </c>
      <c r="DE47" t="e">
        <f>VLOOKUP(AnalizaCzyste[[#This Row],[Moja satysfakcja z pracy na ocenianej uczelni jest wysoka.]],SkalaLikerta[],2,0)</f>
        <v>#N/A</v>
      </c>
      <c r="DL47" s="1" t="s">
        <v>123</v>
      </c>
      <c r="DP47" t="e">
        <f>VLOOKUP(AnalizaCzyste[[#This Row],[Moja satysfakcja z pracy na ocenianej uczelni jest wysoka.42]],SkalaLikerta[],2,0)</f>
        <v>#N/A</v>
      </c>
      <c r="DW47" s="1" t="s">
        <v>123</v>
      </c>
      <c r="EJ47" t="e">
        <f>VLOOKUP(AnalizaCzyste[[#This Row],[Ogólny poziom mojej satysfakcji z jakości usług edukacyjnych ocenianej uczelni jest wysoki.]],SkalaLikerta[],2,0)</f>
        <v>#N/A</v>
      </c>
      <c r="FA47" s="1" t="s">
        <v>123</v>
      </c>
      <c r="FF47" t="e">
        <f>VLOOKUP(AnalizaCzyste[[#This Row],[Moja satysfakcja z (efektów) usług edukacyjnych na ocenianej uczelni jest wysoka.]],SkalaLikerta[],2,0)</f>
        <v>#N/A</v>
      </c>
      <c r="GB47" s="1" t="s">
        <v>123</v>
      </c>
      <c r="GN47" t="e">
        <f>VLOOKUP(AnalizaCzyste[[#This Row],[Ogólny poziom mojej satysfakcji z jakości usług edukacyjnych ocenianej uczelni jest wysoki.32]],SkalaLikerta[],2,0)</f>
        <v>#N/A</v>
      </c>
      <c r="HK47" t="s">
        <v>1487</v>
      </c>
      <c r="HL47" t="s">
        <v>1488</v>
      </c>
      <c r="HM47" t="s">
        <v>1489</v>
      </c>
      <c r="HN47" t="s">
        <v>140</v>
      </c>
      <c r="HO47">
        <v>1991</v>
      </c>
      <c r="HP47" t="str">
        <f>VLOOKUP(AnalizaCzyste[[#This Row],[Rok urodzenia]],KategorieWiekowe[],2,1)</f>
        <v>26–35 lat</v>
      </c>
      <c r="HQ47" t="s">
        <v>141</v>
      </c>
    </row>
    <row r="48" spans="1:228" x14ac:dyDescent="0.45">
      <c r="A48">
        <v>22</v>
      </c>
      <c r="B48">
        <f>_xlfn.IFNA(VLOOKUP(AnalizaCzyste[[#This Row],[Zakończono wypełnianie]],Zakończone[],2,0),"BRAK")</f>
        <v>19</v>
      </c>
      <c r="C48">
        <f t="shared" si="1"/>
        <v>50</v>
      </c>
      <c r="D48" t="s">
        <v>399</v>
      </c>
      <c r="E48" t="s">
        <v>118</v>
      </c>
      <c r="F48" t="s">
        <v>400</v>
      </c>
      <c r="J48" t="s">
        <v>119</v>
      </c>
      <c r="K48" t="s">
        <v>401</v>
      </c>
      <c r="L48" t="s">
        <v>402</v>
      </c>
      <c r="M48">
        <v>1075</v>
      </c>
      <c r="O48">
        <v>0</v>
      </c>
      <c r="P48" t="s">
        <v>122</v>
      </c>
      <c r="Q48" s="1" t="s">
        <v>123</v>
      </c>
      <c r="V48" t="e">
        <f>VLOOKUP(AnalizaCzyste[[#This Row],[Moja satysfakcja z usług edukacyjnych ocenianej uczelni jest wysoka.]],SkalaLikerta[],2,0)</f>
        <v>#N/A</v>
      </c>
      <c r="AH48" s="1" t="s">
        <v>124</v>
      </c>
      <c r="AI48" t="s">
        <v>2272</v>
      </c>
      <c r="AJ48" t="str">
        <f>VLOOKUP(AnalizaCzyste[[#This Row],[Jak się nazywa uczelnia którą ukończyłeś? (proszę o wybranie jednej uczelni podlegającej ocenie)]],KategorieUczelni[],2,0)</f>
        <v>Publiczna</v>
      </c>
      <c r="AK48" t="str">
        <f>VLOOKUP(AnalizaCzyste[[#This Row],[Jak się nazywa uczelnia którą ukończyłeś? (proszę o wybranie jednej uczelni podlegającej ocenie)]],KategorieUczelni[],3,0)</f>
        <v>Nietechniczna</v>
      </c>
      <c r="AL48">
        <f>COUNTIF(AnalizaCzyste[[#This Row],[Czy jesteś absolwentem uczelni wyższej?]],"*"&amp;"Tak"&amp;"*")</f>
        <v>1</v>
      </c>
      <c r="AM48">
        <v>2010</v>
      </c>
      <c r="AN48" t="s">
        <v>148</v>
      </c>
      <c r="AO48" t="s">
        <v>404</v>
      </c>
      <c r="AP48" t="s">
        <v>151</v>
      </c>
      <c r="AQ48">
        <f>VLOOKUP(AnalizaCzyste[[#This Row],[Moja satysfakcja z (efektów) usług edukacyjnych ocenianej uczelni jest wysoka.]],SkalaLikerta[],2,0)</f>
        <v>4</v>
      </c>
      <c r="AR48" t="s">
        <v>150</v>
      </c>
      <c r="AS48" t="s">
        <v>162</v>
      </c>
      <c r="AT48" t="s">
        <v>150</v>
      </c>
      <c r="AU48" t="s">
        <v>150</v>
      </c>
      <c r="AV48" t="s">
        <v>405</v>
      </c>
      <c r="AW48" t="s">
        <v>131</v>
      </c>
      <c r="AX48">
        <f>VLOOKUP(AnalizaCzyste[[#This Row],[w pierwszym roku po ukończeniu studiów : wybierz wartość z listy rozwijanej4]],Zarobki[],2,0)</f>
        <v>1500</v>
      </c>
      <c r="AY48" t="s">
        <v>302</v>
      </c>
      <c r="AZ48">
        <f>VLOOKUP(AnalizaCzyste[[#This Row],[w 3 lata po ukończeniu studiów : wybierz wartość z listy rozwijanej5]],Zarobki[],2,0)</f>
        <v>2500</v>
      </c>
      <c r="BA48" t="s">
        <v>406</v>
      </c>
      <c r="BB48" t="s">
        <v>407</v>
      </c>
      <c r="BC48" t="s">
        <v>408</v>
      </c>
      <c r="BD48" t="s">
        <v>230</v>
      </c>
      <c r="BF48" s="1" t="s">
        <v>123</v>
      </c>
      <c r="BM48" t="e">
        <f>VLOOKUP(AnalizaCzyste[[#This Row],[Moja satysfakcja z (efektów) usług edukacyjnych ocenianej uczelni jest wysoka.8]],SkalaLikerta[],2,0)</f>
        <v>#N/A</v>
      </c>
      <c r="DA48" s="1" t="s">
        <v>123</v>
      </c>
      <c r="DE48" t="e">
        <f>VLOOKUP(AnalizaCzyste[[#This Row],[Moja satysfakcja z pracy na ocenianej uczelni jest wysoka.]],SkalaLikerta[],2,0)</f>
        <v>#N/A</v>
      </c>
      <c r="DL48" s="1" t="s">
        <v>123</v>
      </c>
      <c r="DP48" t="e">
        <f>VLOOKUP(AnalizaCzyste[[#This Row],[Moja satysfakcja z pracy na ocenianej uczelni jest wysoka.42]],SkalaLikerta[],2,0)</f>
        <v>#N/A</v>
      </c>
      <c r="DW48" s="1" t="s">
        <v>123</v>
      </c>
      <c r="EJ48" t="e">
        <f>VLOOKUP(AnalizaCzyste[[#This Row],[Ogólny poziom mojej satysfakcji z jakości usług edukacyjnych ocenianej uczelni jest wysoki.]],SkalaLikerta[],2,0)</f>
        <v>#N/A</v>
      </c>
      <c r="FA48" s="1" t="s">
        <v>123</v>
      </c>
      <c r="FB48" t="s">
        <v>180</v>
      </c>
      <c r="FC48" t="s">
        <v>132</v>
      </c>
      <c r="FF48" t="e">
        <f>VLOOKUP(AnalizaCzyste[[#This Row],[Moja satysfakcja z (efektów) usług edukacyjnych na ocenianej uczelni jest wysoka.]],SkalaLikerta[],2,0)</f>
        <v>#N/A</v>
      </c>
      <c r="GB48" s="1" t="s">
        <v>123</v>
      </c>
      <c r="GC48" t="s">
        <v>132</v>
      </c>
      <c r="GE48" t="s">
        <v>132</v>
      </c>
      <c r="GN48" t="e">
        <f>VLOOKUP(AnalizaCzyste[[#This Row],[Ogólny poziom mojej satysfakcji z jakości usług edukacyjnych ocenianej uczelni jest wysoki.32]],SkalaLikerta[],2,0)</f>
        <v>#N/A</v>
      </c>
      <c r="HK48" t="s">
        <v>409</v>
      </c>
      <c r="HL48" t="s">
        <v>410</v>
      </c>
      <c r="HM48" t="s">
        <v>411</v>
      </c>
      <c r="HN48" t="s">
        <v>140</v>
      </c>
      <c r="HO48">
        <v>1985</v>
      </c>
      <c r="HP48" t="str">
        <f>VLOOKUP(AnalizaCzyste[[#This Row],[Rok urodzenia]],KategorieWiekowe[],2,1)</f>
        <v>26–35 lat</v>
      </c>
      <c r="HQ48" t="s">
        <v>398</v>
      </c>
      <c r="HS48" t="s">
        <v>412</v>
      </c>
    </row>
    <row r="49" spans="1:229" x14ac:dyDescent="0.45">
      <c r="A49">
        <v>75</v>
      </c>
      <c r="B49">
        <f>_xlfn.IFNA(VLOOKUP(AnalizaCzyste[[#This Row],[Zakończono wypełnianie]],Zakończone[],2,0),"BRAK")</f>
        <v>41</v>
      </c>
      <c r="C49">
        <f t="shared" si="1"/>
        <v>65</v>
      </c>
      <c r="D49" t="s">
        <v>754</v>
      </c>
      <c r="E49" t="s">
        <v>118</v>
      </c>
      <c r="F49" t="s">
        <v>755</v>
      </c>
      <c r="J49" t="s">
        <v>119</v>
      </c>
      <c r="K49" t="s">
        <v>756</v>
      </c>
      <c r="L49" t="s">
        <v>757</v>
      </c>
      <c r="M49">
        <v>487</v>
      </c>
      <c r="O49">
        <v>0</v>
      </c>
      <c r="P49" t="s">
        <v>122</v>
      </c>
      <c r="Q49" s="1" t="s">
        <v>416</v>
      </c>
      <c r="R49" t="s">
        <v>147</v>
      </c>
      <c r="S49" t="s">
        <v>148</v>
      </c>
      <c r="T49" t="s">
        <v>758</v>
      </c>
      <c r="U49" t="s">
        <v>236</v>
      </c>
      <c r="V49">
        <f>VLOOKUP(AnalizaCzyste[[#This Row],[Moja satysfakcja z usług edukacyjnych ocenianej uczelni jest wysoka.]],SkalaLikerta[],2,0)</f>
        <v>2</v>
      </c>
      <c r="W49" t="s">
        <v>129</v>
      </c>
      <c r="X49" t="s">
        <v>236</v>
      </c>
      <c r="Y49" t="s">
        <v>718</v>
      </c>
      <c r="Z49" t="s">
        <v>759</v>
      </c>
      <c r="AA49" t="s">
        <v>194</v>
      </c>
      <c r="AB49" t="s">
        <v>760</v>
      </c>
      <c r="AC49" t="s">
        <v>761</v>
      </c>
      <c r="AD49" t="s">
        <v>762</v>
      </c>
      <c r="AE49" t="s">
        <v>157</v>
      </c>
      <c r="AG49">
        <v>2</v>
      </c>
      <c r="AH49" s="1" t="s">
        <v>124</v>
      </c>
      <c r="AI49" t="s">
        <v>223</v>
      </c>
      <c r="AJ49" t="str">
        <f>VLOOKUP(AnalizaCzyste[[#This Row],[Jak się nazywa uczelnia którą ukończyłeś? (proszę o wybranie jednej uczelni podlegającej ocenie)]],KategorieUczelni[],2,0)</f>
        <v>Publiczna</v>
      </c>
      <c r="AK49" t="str">
        <f>VLOOKUP(AnalizaCzyste[[#This Row],[Jak się nazywa uczelnia którą ukończyłeś? (proszę o wybranie jednej uczelni podlegającej ocenie)]],KategorieUczelni[],3,0)</f>
        <v>Nietechniczna</v>
      </c>
      <c r="AL49">
        <f>COUNTIF(AnalizaCzyste[[#This Row],[Czy jesteś absolwentem uczelni wyższej?]],"*"&amp;"Tak"&amp;"*")</f>
        <v>1</v>
      </c>
      <c r="AM49">
        <v>2012</v>
      </c>
      <c r="AN49" t="s">
        <v>148</v>
      </c>
      <c r="AO49" t="s">
        <v>764</v>
      </c>
      <c r="AP49" t="s">
        <v>236</v>
      </c>
      <c r="AQ49">
        <f>VLOOKUP(AnalizaCzyste[[#This Row],[Moja satysfakcja z (efektów) usług edukacyjnych ocenianej uczelni jest wysoka.]],SkalaLikerta[],2,0)</f>
        <v>2</v>
      </c>
      <c r="AR49" t="s">
        <v>236</v>
      </c>
      <c r="AS49" t="s">
        <v>236</v>
      </c>
      <c r="AT49" t="s">
        <v>129</v>
      </c>
      <c r="AU49" t="s">
        <v>236</v>
      </c>
      <c r="AV49" t="s">
        <v>237</v>
      </c>
      <c r="AW49" t="s">
        <v>302</v>
      </c>
      <c r="AX49">
        <f>VLOOKUP(AnalizaCzyste[[#This Row],[w pierwszym roku po ukończeniu studiów : wybierz wartość z listy rozwijanej4]],Zarobki[],2,0)</f>
        <v>2500</v>
      </c>
      <c r="AY49" t="s">
        <v>153</v>
      </c>
      <c r="AZ49">
        <f>VLOOKUP(AnalizaCzyste[[#This Row],[w 3 lata po ukończeniu studiów : wybierz wartość z listy rozwijanej5]],Zarobki[],2,0)</f>
        <v>3500</v>
      </c>
      <c r="BA49" t="s">
        <v>765</v>
      </c>
      <c r="BB49" t="s">
        <v>766</v>
      </c>
      <c r="BC49" t="s">
        <v>767</v>
      </c>
      <c r="BD49" t="s">
        <v>230</v>
      </c>
      <c r="BF49" s="1" t="s">
        <v>123</v>
      </c>
      <c r="BM49" t="e">
        <f>VLOOKUP(AnalizaCzyste[[#This Row],[Moja satysfakcja z (efektów) usług edukacyjnych ocenianej uczelni jest wysoka.8]],SkalaLikerta[],2,0)</f>
        <v>#N/A</v>
      </c>
      <c r="DA49" s="1" t="s">
        <v>123</v>
      </c>
      <c r="DE49" t="e">
        <f>VLOOKUP(AnalizaCzyste[[#This Row],[Moja satysfakcja z pracy na ocenianej uczelni jest wysoka.]],SkalaLikerta[],2,0)</f>
        <v>#N/A</v>
      </c>
      <c r="DL49" s="1" t="s">
        <v>123</v>
      </c>
      <c r="DP49" t="e">
        <f>VLOOKUP(AnalizaCzyste[[#This Row],[Moja satysfakcja z pracy na ocenianej uczelni jest wysoka.42]],SkalaLikerta[],2,0)</f>
        <v>#N/A</v>
      </c>
      <c r="DW49" s="1" t="s">
        <v>123</v>
      </c>
      <c r="EJ49" t="e">
        <f>VLOOKUP(AnalizaCzyste[[#This Row],[Ogólny poziom mojej satysfakcji z jakości usług edukacyjnych ocenianej uczelni jest wysoki.]],SkalaLikerta[],2,0)</f>
        <v>#N/A</v>
      </c>
      <c r="FA49" s="1" t="s">
        <v>123</v>
      </c>
      <c r="FB49" t="s">
        <v>180</v>
      </c>
      <c r="FC49" t="s">
        <v>132</v>
      </c>
      <c r="FF49" t="e">
        <f>VLOOKUP(AnalizaCzyste[[#This Row],[Moja satysfakcja z (efektów) usług edukacyjnych na ocenianej uczelni jest wysoka.]],SkalaLikerta[],2,0)</f>
        <v>#N/A</v>
      </c>
      <c r="GB49" s="1" t="s">
        <v>123</v>
      </c>
      <c r="GC49" t="s">
        <v>132</v>
      </c>
      <c r="GE49" t="s">
        <v>132</v>
      </c>
      <c r="GN49" t="e">
        <f>VLOOKUP(AnalizaCzyste[[#This Row],[Ogólny poziom mojej satysfakcji z jakości usług edukacyjnych ocenianej uczelni jest wysoki.32]],SkalaLikerta[],2,0)</f>
        <v>#N/A</v>
      </c>
      <c r="HK49" t="s">
        <v>768</v>
      </c>
      <c r="HL49" t="s">
        <v>769</v>
      </c>
      <c r="HM49" t="s">
        <v>770</v>
      </c>
      <c r="HN49" t="s">
        <v>186</v>
      </c>
      <c r="HO49">
        <v>1990</v>
      </c>
      <c r="HP49" t="str">
        <f>VLOOKUP(AnalizaCzyste[[#This Row],[Rok urodzenia]],KategorieWiekowe[],2,1)</f>
        <v>26–35 lat</v>
      </c>
      <c r="HQ49" t="s">
        <v>141</v>
      </c>
      <c r="HS49" t="s">
        <v>771</v>
      </c>
      <c r="HT49" t="s">
        <v>772</v>
      </c>
    </row>
    <row r="50" spans="1:229" x14ac:dyDescent="0.45">
      <c r="A50">
        <v>182</v>
      </c>
      <c r="B50">
        <f>_xlfn.IFNA(VLOOKUP(AnalizaCzyste[[#This Row],[Zakończono wypełnianie]],Zakończone[],2,0),"BRAK")</f>
        <v>103</v>
      </c>
      <c r="C50">
        <f t="shared" si="1"/>
        <v>47</v>
      </c>
      <c r="D50" t="s">
        <v>1540</v>
      </c>
      <c r="E50" t="s">
        <v>118</v>
      </c>
      <c r="J50" t="s">
        <v>119</v>
      </c>
      <c r="K50" t="s">
        <v>1541</v>
      </c>
      <c r="L50" t="s">
        <v>1542</v>
      </c>
      <c r="M50">
        <v>193</v>
      </c>
      <c r="O50">
        <v>0</v>
      </c>
      <c r="P50" t="s">
        <v>122</v>
      </c>
      <c r="Q50" s="1" t="s">
        <v>123</v>
      </c>
      <c r="V50" t="e">
        <f>VLOOKUP(AnalizaCzyste[[#This Row],[Moja satysfakcja z usług edukacyjnych ocenianej uczelni jest wysoka.]],SkalaLikerta[],2,0)</f>
        <v>#N/A</v>
      </c>
      <c r="AH50" s="1" t="s">
        <v>124</v>
      </c>
      <c r="AI50" t="s">
        <v>191</v>
      </c>
      <c r="AJ50" t="str">
        <f>VLOOKUP(AnalizaCzyste[[#This Row],[Jak się nazywa uczelnia którą ukończyłeś? (proszę o wybranie jednej uczelni podlegającej ocenie)]],KategorieUczelni[],2,0)</f>
        <v>Publiczna</v>
      </c>
      <c r="AK50" t="str">
        <f>VLOOKUP(AnalizaCzyste[[#This Row],[Jak się nazywa uczelnia którą ukończyłeś? (proszę o wybranie jednej uczelni podlegającej ocenie)]],KategorieUczelni[],3,0)</f>
        <v>Techniczna</v>
      </c>
      <c r="AL50">
        <f>COUNTIF(AnalizaCzyste[[#This Row],[Czy jesteś absolwentem uczelni wyższej?]],"*"&amp;"Tak"&amp;"*")</f>
        <v>1</v>
      </c>
      <c r="AM50">
        <v>2013</v>
      </c>
      <c r="AN50" t="s">
        <v>126</v>
      </c>
      <c r="AO50" t="s">
        <v>1544</v>
      </c>
      <c r="AP50" t="s">
        <v>236</v>
      </c>
      <c r="AQ50">
        <f>VLOOKUP(AnalizaCzyste[[#This Row],[Moja satysfakcja z (efektów) usług edukacyjnych ocenianej uczelni jest wysoka.]],SkalaLikerta[],2,0)</f>
        <v>2</v>
      </c>
      <c r="AR50" t="s">
        <v>236</v>
      </c>
      <c r="AS50" t="s">
        <v>162</v>
      </c>
      <c r="AT50" t="s">
        <v>236</v>
      </c>
      <c r="AU50" t="s">
        <v>236</v>
      </c>
      <c r="AV50">
        <v>1</v>
      </c>
      <c r="AW50" t="s">
        <v>131</v>
      </c>
      <c r="AX50">
        <f>VLOOKUP(AnalizaCzyste[[#This Row],[w pierwszym roku po ukończeniu studiów : wybierz wartość z listy rozwijanej4]],Zarobki[],2,0)</f>
        <v>1500</v>
      </c>
      <c r="AY50" t="s">
        <v>302</v>
      </c>
      <c r="AZ50">
        <f>VLOOKUP(AnalizaCzyste[[#This Row],[w 3 lata po ukończeniu studiów : wybierz wartość z listy rozwijanej5]],Zarobki[],2,0)</f>
        <v>2500</v>
      </c>
      <c r="BB50" t="s">
        <v>267</v>
      </c>
      <c r="BC50" t="s">
        <v>267</v>
      </c>
      <c r="BD50" t="s">
        <v>157</v>
      </c>
      <c r="BF50" s="1" t="s">
        <v>123</v>
      </c>
      <c r="BM50" t="e">
        <f>VLOOKUP(AnalizaCzyste[[#This Row],[Moja satysfakcja z (efektów) usług edukacyjnych ocenianej uczelni jest wysoka.8]],SkalaLikerta[],2,0)</f>
        <v>#N/A</v>
      </c>
      <c r="DA50" s="1" t="s">
        <v>123</v>
      </c>
      <c r="DE50" t="e">
        <f>VLOOKUP(AnalizaCzyste[[#This Row],[Moja satysfakcja z pracy na ocenianej uczelni jest wysoka.]],SkalaLikerta[],2,0)</f>
        <v>#N/A</v>
      </c>
      <c r="DL50" s="1" t="s">
        <v>123</v>
      </c>
      <c r="DP50" t="e">
        <f>VLOOKUP(AnalizaCzyste[[#This Row],[Moja satysfakcja z pracy na ocenianej uczelni jest wysoka.42]],SkalaLikerta[],2,0)</f>
        <v>#N/A</v>
      </c>
      <c r="DW50" s="1" t="s">
        <v>123</v>
      </c>
      <c r="EJ50" t="e">
        <f>VLOOKUP(AnalizaCzyste[[#This Row],[Ogólny poziom mojej satysfakcji z jakości usług edukacyjnych ocenianej uczelni jest wysoki.]],SkalaLikerta[],2,0)</f>
        <v>#N/A</v>
      </c>
      <c r="FA50" s="1" t="s">
        <v>123</v>
      </c>
      <c r="FF50" t="e">
        <f>VLOOKUP(AnalizaCzyste[[#This Row],[Moja satysfakcja z (efektów) usług edukacyjnych na ocenianej uczelni jest wysoka.]],SkalaLikerta[],2,0)</f>
        <v>#N/A</v>
      </c>
      <c r="GB50" s="1" t="s">
        <v>123</v>
      </c>
      <c r="GN50" t="e">
        <f>VLOOKUP(AnalizaCzyste[[#This Row],[Ogólny poziom mojej satysfakcji z jakości usług edukacyjnych ocenianej uczelni jest wysoki.32]],SkalaLikerta[],2,0)</f>
        <v>#N/A</v>
      </c>
      <c r="HK50" t="s">
        <v>267</v>
      </c>
      <c r="HL50" t="s">
        <v>267</v>
      </c>
      <c r="HM50" t="s">
        <v>267</v>
      </c>
      <c r="HN50" t="s">
        <v>186</v>
      </c>
      <c r="HO50">
        <v>1989</v>
      </c>
      <c r="HP50" t="str">
        <f>VLOOKUP(AnalizaCzyste[[#This Row],[Rok urodzenia]],KategorieWiekowe[],2,1)</f>
        <v>26–35 lat</v>
      </c>
      <c r="HQ50" t="s">
        <v>141</v>
      </c>
      <c r="HS50" t="s">
        <v>267</v>
      </c>
      <c r="HT50" t="s">
        <v>267</v>
      </c>
      <c r="HU50" t="s">
        <v>267</v>
      </c>
    </row>
    <row r="51" spans="1:229" x14ac:dyDescent="0.45">
      <c r="A51">
        <v>12</v>
      </c>
      <c r="B51">
        <f>_xlfn.IFNA(VLOOKUP(AnalizaCzyste[[#This Row],[Zakończono wypełnianie]],Zakończone[],2,0),"BRAK")</f>
        <v>11</v>
      </c>
      <c r="C51">
        <f t="shared" si="1"/>
        <v>49</v>
      </c>
      <c r="D51" t="s">
        <v>316</v>
      </c>
      <c r="E51" t="s">
        <v>118</v>
      </c>
      <c r="J51" t="s">
        <v>119</v>
      </c>
      <c r="K51" t="s">
        <v>317</v>
      </c>
      <c r="L51" t="s">
        <v>318</v>
      </c>
      <c r="M51">
        <v>349</v>
      </c>
      <c r="O51">
        <v>0</v>
      </c>
      <c r="P51" t="s">
        <v>122</v>
      </c>
      <c r="Q51" s="1" t="s">
        <v>123</v>
      </c>
      <c r="V51" t="e">
        <f>VLOOKUP(AnalizaCzyste[[#This Row],[Moja satysfakcja z usług edukacyjnych ocenianej uczelni jest wysoka.]],SkalaLikerta[],2,0)</f>
        <v>#N/A</v>
      </c>
      <c r="AH51" s="1" t="s">
        <v>124</v>
      </c>
      <c r="AI51" t="s">
        <v>191</v>
      </c>
      <c r="AJ51" t="str">
        <f>VLOOKUP(AnalizaCzyste[[#This Row],[Jak się nazywa uczelnia którą ukończyłeś? (proszę o wybranie jednej uczelni podlegającej ocenie)]],KategorieUczelni[],2,0)</f>
        <v>Publiczna</v>
      </c>
      <c r="AK51" t="str">
        <f>VLOOKUP(AnalizaCzyste[[#This Row],[Jak się nazywa uczelnia którą ukończyłeś? (proszę o wybranie jednej uczelni podlegającej ocenie)]],KategorieUczelni[],3,0)</f>
        <v>Techniczna</v>
      </c>
      <c r="AL51">
        <f>COUNTIF(AnalizaCzyste[[#This Row],[Czy jesteś absolwentem uczelni wyższej?]],"*"&amp;"Tak"&amp;"*")</f>
        <v>1</v>
      </c>
      <c r="AM51">
        <v>2010</v>
      </c>
      <c r="AN51" t="s">
        <v>126</v>
      </c>
      <c r="AO51" t="s">
        <v>319</v>
      </c>
      <c r="AP51" t="s">
        <v>236</v>
      </c>
      <c r="AQ51">
        <f>VLOOKUP(AnalizaCzyste[[#This Row],[Moja satysfakcja z (efektów) usług edukacyjnych ocenianej uczelni jest wysoka.]],SkalaLikerta[],2,0)</f>
        <v>2</v>
      </c>
      <c r="AR51" t="s">
        <v>128</v>
      </c>
      <c r="AS51" t="s">
        <v>162</v>
      </c>
      <c r="AT51" t="s">
        <v>162</v>
      </c>
      <c r="AU51" t="s">
        <v>162</v>
      </c>
      <c r="AV51">
        <v>6</v>
      </c>
      <c r="AW51" t="s">
        <v>131</v>
      </c>
      <c r="AX51">
        <f>VLOOKUP(AnalizaCzyste[[#This Row],[w pierwszym roku po ukończeniu studiów : wybierz wartość z listy rozwijanej4]],Zarobki[],2,0)</f>
        <v>1500</v>
      </c>
      <c r="AY51" t="s">
        <v>302</v>
      </c>
      <c r="AZ51">
        <f>VLOOKUP(AnalizaCzyste[[#This Row],[w 3 lata po ukończeniu studiów : wybierz wartość z listy rozwijanej5]],Zarobki[],2,0)</f>
        <v>2500</v>
      </c>
      <c r="BA51" t="s">
        <v>320</v>
      </c>
      <c r="BB51" t="s">
        <v>321</v>
      </c>
      <c r="BC51" t="s">
        <v>322</v>
      </c>
      <c r="BD51" t="s">
        <v>157</v>
      </c>
      <c r="BF51" s="1" t="s">
        <v>123</v>
      </c>
      <c r="BM51" t="e">
        <f>VLOOKUP(AnalizaCzyste[[#This Row],[Moja satysfakcja z (efektów) usług edukacyjnych ocenianej uczelni jest wysoka.8]],SkalaLikerta[],2,0)</f>
        <v>#N/A</v>
      </c>
      <c r="DA51" s="1" t="s">
        <v>123</v>
      </c>
      <c r="DE51" t="e">
        <f>VLOOKUP(AnalizaCzyste[[#This Row],[Moja satysfakcja z pracy na ocenianej uczelni jest wysoka.]],SkalaLikerta[],2,0)</f>
        <v>#N/A</v>
      </c>
      <c r="DL51" s="1" t="s">
        <v>123</v>
      </c>
      <c r="DP51" t="e">
        <f>VLOOKUP(AnalizaCzyste[[#This Row],[Moja satysfakcja z pracy na ocenianej uczelni jest wysoka.42]],SkalaLikerta[],2,0)</f>
        <v>#N/A</v>
      </c>
      <c r="DW51" s="1" t="s">
        <v>123</v>
      </c>
      <c r="EJ51" t="e">
        <f>VLOOKUP(AnalizaCzyste[[#This Row],[Ogólny poziom mojej satysfakcji z jakości usług edukacyjnych ocenianej uczelni jest wysoki.]],SkalaLikerta[],2,0)</f>
        <v>#N/A</v>
      </c>
      <c r="FA51" s="1" t="s">
        <v>123</v>
      </c>
      <c r="FB51" t="s">
        <v>180</v>
      </c>
      <c r="FC51" t="s">
        <v>132</v>
      </c>
      <c r="FF51" t="e">
        <f>VLOOKUP(AnalizaCzyste[[#This Row],[Moja satysfakcja z (efektów) usług edukacyjnych na ocenianej uczelni jest wysoka.]],SkalaLikerta[],2,0)</f>
        <v>#N/A</v>
      </c>
      <c r="GB51" s="1" t="s">
        <v>123</v>
      </c>
      <c r="GC51" t="s">
        <v>132</v>
      </c>
      <c r="GE51" t="s">
        <v>132</v>
      </c>
      <c r="GN51" t="e">
        <f>VLOOKUP(AnalizaCzyste[[#This Row],[Ogólny poziom mojej satysfakcji z jakości usług edukacyjnych ocenianej uczelni jest wysoki.32]],SkalaLikerta[],2,0)</f>
        <v>#N/A</v>
      </c>
      <c r="HK51" t="s">
        <v>323</v>
      </c>
      <c r="HL51" t="s">
        <v>324</v>
      </c>
      <c r="HM51" t="s">
        <v>325</v>
      </c>
      <c r="HN51" t="s">
        <v>186</v>
      </c>
      <c r="HO51">
        <v>1985</v>
      </c>
      <c r="HP51" t="str">
        <f>VLOOKUP(AnalizaCzyste[[#This Row],[Rok urodzenia]],KategorieWiekowe[],2,1)</f>
        <v>26–35 lat</v>
      </c>
      <c r="HQ51" t="s">
        <v>141</v>
      </c>
    </row>
    <row r="52" spans="1:229" x14ac:dyDescent="0.45">
      <c r="A52">
        <v>218</v>
      </c>
      <c r="B52">
        <f>_xlfn.IFNA(VLOOKUP(AnalizaCzyste[[#This Row],[Zakończono wypełnianie]],Zakończone[],2,0),"BRAK")</f>
        <v>120</v>
      </c>
      <c r="C52">
        <f t="shared" si="1"/>
        <v>45</v>
      </c>
      <c r="D52" t="s">
        <v>1792</v>
      </c>
      <c r="E52" t="s">
        <v>118</v>
      </c>
      <c r="F52" t="s">
        <v>359</v>
      </c>
      <c r="J52" t="s">
        <v>119</v>
      </c>
      <c r="K52" t="s">
        <v>1793</v>
      </c>
      <c r="L52" t="s">
        <v>1794</v>
      </c>
      <c r="M52">
        <v>465</v>
      </c>
      <c r="O52">
        <v>0</v>
      </c>
      <c r="P52" t="s">
        <v>122</v>
      </c>
      <c r="Q52" s="1" t="s">
        <v>123</v>
      </c>
      <c r="V52" t="e">
        <f>VLOOKUP(AnalizaCzyste[[#This Row],[Moja satysfakcja z usług edukacyjnych ocenianej uczelni jest wysoka.]],SkalaLikerta[],2,0)</f>
        <v>#N/A</v>
      </c>
      <c r="AH52" s="1" t="s">
        <v>124</v>
      </c>
      <c r="AI52" t="s">
        <v>191</v>
      </c>
      <c r="AJ52" t="str">
        <f>VLOOKUP(AnalizaCzyste[[#This Row],[Jak się nazywa uczelnia którą ukończyłeś? (proszę o wybranie jednej uczelni podlegającej ocenie)]],KategorieUczelni[],2,0)</f>
        <v>Publiczna</v>
      </c>
      <c r="AK52" t="str">
        <f>VLOOKUP(AnalizaCzyste[[#This Row],[Jak się nazywa uczelnia którą ukończyłeś? (proszę o wybranie jednej uczelni podlegającej ocenie)]],KategorieUczelni[],3,0)</f>
        <v>Techniczna</v>
      </c>
      <c r="AL52">
        <f>COUNTIF(AnalizaCzyste[[#This Row],[Czy jesteś absolwentem uczelni wyższej?]],"*"&amp;"Tak"&amp;"*")</f>
        <v>1</v>
      </c>
      <c r="AM52">
        <v>2016</v>
      </c>
      <c r="AN52" t="s">
        <v>126</v>
      </c>
      <c r="AO52" t="s">
        <v>1795</v>
      </c>
      <c r="AP52" t="s">
        <v>236</v>
      </c>
      <c r="AQ52">
        <f>VLOOKUP(AnalizaCzyste[[#This Row],[Moja satysfakcja z (efektów) usług edukacyjnych ocenianej uczelni jest wysoka.]],SkalaLikerta[],2,0)</f>
        <v>2</v>
      </c>
      <c r="AR52" t="s">
        <v>236</v>
      </c>
      <c r="AS52" t="s">
        <v>129</v>
      </c>
      <c r="AT52" t="s">
        <v>129</v>
      </c>
      <c r="AU52" t="s">
        <v>129</v>
      </c>
      <c r="AV52">
        <v>34</v>
      </c>
      <c r="AW52" t="s">
        <v>152</v>
      </c>
      <c r="AX52">
        <f>VLOOKUP(AnalizaCzyste[[#This Row],[w pierwszym roku po ukończeniu studiów : wybierz wartość z listy rozwijanej4]],Zarobki[],2,0)</f>
        <v>500</v>
      </c>
      <c r="AY52" t="s">
        <v>152</v>
      </c>
      <c r="AZ52">
        <f>VLOOKUP(AnalizaCzyste[[#This Row],[w 3 lata po ukończeniu studiów : wybierz wartość z listy rozwijanej5]],Zarobki[],2,0)</f>
        <v>500</v>
      </c>
      <c r="BA52" t="s">
        <v>1796</v>
      </c>
      <c r="BB52" t="s">
        <v>1797</v>
      </c>
      <c r="BC52" t="s">
        <v>1798</v>
      </c>
      <c r="BD52" t="s">
        <v>157</v>
      </c>
      <c r="BF52" s="1" t="s">
        <v>123</v>
      </c>
      <c r="BM52" t="e">
        <f>VLOOKUP(AnalizaCzyste[[#This Row],[Moja satysfakcja z (efektów) usług edukacyjnych ocenianej uczelni jest wysoka.8]],SkalaLikerta[],2,0)</f>
        <v>#N/A</v>
      </c>
      <c r="DA52" s="1" t="s">
        <v>123</v>
      </c>
      <c r="DE52" t="e">
        <f>VLOOKUP(AnalizaCzyste[[#This Row],[Moja satysfakcja z pracy na ocenianej uczelni jest wysoka.]],SkalaLikerta[],2,0)</f>
        <v>#N/A</v>
      </c>
      <c r="DL52" s="1" t="s">
        <v>123</v>
      </c>
      <c r="DP52" t="e">
        <f>VLOOKUP(AnalizaCzyste[[#This Row],[Moja satysfakcja z pracy na ocenianej uczelni jest wysoka.42]],SkalaLikerta[],2,0)</f>
        <v>#N/A</v>
      </c>
      <c r="DW52" s="1" t="s">
        <v>123</v>
      </c>
      <c r="EJ52" t="e">
        <f>VLOOKUP(AnalizaCzyste[[#This Row],[Ogólny poziom mojej satysfakcji z jakości usług edukacyjnych ocenianej uczelni jest wysoki.]],SkalaLikerta[],2,0)</f>
        <v>#N/A</v>
      </c>
      <c r="FA52" s="1" t="s">
        <v>123</v>
      </c>
      <c r="FF52" t="e">
        <f>VLOOKUP(AnalizaCzyste[[#This Row],[Moja satysfakcja z (efektów) usług edukacyjnych na ocenianej uczelni jest wysoka.]],SkalaLikerta[],2,0)</f>
        <v>#N/A</v>
      </c>
      <c r="GB52" s="1" t="s">
        <v>123</v>
      </c>
      <c r="GN52" t="e">
        <f>VLOOKUP(AnalizaCzyste[[#This Row],[Ogólny poziom mojej satysfakcji z jakości usług edukacyjnych ocenianej uczelni jest wysoki.32]],SkalaLikerta[],2,0)</f>
        <v>#N/A</v>
      </c>
      <c r="HK52" t="s">
        <v>1799</v>
      </c>
      <c r="HL52" t="s">
        <v>1800</v>
      </c>
      <c r="HM52" t="s">
        <v>1801</v>
      </c>
      <c r="HN52" t="s">
        <v>140</v>
      </c>
      <c r="HO52" s="35">
        <v>1995</v>
      </c>
      <c r="HP52" t="str">
        <f>VLOOKUP(AnalizaCzyste[[#This Row],[Rok urodzenia]],KategorieWiekowe[],2,1)</f>
        <v>poniżej 26 lat</v>
      </c>
      <c r="HQ52" t="s">
        <v>483</v>
      </c>
    </row>
    <row r="53" spans="1:229" x14ac:dyDescent="0.45">
      <c r="A53">
        <v>149</v>
      </c>
      <c r="B53">
        <f>_xlfn.IFNA(VLOOKUP(AnalizaCzyste[[#This Row],[Zakończono wypełnianie]],Zakończone[],2,0),"BRAK")</f>
        <v>87</v>
      </c>
      <c r="C53">
        <f t="shared" si="1"/>
        <v>46</v>
      </c>
      <c r="D53" t="s">
        <v>1352</v>
      </c>
      <c r="E53" t="s">
        <v>118</v>
      </c>
      <c r="J53" t="s">
        <v>119</v>
      </c>
      <c r="K53" t="s">
        <v>1359</v>
      </c>
      <c r="L53" t="s">
        <v>1360</v>
      </c>
      <c r="M53">
        <v>8266</v>
      </c>
      <c r="O53">
        <v>0</v>
      </c>
      <c r="P53" t="s">
        <v>122</v>
      </c>
      <c r="Q53" s="1" t="s">
        <v>123</v>
      </c>
      <c r="V53" t="e">
        <f>VLOOKUP(AnalizaCzyste[[#This Row],[Moja satysfakcja z usług edukacyjnych ocenianej uczelni jest wysoka.]],SkalaLikerta[],2,0)</f>
        <v>#N/A</v>
      </c>
      <c r="AH53" s="1" t="s">
        <v>124</v>
      </c>
      <c r="AI53" t="s">
        <v>160</v>
      </c>
      <c r="AJ53" t="str">
        <f>VLOOKUP(AnalizaCzyste[[#This Row],[Jak się nazywa uczelnia którą ukończyłeś? (proszę o wybranie jednej uczelni podlegającej ocenie)]],KategorieUczelni[],2,0)</f>
        <v>Publiczna</v>
      </c>
      <c r="AK53" t="str">
        <f>VLOOKUP(AnalizaCzyste[[#This Row],[Jak się nazywa uczelnia którą ukończyłeś? (proszę o wybranie jednej uczelni podlegającej ocenie)]],KategorieUczelni[],3,0)</f>
        <v>Nietechniczna</v>
      </c>
      <c r="AL53">
        <f>COUNTIF(AnalizaCzyste[[#This Row],[Czy jesteś absolwentem uczelni wyższej?]],"*"&amp;"Tak"&amp;"*")</f>
        <v>1</v>
      </c>
      <c r="AM53">
        <v>2010</v>
      </c>
      <c r="AN53" t="s">
        <v>148</v>
      </c>
      <c r="AO53" t="s">
        <v>1361</v>
      </c>
      <c r="AP53" t="s">
        <v>236</v>
      </c>
      <c r="AQ53">
        <f>VLOOKUP(AnalizaCzyste[[#This Row],[Moja satysfakcja z (efektów) usług edukacyjnych ocenianej uczelni jest wysoka.]],SkalaLikerta[],2,0)</f>
        <v>2</v>
      </c>
      <c r="AR53" t="s">
        <v>150</v>
      </c>
      <c r="AS53" t="s">
        <v>129</v>
      </c>
      <c r="AT53" t="s">
        <v>129</v>
      </c>
      <c r="AU53" t="s">
        <v>129</v>
      </c>
      <c r="AV53" t="s">
        <v>1362</v>
      </c>
      <c r="AW53" t="s">
        <v>153</v>
      </c>
      <c r="AX53">
        <f>VLOOKUP(AnalizaCzyste[[#This Row],[w pierwszym roku po ukończeniu studiów : wybierz wartość z listy rozwijanej4]],Zarobki[],2,0)</f>
        <v>3500</v>
      </c>
      <c r="AY53" t="s">
        <v>153</v>
      </c>
      <c r="AZ53">
        <f>VLOOKUP(AnalizaCzyste[[#This Row],[w 3 lata po ukończeniu studiów : wybierz wartość z listy rozwijanej5]],Zarobki[],2,0)</f>
        <v>3500</v>
      </c>
      <c r="BA53" t="s">
        <v>1363</v>
      </c>
      <c r="BB53" t="s">
        <v>1364</v>
      </c>
      <c r="BC53" t="s">
        <v>1365</v>
      </c>
      <c r="BD53" t="s">
        <v>157</v>
      </c>
      <c r="BF53" s="1" t="s">
        <v>123</v>
      </c>
      <c r="BM53" t="e">
        <f>VLOOKUP(AnalizaCzyste[[#This Row],[Moja satysfakcja z (efektów) usług edukacyjnych ocenianej uczelni jest wysoka.8]],SkalaLikerta[],2,0)</f>
        <v>#N/A</v>
      </c>
      <c r="DA53" s="1" t="s">
        <v>123</v>
      </c>
      <c r="DE53" t="e">
        <f>VLOOKUP(AnalizaCzyste[[#This Row],[Moja satysfakcja z pracy na ocenianej uczelni jest wysoka.]],SkalaLikerta[],2,0)</f>
        <v>#N/A</v>
      </c>
      <c r="DL53" s="1" t="s">
        <v>123</v>
      </c>
      <c r="DP53" t="e">
        <f>VLOOKUP(AnalizaCzyste[[#This Row],[Moja satysfakcja z pracy na ocenianej uczelni jest wysoka.42]],SkalaLikerta[],2,0)</f>
        <v>#N/A</v>
      </c>
      <c r="DW53" s="1" t="s">
        <v>123</v>
      </c>
      <c r="EJ53" t="e">
        <f>VLOOKUP(AnalizaCzyste[[#This Row],[Ogólny poziom mojej satysfakcji z jakości usług edukacyjnych ocenianej uczelni jest wysoki.]],SkalaLikerta[],2,0)</f>
        <v>#N/A</v>
      </c>
      <c r="FA53" s="1" t="s">
        <v>123</v>
      </c>
      <c r="FF53" t="e">
        <f>VLOOKUP(AnalizaCzyste[[#This Row],[Moja satysfakcja z (efektów) usług edukacyjnych na ocenianej uczelni jest wysoka.]],SkalaLikerta[],2,0)</f>
        <v>#N/A</v>
      </c>
      <c r="GB53" s="1" t="s">
        <v>123</v>
      </c>
      <c r="GN53" t="e">
        <f>VLOOKUP(AnalizaCzyste[[#This Row],[Ogólny poziom mojej satysfakcji z jakości usług edukacyjnych ocenianej uczelni jest wysoki.32]],SkalaLikerta[],2,0)</f>
        <v>#N/A</v>
      </c>
      <c r="HK53" t="s">
        <v>1366</v>
      </c>
      <c r="HL53" t="s">
        <v>1367</v>
      </c>
      <c r="HM53" t="s">
        <v>532</v>
      </c>
      <c r="HN53" t="s">
        <v>140</v>
      </c>
      <c r="HO53">
        <v>1986</v>
      </c>
      <c r="HP53" t="str">
        <f>VLOOKUP(AnalizaCzyste[[#This Row],[Rok urodzenia]],KategorieWiekowe[],2,1)</f>
        <v>26–35 lat</v>
      </c>
      <c r="HQ53" t="s">
        <v>398</v>
      </c>
      <c r="HS53" t="s">
        <v>1368</v>
      </c>
    </row>
    <row r="54" spans="1:229" x14ac:dyDescent="0.45">
      <c r="A54">
        <v>122</v>
      </c>
      <c r="B54">
        <f>_xlfn.IFNA(VLOOKUP(AnalizaCzyste[[#This Row],[Zakończono wypełnianie]],Zakończone[],2,0),"BRAK")</f>
        <v>71</v>
      </c>
      <c r="C54">
        <f t="shared" si="1"/>
        <v>46</v>
      </c>
      <c r="D54" t="s">
        <v>1131</v>
      </c>
      <c r="E54" t="s">
        <v>118</v>
      </c>
      <c r="J54" t="s">
        <v>119</v>
      </c>
      <c r="K54" t="s">
        <v>1132</v>
      </c>
      <c r="L54" t="s">
        <v>1133</v>
      </c>
      <c r="M54">
        <v>3215</v>
      </c>
      <c r="O54">
        <v>0</v>
      </c>
      <c r="P54" t="s">
        <v>122</v>
      </c>
      <c r="Q54" s="1" t="s">
        <v>123</v>
      </c>
      <c r="V54" t="e">
        <f>VLOOKUP(AnalizaCzyste[[#This Row],[Moja satysfakcja z usług edukacyjnych ocenianej uczelni jest wysoka.]],SkalaLikerta[],2,0)</f>
        <v>#N/A</v>
      </c>
      <c r="AH54" s="1" t="s">
        <v>124</v>
      </c>
      <c r="AI54" t="s">
        <v>191</v>
      </c>
      <c r="AJ54" t="str">
        <f>VLOOKUP(AnalizaCzyste[[#This Row],[Jak się nazywa uczelnia którą ukończyłeś? (proszę o wybranie jednej uczelni podlegającej ocenie)]],KategorieUczelni[],2,0)</f>
        <v>Publiczna</v>
      </c>
      <c r="AK54" t="str">
        <f>VLOOKUP(AnalizaCzyste[[#This Row],[Jak się nazywa uczelnia którą ukończyłeś? (proszę o wybranie jednej uczelni podlegającej ocenie)]],KategorieUczelni[],3,0)</f>
        <v>Techniczna</v>
      </c>
      <c r="AL54">
        <f>COUNTIF(AnalizaCzyste[[#This Row],[Czy jesteś absolwentem uczelni wyższej?]],"*"&amp;"Tak"&amp;"*")</f>
        <v>1</v>
      </c>
      <c r="AM54">
        <v>2015</v>
      </c>
      <c r="AN54" t="s">
        <v>126</v>
      </c>
      <c r="AO54" t="s">
        <v>1134</v>
      </c>
      <c r="AP54" t="s">
        <v>128</v>
      </c>
      <c r="AQ54">
        <f>VLOOKUP(AnalizaCzyste[[#This Row],[Moja satysfakcja z (efektów) usług edukacyjnych ocenianej uczelni jest wysoka.]],SkalaLikerta[],2,0)</f>
        <v>3</v>
      </c>
      <c r="AR54" t="s">
        <v>151</v>
      </c>
      <c r="AS54" t="s">
        <v>169</v>
      </c>
      <c r="AT54" t="s">
        <v>162</v>
      </c>
      <c r="AU54" t="s">
        <v>150</v>
      </c>
      <c r="AV54">
        <v>1</v>
      </c>
      <c r="AW54" t="s">
        <v>302</v>
      </c>
      <c r="AX54">
        <f>VLOOKUP(AnalizaCzyste[[#This Row],[w pierwszym roku po ukończeniu studiów : wybierz wartość z listy rozwijanej4]],Zarobki[],2,0)</f>
        <v>2500</v>
      </c>
      <c r="AY54" t="s">
        <v>226</v>
      </c>
      <c r="AZ54">
        <f>VLOOKUP(AnalizaCzyste[[#This Row],[w 3 lata po ukończeniu studiów : wybierz wartość z listy rozwijanej5]],Zarobki[],2,0)</f>
        <v>4500</v>
      </c>
      <c r="BA54" t="s">
        <v>1135</v>
      </c>
      <c r="BB54" t="s">
        <v>1136</v>
      </c>
      <c r="BC54" t="s">
        <v>1137</v>
      </c>
      <c r="BD54" t="s">
        <v>172</v>
      </c>
      <c r="BF54" s="1" t="s">
        <v>123</v>
      </c>
      <c r="BM54" t="e">
        <f>VLOOKUP(AnalizaCzyste[[#This Row],[Moja satysfakcja z (efektów) usług edukacyjnych ocenianej uczelni jest wysoka.8]],SkalaLikerta[],2,0)</f>
        <v>#N/A</v>
      </c>
      <c r="DA54" s="1" t="s">
        <v>123</v>
      </c>
      <c r="DE54" t="e">
        <f>VLOOKUP(AnalizaCzyste[[#This Row],[Moja satysfakcja z pracy na ocenianej uczelni jest wysoka.]],SkalaLikerta[],2,0)</f>
        <v>#N/A</v>
      </c>
      <c r="DL54" s="1" t="s">
        <v>123</v>
      </c>
      <c r="DP54" t="e">
        <f>VLOOKUP(AnalizaCzyste[[#This Row],[Moja satysfakcja z pracy na ocenianej uczelni jest wysoka.42]],SkalaLikerta[],2,0)</f>
        <v>#N/A</v>
      </c>
      <c r="DW54" s="1" t="s">
        <v>123</v>
      </c>
      <c r="EJ54" t="e">
        <f>VLOOKUP(AnalizaCzyste[[#This Row],[Ogólny poziom mojej satysfakcji z jakości usług edukacyjnych ocenianej uczelni jest wysoki.]],SkalaLikerta[],2,0)</f>
        <v>#N/A</v>
      </c>
      <c r="FA54" s="1" t="s">
        <v>123</v>
      </c>
      <c r="FF54" t="e">
        <f>VLOOKUP(AnalizaCzyste[[#This Row],[Moja satysfakcja z (efektów) usług edukacyjnych na ocenianej uczelni jest wysoka.]],SkalaLikerta[],2,0)</f>
        <v>#N/A</v>
      </c>
      <c r="GB54" s="1" t="s">
        <v>123</v>
      </c>
      <c r="GN54" t="e">
        <f>VLOOKUP(AnalizaCzyste[[#This Row],[Ogólny poziom mojej satysfakcji z jakości usług edukacyjnych ocenianej uczelni jest wysoki.32]],SkalaLikerta[],2,0)</f>
        <v>#N/A</v>
      </c>
      <c r="HK54" t="s">
        <v>1138</v>
      </c>
      <c r="HL54" t="s">
        <v>1139</v>
      </c>
      <c r="HM54" t="s">
        <v>1140</v>
      </c>
      <c r="HN54" t="s">
        <v>186</v>
      </c>
      <c r="HO54">
        <v>1991</v>
      </c>
      <c r="HP54" t="str">
        <f>VLOOKUP(AnalizaCzyste[[#This Row],[Rok urodzenia]],KategorieWiekowe[],2,1)</f>
        <v>26–35 lat</v>
      </c>
      <c r="HQ54" t="s">
        <v>141</v>
      </c>
      <c r="HS54" t="s">
        <v>1141</v>
      </c>
    </row>
    <row r="55" spans="1:229" x14ac:dyDescent="0.45">
      <c r="A55">
        <v>1</v>
      </c>
      <c r="B55">
        <f>_xlfn.IFNA(VLOOKUP(AnalizaCzyste[[#This Row],[Zakończono wypełnianie]],Zakończone[],2,0),"BRAK")</f>
        <v>1</v>
      </c>
      <c r="C55">
        <f t="shared" si="1"/>
        <v>49</v>
      </c>
      <c r="D55" t="s">
        <v>117</v>
      </c>
      <c r="E55" t="s">
        <v>118</v>
      </c>
      <c r="J55" t="s">
        <v>119</v>
      </c>
      <c r="K55" t="s">
        <v>120</v>
      </c>
      <c r="L55" t="s">
        <v>121</v>
      </c>
      <c r="M55">
        <v>65871</v>
      </c>
      <c r="O55">
        <v>0</v>
      </c>
      <c r="P55" t="s">
        <v>122</v>
      </c>
      <c r="Q55" s="1" t="s">
        <v>123</v>
      </c>
      <c r="V55" t="e">
        <f>VLOOKUP(AnalizaCzyste[[#This Row],[Moja satysfakcja z usług edukacyjnych ocenianej uczelni jest wysoka.]],SkalaLikerta[],2,0)</f>
        <v>#N/A</v>
      </c>
      <c r="AH55" s="1" t="s">
        <v>124</v>
      </c>
      <c r="AI55" t="s">
        <v>191</v>
      </c>
      <c r="AJ55" s="20" t="str">
        <f>VLOOKUP(AnalizaCzyste[[#This Row],[Jak się nazywa uczelnia którą ukończyłeś? (proszę o wybranie jednej uczelni podlegającej ocenie)]],KategorieUczelni[],2,0)</f>
        <v>Publiczna</v>
      </c>
      <c r="AK55" s="20" t="str">
        <f>VLOOKUP(AnalizaCzyste[[#This Row],[Jak się nazywa uczelnia którą ukończyłeś? (proszę o wybranie jednej uczelni podlegającej ocenie)]],KategorieUczelni[],3,0)</f>
        <v>Techniczna</v>
      </c>
      <c r="AL55" s="20">
        <f>COUNTIF(AnalizaCzyste[[#This Row],[Czy jesteś absolwentem uczelni wyższej?]],"*"&amp;"Tak"&amp;"*")</f>
        <v>1</v>
      </c>
      <c r="AM55" s="35">
        <v>2011</v>
      </c>
      <c r="AN55" t="s">
        <v>126</v>
      </c>
      <c r="AO55" t="s">
        <v>127</v>
      </c>
      <c r="AP55" t="s">
        <v>128</v>
      </c>
      <c r="AQ55">
        <f>VLOOKUP(AnalizaCzyste[[#This Row],[Moja satysfakcja z (efektów) usług edukacyjnych ocenianej uczelni jest wysoka.]],SkalaLikerta[],2,0)</f>
        <v>3</v>
      </c>
      <c r="AR55" t="s">
        <v>128</v>
      </c>
      <c r="AS55" t="s">
        <v>129</v>
      </c>
      <c r="AT55" t="s">
        <v>129</v>
      </c>
      <c r="AU55" t="s">
        <v>129</v>
      </c>
      <c r="AV55" t="s">
        <v>130</v>
      </c>
      <c r="AW55" t="s">
        <v>131</v>
      </c>
      <c r="AX55">
        <f>VLOOKUP(AnalizaCzyste[[#This Row],[w pierwszym roku po ukończeniu studiów : wybierz wartość z listy rozwijanej4]],Zarobki[],2,0)</f>
        <v>1500</v>
      </c>
      <c r="AY55" t="s">
        <v>132</v>
      </c>
      <c r="AZ55" t="str">
        <f>VLOOKUP(AnalizaCzyste[[#This Row],[w 3 lata po ukończeniu studiów : wybierz wartość z listy rozwijanej5]],Zarobki[],2,0)</f>
        <v>N/D</v>
      </c>
      <c r="BA55" t="s">
        <v>133</v>
      </c>
      <c r="BB55" t="s">
        <v>134</v>
      </c>
      <c r="BC55" t="s">
        <v>135</v>
      </c>
      <c r="BE55" t="s">
        <v>136</v>
      </c>
      <c r="BF55" s="1" t="s">
        <v>123</v>
      </c>
      <c r="BM55" t="e">
        <f>VLOOKUP(AnalizaCzyste[[#This Row],[Moja satysfakcja z (efektów) usług edukacyjnych ocenianej uczelni jest wysoka.8]],SkalaLikerta[],2,0)</f>
        <v>#N/A</v>
      </c>
      <c r="DA55" s="1" t="s">
        <v>123</v>
      </c>
      <c r="DE55" t="e">
        <f>VLOOKUP(AnalizaCzyste[[#This Row],[Moja satysfakcja z pracy na ocenianej uczelni jest wysoka.]],SkalaLikerta[],2,0)</f>
        <v>#N/A</v>
      </c>
      <c r="DL55" s="1" t="s">
        <v>123</v>
      </c>
      <c r="DP55" t="e">
        <f>VLOOKUP(AnalizaCzyste[[#This Row],[Moja satysfakcja z pracy na ocenianej uczelni jest wysoka.42]],SkalaLikerta[],2,0)</f>
        <v>#N/A</v>
      </c>
      <c r="DW55" s="1" t="s">
        <v>123</v>
      </c>
      <c r="EJ55" t="e">
        <f>VLOOKUP(AnalizaCzyste[[#This Row],[Ogólny poziom mojej satysfakcji z jakości usług edukacyjnych ocenianej uczelni jest wysoki.]],SkalaLikerta[],2,0)</f>
        <v>#N/A</v>
      </c>
      <c r="FA55" s="1" t="s">
        <v>123</v>
      </c>
      <c r="FF55" t="e">
        <f>VLOOKUP(AnalizaCzyste[[#This Row],[Moja satysfakcja z (efektów) usług edukacyjnych na ocenianej uczelni jest wysoka.]],SkalaLikerta[],2,0)</f>
        <v>#N/A</v>
      </c>
      <c r="GB55" s="1" t="s">
        <v>123</v>
      </c>
      <c r="GC55" t="s">
        <v>132</v>
      </c>
      <c r="GN55" t="e">
        <f>VLOOKUP(AnalizaCzyste[[#This Row],[Ogólny poziom mojej satysfakcji z jakości usług edukacyjnych ocenianej uczelni jest wysoki.32]],SkalaLikerta[],2,0)</f>
        <v>#N/A</v>
      </c>
      <c r="HK55" t="s">
        <v>137</v>
      </c>
      <c r="HL55" t="s">
        <v>138</v>
      </c>
      <c r="HM55" t="s">
        <v>139</v>
      </c>
      <c r="HN55" t="s">
        <v>140</v>
      </c>
      <c r="HO55">
        <v>1987</v>
      </c>
      <c r="HP55" t="str">
        <f>VLOOKUP(AnalizaCzyste[[#This Row],[Rok urodzenia]],KategorieWiekowe[],2,1)</f>
        <v>26–35 lat</v>
      </c>
      <c r="HQ55" t="s">
        <v>141</v>
      </c>
      <c r="HS55" t="s">
        <v>142</v>
      </c>
      <c r="HT55" t="s">
        <v>142</v>
      </c>
      <c r="HU55" t="s">
        <v>143</v>
      </c>
    </row>
    <row r="56" spans="1:229" x14ac:dyDescent="0.45">
      <c r="A56">
        <v>110</v>
      </c>
      <c r="B56">
        <f>_xlfn.IFNA(VLOOKUP(AnalizaCzyste[[#This Row],[Zakończono wypełnianie]],Zakończone[],2,0),"BRAK")</f>
        <v>65</v>
      </c>
      <c r="C56">
        <f t="shared" si="1"/>
        <v>49</v>
      </c>
      <c r="D56" t="s">
        <v>1033</v>
      </c>
      <c r="E56" t="s">
        <v>118</v>
      </c>
      <c r="F56" t="s">
        <v>1034</v>
      </c>
      <c r="J56" t="s">
        <v>119</v>
      </c>
      <c r="K56" t="s">
        <v>1035</v>
      </c>
      <c r="L56" t="s">
        <v>1036</v>
      </c>
      <c r="M56">
        <v>1167</v>
      </c>
      <c r="O56">
        <v>0</v>
      </c>
      <c r="P56" t="s">
        <v>122</v>
      </c>
      <c r="Q56" s="1" t="s">
        <v>123</v>
      </c>
      <c r="V56" t="e">
        <f>VLOOKUP(AnalizaCzyste[[#This Row],[Moja satysfakcja z usług edukacyjnych ocenianej uczelni jest wysoka.]],SkalaLikerta[],2,0)</f>
        <v>#N/A</v>
      </c>
      <c r="AH56" s="1" t="s">
        <v>124</v>
      </c>
      <c r="AI56" s="35" t="s">
        <v>2318</v>
      </c>
      <c r="AJ56" s="35" t="str">
        <f>VLOOKUP(AnalizaCzyste[[#This Row],[Jak się nazywa uczelnia którą ukończyłeś? (proszę o wybranie jednej uczelni podlegającej ocenie)]],KategorieUczelni[],2,0)</f>
        <v>Publiczna</v>
      </c>
      <c r="AK56" s="35" t="str">
        <f>VLOOKUP(AnalizaCzyste[[#This Row],[Jak się nazywa uczelnia którą ukończyłeś? (proszę o wybranie jednej uczelni podlegającej ocenie)]],KategorieUczelni[],3,0)</f>
        <v>Techniczna</v>
      </c>
      <c r="AL56" s="35">
        <f>COUNTIF(AnalizaCzyste[[#This Row],[Czy jesteś absolwentem uczelni wyższej?]],"*"&amp;"Tak"&amp;"*")</f>
        <v>1</v>
      </c>
      <c r="AM56" s="35">
        <v>2007</v>
      </c>
      <c r="AN56" t="s">
        <v>126</v>
      </c>
      <c r="AO56" t="s">
        <v>1039</v>
      </c>
      <c r="AP56" t="s">
        <v>128</v>
      </c>
      <c r="AQ56">
        <f>VLOOKUP(AnalizaCzyste[[#This Row],[Moja satysfakcja z (efektów) usług edukacyjnych ocenianej uczelni jest wysoka.]],SkalaLikerta[],2,0)</f>
        <v>3</v>
      </c>
      <c r="AR56" t="s">
        <v>151</v>
      </c>
      <c r="AS56" t="s">
        <v>236</v>
      </c>
      <c r="AT56" t="s">
        <v>129</v>
      </c>
      <c r="AU56" t="s">
        <v>129</v>
      </c>
      <c r="AV56">
        <v>5</v>
      </c>
      <c r="AW56" t="s">
        <v>302</v>
      </c>
      <c r="AX56">
        <f>VLOOKUP(AnalizaCzyste[[#This Row],[w pierwszym roku po ukończeniu studiów : wybierz wartość z listy rozwijanej4]],Zarobki[],2,0)</f>
        <v>2500</v>
      </c>
      <c r="AY56" t="s">
        <v>302</v>
      </c>
      <c r="AZ56">
        <f>VLOOKUP(AnalizaCzyste[[#This Row],[w 3 lata po ukończeniu studiów : wybierz wartość z listy rozwijanej5]],Zarobki[],2,0)</f>
        <v>2500</v>
      </c>
      <c r="BB56" t="s">
        <v>1040</v>
      </c>
      <c r="BC56" t="s">
        <v>1041</v>
      </c>
      <c r="BD56" t="s">
        <v>892</v>
      </c>
      <c r="BE56" t="s">
        <v>1042</v>
      </c>
      <c r="BF56" s="1" t="s">
        <v>123</v>
      </c>
      <c r="BM56" t="e">
        <f>VLOOKUP(AnalizaCzyste[[#This Row],[Moja satysfakcja z (efektów) usług edukacyjnych ocenianej uczelni jest wysoka.8]],SkalaLikerta[],2,0)</f>
        <v>#N/A</v>
      </c>
      <c r="DA56" s="1" t="s">
        <v>123</v>
      </c>
      <c r="DE56" t="e">
        <f>VLOOKUP(AnalizaCzyste[[#This Row],[Moja satysfakcja z pracy na ocenianej uczelni jest wysoka.]],SkalaLikerta[],2,0)</f>
        <v>#N/A</v>
      </c>
      <c r="DL56" s="1" t="s">
        <v>123</v>
      </c>
      <c r="DP56" t="e">
        <f>VLOOKUP(AnalizaCzyste[[#This Row],[Moja satysfakcja z pracy na ocenianej uczelni jest wysoka.42]],SkalaLikerta[],2,0)</f>
        <v>#N/A</v>
      </c>
      <c r="DW56" s="1" t="s">
        <v>123</v>
      </c>
      <c r="EJ56" t="e">
        <f>VLOOKUP(AnalizaCzyste[[#This Row],[Ogólny poziom mojej satysfakcji z jakości usług edukacyjnych ocenianej uczelni jest wysoki.]],SkalaLikerta[],2,0)</f>
        <v>#N/A</v>
      </c>
      <c r="FA56" s="1" t="s">
        <v>123</v>
      </c>
      <c r="FB56" t="s">
        <v>180</v>
      </c>
      <c r="FC56" t="s">
        <v>132</v>
      </c>
      <c r="FF56" t="e">
        <f>VLOOKUP(AnalizaCzyste[[#This Row],[Moja satysfakcja z (efektów) usług edukacyjnych na ocenianej uczelni jest wysoka.]],SkalaLikerta[],2,0)</f>
        <v>#N/A</v>
      </c>
      <c r="GB56" s="1" t="s">
        <v>123</v>
      </c>
      <c r="GC56" t="s">
        <v>132</v>
      </c>
      <c r="GE56" t="s">
        <v>132</v>
      </c>
      <c r="GN56" t="e">
        <f>VLOOKUP(AnalizaCzyste[[#This Row],[Ogólny poziom mojej satysfakcji z jakości usług edukacyjnych ocenianej uczelni jest wysoki.32]],SkalaLikerta[],2,0)</f>
        <v>#N/A</v>
      </c>
      <c r="HK56" t="s">
        <v>1043</v>
      </c>
      <c r="HL56" t="s">
        <v>1044</v>
      </c>
      <c r="HM56" t="s">
        <v>1045</v>
      </c>
      <c r="HN56" t="s">
        <v>186</v>
      </c>
      <c r="HO56">
        <v>1982</v>
      </c>
      <c r="HP56" t="str">
        <f>VLOOKUP(AnalizaCzyste[[#This Row],[Rok urodzenia]],KategorieWiekowe[],2,1)</f>
        <v>36–45 lat</v>
      </c>
      <c r="HQ56" t="s">
        <v>246</v>
      </c>
    </row>
    <row r="57" spans="1:229" x14ac:dyDescent="0.45">
      <c r="A57">
        <v>131</v>
      </c>
      <c r="B57">
        <f>_xlfn.IFNA(VLOOKUP(AnalizaCzyste[[#This Row],[Zakończono wypełnianie]],Zakończone[],2,0),"BRAK")</f>
        <v>80</v>
      </c>
      <c r="C57">
        <f t="shared" si="1"/>
        <v>49</v>
      </c>
      <c r="D57" t="s">
        <v>1238</v>
      </c>
      <c r="E57" t="s">
        <v>118</v>
      </c>
      <c r="J57" t="s">
        <v>119</v>
      </c>
      <c r="K57" t="s">
        <v>1239</v>
      </c>
      <c r="L57" t="s">
        <v>1240</v>
      </c>
      <c r="M57">
        <v>356</v>
      </c>
      <c r="O57">
        <v>0</v>
      </c>
      <c r="P57" t="s">
        <v>122</v>
      </c>
      <c r="Q57" s="1" t="s">
        <v>123</v>
      </c>
      <c r="V57" t="e">
        <f>VLOOKUP(AnalizaCzyste[[#This Row],[Moja satysfakcja z usług edukacyjnych ocenianej uczelni jest wysoka.]],SkalaLikerta[],2,0)</f>
        <v>#N/A</v>
      </c>
      <c r="AH57" s="1" t="s">
        <v>124</v>
      </c>
      <c r="AI57" t="s">
        <v>223</v>
      </c>
      <c r="AJ57" t="str">
        <f>VLOOKUP(AnalizaCzyste[[#This Row],[Jak się nazywa uczelnia którą ukończyłeś? (proszę o wybranie jednej uczelni podlegającej ocenie)]],KategorieUczelni[],2,0)</f>
        <v>Publiczna</v>
      </c>
      <c r="AK57" t="str">
        <f>VLOOKUP(AnalizaCzyste[[#This Row],[Jak się nazywa uczelnia którą ukończyłeś? (proszę o wybranie jednej uczelni podlegającej ocenie)]],KategorieUczelni[],3,0)</f>
        <v>Nietechniczna</v>
      </c>
      <c r="AL57">
        <f>COUNTIF(AnalizaCzyste[[#This Row],[Czy jesteś absolwentem uczelni wyższej?]],"*"&amp;"Tak"&amp;"*")</f>
        <v>1</v>
      </c>
      <c r="AM57">
        <v>1997</v>
      </c>
      <c r="AN57" t="s">
        <v>148</v>
      </c>
      <c r="AO57" t="s">
        <v>161</v>
      </c>
      <c r="AP57" t="s">
        <v>128</v>
      </c>
      <c r="AQ57">
        <f>VLOOKUP(AnalizaCzyste[[#This Row],[Moja satysfakcja z (efektów) usług edukacyjnych ocenianej uczelni jest wysoka.]],SkalaLikerta[],2,0)</f>
        <v>3</v>
      </c>
      <c r="AR57" t="s">
        <v>128</v>
      </c>
      <c r="AS57" t="s">
        <v>162</v>
      </c>
      <c r="AT57" t="s">
        <v>162</v>
      </c>
      <c r="AU57" t="s">
        <v>162</v>
      </c>
      <c r="AV57">
        <v>1</v>
      </c>
      <c r="AW57" t="s">
        <v>131</v>
      </c>
      <c r="AX57">
        <f>VLOOKUP(AnalizaCzyste[[#This Row],[w pierwszym roku po ukończeniu studiów : wybierz wartość z listy rozwijanej4]],Zarobki[],2,0)</f>
        <v>1500</v>
      </c>
      <c r="AY57" t="s">
        <v>131</v>
      </c>
      <c r="AZ57">
        <f>VLOOKUP(AnalizaCzyste[[#This Row],[w 3 lata po ukończeniu studiów : wybierz wartość z listy rozwijanej5]],Zarobki[],2,0)</f>
        <v>1500</v>
      </c>
      <c r="BA57" t="s">
        <v>1241</v>
      </c>
      <c r="BB57" t="s">
        <v>1242</v>
      </c>
      <c r="BC57" t="s">
        <v>1243</v>
      </c>
      <c r="BD57" t="s">
        <v>157</v>
      </c>
      <c r="BE57" t="s">
        <v>1244</v>
      </c>
      <c r="BF57" s="1" t="s">
        <v>123</v>
      </c>
      <c r="BM57" t="e">
        <f>VLOOKUP(AnalizaCzyste[[#This Row],[Moja satysfakcja z (efektów) usług edukacyjnych ocenianej uczelni jest wysoka.8]],SkalaLikerta[],2,0)</f>
        <v>#N/A</v>
      </c>
      <c r="DA57" s="1" t="s">
        <v>123</v>
      </c>
      <c r="DE57" t="e">
        <f>VLOOKUP(AnalizaCzyste[[#This Row],[Moja satysfakcja z pracy na ocenianej uczelni jest wysoka.]],SkalaLikerta[],2,0)</f>
        <v>#N/A</v>
      </c>
      <c r="DL57" s="1" t="s">
        <v>123</v>
      </c>
      <c r="DP57" t="e">
        <f>VLOOKUP(AnalizaCzyste[[#This Row],[Moja satysfakcja z pracy na ocenianej uczelni jest wysoka.42]],SkalaLikerta[],2,0)</f>
        <v>#N/A</v>
      </c>
      <c r="DW57" s="1" t="s">
        <v>123</v>
      </c>
      <c r="EJ57" t="e">
        <f>VLOOKUP(AnalizaCzyste[[#This Row],[Ogólny poziom mojej satysfakcji z jakości usług edukacyjnych ocenianej uczelni jest wysoki.]],SkalaLikerta[],2,0)</f>
        <v>#N/A</v>
      </c>
      <c r="FA57" s="1" t="s">
        <v>123</v>
      </c>
      <c r="FB57" t="s">
        <v>178</v>
      </c>
      <c r="FC57" t="s">
        <v>132</v>
      </c>
      <c r="FF57" t="e">
        <f>VLOOKUP(AnalizaCzyste[[#This Row],[Moja satysfakcja z (efektów) usług edukacyjnych na ocenianej uczelni jest wysoka.]],SkalaLikerta[],2,0)</f>
        <v>#N/A</v>
      </c>
      <c r="GB57" s="1" t="s">
        <v>123</v>
      </c>
      <c r="GN57" t="e">
        <f>VLOOKUP(AnalizaCzyste[[#This Row],[Ogólny poziom mojej satysfakcji z jakości usług edukacyjnych ocenianej uczelni jest wysoki.32]],SkalaLikerta[],2,0)</f>
        <v>#N/A</v>
      </c>
      <c r="HK57" t="s">
        <v>1245</v>
      </c>
      <c r="HL57" t="s">
        <v>1246</v>
      </c>
      <c r="HM57" t="s">
        <v>1247</v>
      </c>
      <c r="HN57" t="s">
        <v>186</v>
      </c>
      <c r="HO57">
        <v>1974</v>
      </c>
      <c r="HP57" t="str">
        <f>VLOOKUP(AnalizaCzyste[[#This Row],[Rok urodzenia]],KategorieWiekowe[],2,1)</f>
        <v>46–55 lat</v>
      </c>
      <c r="HQ57" t="s">
        <v>398</v>
      </c>
      <c r="HS57" t="s">
        <v>1248</v>
      </c>
    </row>
    <row r="58" spans="1:229" x14ac:dyDescent="0.45">
      <c r="A58">
        <v>158</v>
      </c>
      <c r="B58">
        <f>_xlfn.IFNA(VLOOKUP(AnalizaCzyste[[#This Row],[Zakończono wypełnianie]],Zakończone[],2,0),"BRAK")</f>
        <v>91</v>
      </c>
      <c r="C58">
        <f t="shared" si="1"/>
        <v>46</v>
      </c>
      <c r="D58" t="s">
        <v>1131</v>
      </c>
      <c r="E58" t="s">
        <v>118</v>
      </c>
      <c r="J58" t="s">
        <v>119</v>
      </c>
      <c r="K58" t="s">
        <v>1403</v>
      </c>
      <c r="L58" t="s">
        <v>1404</v>
      </c>
      <c r="M58">
        <v>325</v>
      </c>
      <c r="O58">
        <v>0</v>
      </c>
      <c r="P58" t="s">
        <v>122</v>
      </c>
      <c r="Q58" s="1" t="s">
        <v>123</v>
      </c>
      <c r="V58" t="e">
        <f>VLOOKUP(AnalizaCzyste[[#This Row],[Moja satysfakcja z usług edukacyjnych ocenianej uczelni jest wysoka.]],SkalaLikerta[],2,0)</f>
        <v>#N/A</v>
      </c>
      <c r="AH58" s="1" t="s">
        <v>124</v>
      </c>
      <c r="AI58" t="s">
        <v>223</v>
      </c>
      <c r="AJ58" t="str">
        <f>VLOOKUP(AnalizaCzyste[[#This Row],[Jak się nazywa uczelnia którą ukończyłeś? (proszę o wybranie jednej uczelni podlegającej ocenie)]],KategorieUczelni[],2,0)</f>
        <v>Publiczna</v>
      </c>
      <c r="AK58" t="str">
        <f>VLOOKUP(AnalizaCzyste[[#This Row],[Jak się nazywa uczelnia którą ukończyłeś? (proszę o wybranie jednej uczelni podlegającej ocenie)]],KategorieUczelni[],3,0)</f>
        <v>Nietechniczna</v>
      </c>
      <c r="AL58">
        <f>COUNTIF(AnalizaCzyste[[#This Row],[Czy jesteś absolwentem uczelni wyższej?]],"*"&amp;"Tak"&amp;"*")</f>
        <v>1</v>
      </c>
      <c r="AM58">
        <v>2013</v>
      </c>
      <c r="AN58" t="s">
        <v>148</v>
      </c>
      <c r="AO58" t="s">
        <v>958</v>
      </c>
      <c r="AP58" t="s">
        <v>128</v>
      </c>
      <c r="AQ58">
        <f>VLOOKUP(AnalizaCzyste[[#This Row],[Moja satysfakcja z (efektów) usług edukacyjnych ocenianej uczelni jest wysoka.]],SkalaLikerta[],2,0)</f>
        <v>3</v>
      </c>
      <c r="AR58" t="s">
        <v>128</v>
      </c>
      <c r="AS58" t="s">
        <v>162</v>
      </c>
      <c r="AT58" t="s">
        <v>151</v>
      </c>
      <c r="AU58" t="s">
        <v>151</v>
      </c>
      <c r="AV58">
        <v>3</v>
      </c>
      <c r="AW58" t="s">
        <v>131</v>
      </c>
      <c r="AX58">
        <f>VLOOKUP(AnalizaCzyste[[#This Row],[w pierwszym roku po ukończeniu studiów : wybierz wartość z listy rozwijanej4]],Zarobki[],2,0)</f>
        <v>1500</v>
      </c>
      <c r="AY58" t="s">
        <v>153</v>
      </c>
      <c r="AZ58">
        <f>VLOOKUP(AnalizaCzyste[[#This Row],[w 3 lata po ukończeniu studiów : wybierz wartość z listy rozwijanej5]],Zarobki[],2,0)</f>
        <v>3500</v>
      </c>
      <c r="BA58" t="s">
        <v>1405</v>
      </c>
      <c r="BB58" t="s">
        <v>1406</v>
      </c>
      <c r="BC58" t="s">
        <v>1407</v>
      </c>
      <c r="BD58" t="s">
        <v>157</v>
      </c>
      <c r="BF58" s="1" t="s">
        <v>123</v>
      </c>
      <c r="BM58" t="e">
        <f>VLOOKUP(AnalizaCzyste[[#This Row],[Moja satysfakcja z (efektów) usług edukacyjnych ocenianej uczelni jest wysoka.8]],SkalaLikerta[],2,0)</f>
        <v>#N/A</v>
      </c>
      <c r="DA58" s="1" t="s">
        <v>123</v>
      </c>
      <c r="DE58" t="e">
        <f>VLOOKUP(AnalizaCzyste[[#This Row],[Moja satysfakcja z pracy na ocenianej uczelni jest wysoka.]],SkalaLikerta[],2,0)</f>
        <v>#N/A</v>
      </c>
      <c r="DL58" s="1" t="s">
        <v>123</v>
      </c>
      <c r="DP58" t="e">
        <f>VLOOKUP(AnalizaCzyste[[#This Row],[Moja satysfakcja z pracy na ocenianej uczelni jest wysoka.42]],SkalaLikerta[],2,0)</f>
        <v>#N/A</v>
      </c>
      <c r="DW58" s="1" t="s">
        <v>123</v>
      </c>
      <c r="EJ58" t="e">
        <f>VLOOKUP(AnalizaCzyste[[#This Row],[Ogólny poziom mojej satysfakcji z jakości usług edukacyjnych ocenianej uczelni jest wysoki.]],SkalaLikerta[],2,0)</f>
        <v>#N/A</v>
      </c>
      <c r="FA58" s="1" t="s">
        <v>123</v>
      </c>
      <c r="FF58" t="e">
        <f>VLOOKUP(AnalizaCzyste[[#This Row],[Moja satysfakcja z (efektów) usług edukacyjnych na ocenianej uczelni jest wysoka.]],SkalaLikerta[],2,0)</f>
        <v>#N/A</v>
      </c>
      <c r="GB58" s="1" t="s">
        <v>123</v>
      </c>
      <c r="GN58" t="e">
        <f>VLOOKUP(AnalizaCzyste[[#This Row],[Ogólny poziom mojej satysfakcji z jakości usług edukacyjnych ocenianej uczelni jest wysoki.32]],SkalaLikerta[],2,0)</f>
        <v>#N/A</v>
      </c>
      <c r="HK58" t="s">
        <v>1408</v>
      </c>
      <c r="HL58" t="s">
        <v>1409</v>
      </c>
      <c r="HM58" t="s">
        <v>1410</v>
      </c>
      <c r="HN58" t="s">
        <v>140</v>
      </c>
      <c r="HO58">
        <v>1984</v>
      </c>
      <c r="HP58" t="str">
        <f>VLOOKUP(AnalizaCzyste[[#This Row],[Rok urodzenia]],KategorieWiekowe[],2,1)</f>
        <v>36–45 lat</v>
      </c>
      <c r="HQ58" t="s">
        <v>398</v>
      </c>
      <c r="HS58" t="s">
        <v>1411</v>
      </c>
    </row>
    <row r="59" spans="1:229" x14ac:dyDescent="0.45">
      <c r="A59">
        <v>165</v>
      </c>
      <c r="B59">
        <f>_xlfn.IFNA(VLOOKUP(AnalizaCzyste[[#This Row],[Zakończono wypełnianie]],Zakończone[],2,0),"BRAK")</f>
        <v>95</v>
      </c>
      <c r="C59">
        <f t="shared" si="1"/>
        <v>47</v>
      </c>
      <c r="D59" t="s">
        <v>1352</v>
      </c>
      <c r="E59" t="s">
        <v>118</v>
      </c>
      <c r="J59" t="s">
        <v>119</v>
      </c>
      <c r="K59" t="s">
        <v>1450</v>
      </c>
      <c r="L59" t="s">
        <v>1451</v>
      </c>
      <c r="M59">
        <v>402</v>
      </c>
      <c r="O59">
        <v>0</v>
      </c>
      <c r="P59" t="s">
        <v>122</v>
      </c>
      <c r="Q59" s="1" t="s">
        <v>123</v>
      </c>
      <c r="V59" t="e">
        <f>VLOOKUP(AnalizaCzyste[[#This Row],[Moja satysfakcja z usług edukacyjnych ocenianej uczelni jest wysoka.]],SkalaLikerta[],2,0)</f>
        <v>#N/A</v>
      </c>
      <c r="AH59" s="1" t="s">
        <v>124</v>
      </c>
      <c r="AI59" t="s">
        <v>223</v>
      </c>
      <c r="AJ59" t="str">
        <f>VLOOKUP(AnalizaCzyste[[#This Row],[Jak się nazywa uczelnia którą ukończyłeś? (proszę o wybranie jednej uczelni podlegającej ocenie)]],KategorieUczelni[],2,0)</f>
        <v>Publiczna</v>
      </c>
      <c r="AK59" t="str">
        <f>VLOOKUP(AnalizaCzyste[[#This Row],[Jak się nazywa uczelnia którą ukończyłeś? (proszę o wybranie jednej uczelni podlegającej ocenie)]],KategorieUczelni[],3,0)</f>
        <v>Nietechniczna</v>
      </c>
      <c r="AL59">
        <f>COUNTIF(AnalizaCzyste[[#This Row],[Czy jesteś absolwentem uczelni wyższej?]],"*"&amp;"Tak"&amp;"*")</f>
        <v>1</v>
      </c>
      <c r="AM59">
        <v>2008</v>
      </c>
      <c r="AN59" t="s">
        <v>148</v>
      </c>
      <c r="AO59" t="s">
        <v>1452</v>
      </c>
      <c r="AP59" t="s">
        <v>128</v>
      </c>
      <c r="AQ59">
        <f>VLOOKUP(AnalizaCzyste[[#This Row],[Moja satysfakcja z (efektów) usług edukacyjnych ocenianej uczelni jest wysoka.]],SkalaLikerta[],2,0)</f>
        <v>3</v>
      </c>
      <c r="AR59" t="s">
        <v>236</v>
      </c>
      <c r="AS59" t="s">
        <v>129</v>
      </c>
      <c r="AT59" t="s">
        <v>129</v>
      </c>
      <c r="AU59" t="s">
        <v>128</v>
      </c>
      <c r="AV59" t="s">
        <v>237</v>
      </c>
      <c r="AW59" t="s">
        <v>131</v>
      </c>
      <c r="AX59">
        <f>VLOOKUP(AnalizaCzyste[[#This Row],[w pierwszym roku po ukończeniu studiów : wybierz wartość z listy rozwijanej4]],Zarobki[],2,0)</f>
        <v>1500</v>
      </c>
      <c r="AY59" t="s">
        <v>131</v>
      </c>
      <c r="AZ59">
        <f>VLOOKUP(AnalizaCzyste[[#This Row],[w 3 lata po ukończeniu studiów : wybierz wartość z listy rozwijanej5]],Zarobki[],2,0)</f>
        <v>1500</v>
      </c>
      <c r="BA59" t="s">
        <v>1453</v>
      </c>
      <c r="BB59" t="s">
        <v>1454</v>
      </c>
      <c r="BC59" t="s">
        <v>1005</v>
      </c>
      <c r="BD59" t="s">
        <v>157</v>
      </c>
      <c r="BF59" s="1" t="s">
        <v>123</v>
      </c>
      <c r="BM59" t="e">
        <f>VLOOKUP(AnalizaCzyste[[#This Row],[Moja satysfakcja z (efektów) usług edukacyjnych ocenianej uczelni jest wysoka.8]],SkalaLikerta[],2,0)</f>
        <v>#N/A</v>
      </c>
      <c r="DA59" s="1" t="s">
        <v>123</v>
      </c>
      <c r="DE59" t="e">
        <f>VLOOKUP(AnalizaCzyste[[#This Row],[Moja satysfakcja z pracy na ocenianej uczelni jest wysoka.]],SkalaLikerta[],2,0)</f>
        <v>#N/A</v>
      </c>
      <c r="DL59" s="1" t="s">
        <v>123</v>
      </c>
      <c r="DP59" t="e">
        <f>VLOOKUP(AnalizaCzyste[[#This Row],[Moja satysfakcja z pracy na ocenianej uczelni jest wysoka.42]],SkalaLikerta[],2,0)</f>
        <v>#N/A</v>
      </c>
      <c r="DW59" s="1" t="s">
        <v>123</v>
      </c>
      <c r="EJ59" t="e">
        <f>VLOOKUP(AnalizaCzyste[[#This Row],[Ogólny poziom mojej satysfakcji z jakości usług edukacyjnych ocenianej uczelni jest wysoki.]],SkalaLikerta[],2,0)</f>
        <v>#N/A</v>
      </c>
      <c r="FA59" s="1" t="s">
        <v>123</v>
      </c>
      <c r="FF59" t="e">
        <f>VLOOKUP(AnalizaCzyste[[#This Row],[Moja satysfakcja z (efektów) usług edukacyjnych na ocenianej uczelni jest wysoka.]],SkalaLikerta[],2,0)</f>
        <v>#N/A</v>
      </c>
      <c r="GB59" s="1" t="s">
        <v>123</v>
      </c>
      <c r="GN59" t="e">
        <f>VLOOKUP(AnalizaCzyste[[#This Row],[Ogólny poziom mojej satysfakcji z jakości usług edukacyjnych ocenianej uczelni jest wysoki.32]],SkalaLikerta[],2,0)</f>
        <v>#N/A</v>
      </c>
      <c r="HK59" t="s">
        <v>1455</v>
      </c>
      <c r="HL59" t="s">
        <v>1456</v>
      </c>
      <c r="HM59" t="s">
        <v>1457</v>
      </c>
      <c r="HN59" t="s">
        <v>140</v>
      </c>
      <c r="HO59">
        <v>1984</v>
      </c>
      <c r="HP59" t="str">
        <f>VLOOKUP(AnalizaCzyste[[#This Row],[Rok urodzenia]],KategorieWiekowe[],2,1)</f>
        <v>36–45 lat</v>
      </c>
      <c r="HQ59" t="s">
        <v>220</v>
      </c>
      <c r="HS59" t="s">
        <v>386</v>
      </c>
      <c r="HT59" t="s">
        <v>386</v>
      </c>
    </row>
    <row r="60" spans="1:229" x14ac:dyDescent="0.45">
      <c r="A60">
        <v>243</v>
      </c>
      <c r="B60">
        <f>_xlfn.IFNA(VLOOKUP(AnalizaCzyste[[#This Row],[Zakończono wypełnianie]],Zakończone[],2,0),"BRAK")</f>
        <v>130</v>
      </c>
      <c r="C60">
        <f t="shared" si="1"/>
        <v>47</v>
      </c>
      <c r="D60" t="s">
        <v>1951</v>
      </c>
      <c r="E60" t="s">
        <v>118</v>
      </c>
      <c r="J60" t="s">
        <v>119</v>
      </c>
      <c r="K60" t="s">
        <v>1952</v>
      </c>
      <c r="L60" t="s">
        <v>1953</v>
      </c>
      <c r="M60">
        <v>942</v>
      </c>
      <c r="O60">
        <v>0</v>
      </c>
      <c r="P60" t="s">
        <v>122</v>
      </c>
      <c r="Q60" s="1" t="s">
        <v>123</v>
      </c>
      <c r="V60" t="e">
        <f>VLOOKUP(AnalizaCzyste[[#This Row],[Moja satysfakcja z usług edukacyjnych ocenianej uczelni jest wysoka.]],SkalaLikerta[],2,0)</f>
        <v>#N/A</v>
      </c>
      <c r="AH60" s="1" t="s">
        <v>124</v>
      </c>
      <c r="AI60" t="s">
        <v>223</v>
      </c>
      <c r="AJ60" t="str">
        <f>VLOOKUP(AnalizaCzyste[[#This Row],[Jak się nazywa uczelnia którą ukończyłeś? (proszę o wybranie jednej uczelni podlegającej ocenie)]],KategorieUczelni[],2,0)</f>
        <v>Publiczna</v>
      </c>
      <c r="AK60" t="str">
        <f>VLOOKUP(AnalizaCzyste[[#This Row],[Jak się nazywa uczelnia którą ukończyłeś? (proszę o wybranie jednej uczelni podlegającej ocenie)]],KategorieUczelni[],3,0)</f>
        <v>Nietechniczna</v>
      </c>
      <c r="AL60">
        <f>COUNTIF(AnalizaCzyste[[#This Row],[Czy jesteś absolwentem uczelni wyższej?]],"*"&amp;"Tak"&amp;"*")</f>
        <v>1</v>
      </c>
      <c r="AM60">
        <v>2012</v>
      </c>
      <c r="AN60" t="s">
        <v>148</v>
      </c>
      <c r="AO60" t="s">
        <v>161</v>
      </c>
      <c r="AP60" t="s">
        <v>128</v>
      </c>
      <c r="AQ60">
        <f>VLOOKUP(AnalizaCzyste[[#This Row],[Moja satysfakcja z (efektów) usług edukacyjnych ocenianej uczelni jest wysoka.]],SkalaLikerta[],2,0)</f>
        <v>3</v>
      </c>
      <c r="AR60" t="s">
        <v>162</v>
      </c>
      <c r="AS60" t="s">
        <v>128</v>
      </c>
      <c r="AT60" t="s">
        <v>128</v>
      </c>
      <c r="AU60" t="s">
        <v>236</v>
      </c>
      <c r="AV60" t="s">
        <v>530</v>
      </c>
      <c r="AW60" t="s">
        <v>302</v>
      </c>
      <c r="AX60">
        <f>VLOOKUP(AnalizaCzyste[[#This Row],[w pierwszym roku po ukończeniu studiów : wybierz wartość z listy rozwijanej4]],Zarobki[],2,0)</f>
        <v>2500</v>
      </c>
      <c r="AY60" t="s">
        <v>131</v>
      </c>
      <c r="AZ60">
        <f>VLOOKUP(AnalizaCzyste[[#This Row],[w 3 lata po ukończeniu studiów : wybierz wartość z listy rozwijanej5]],Zarobki[],2,0)</f>
        <v>1500</v>
      </c>
      <c r="BA60" t="s">
        <v>1955</v>
      </c>
      <c r="BB60" t="s">
        <v>1956</v>
      </c>
      <c r="BC60" t="s">
        <v>1957</v>
      </c>
      <c r="BD60" t="s">
        <v>157</v>
      </c>
      <c r="BF60" s="1" t="s">
        <v>123</v>
      </c>
      <c r="BM60" t="e">
        <f>VLOOKUP(AnalizaCzyste[[#This Row],[Moja satysfakcja z (efektów) usług edukacyjnych ocenianej uczelni jest wysoka.8]],SkalaLikerta[],2,0)</f>
        <v>#N/A</v>
      </c>
      <c r="DA60" s="1" t="s">
        <v>123</v>
      </c>
      <c r="DE60" t="e">
        <f>VLOOKUP(AnalizaCzyste[[#This Row],[Moja satysfakcja z pracy na ocenianej uczelni jest wysoka.]],SkalaLikerta[],2,0)</f>
        <v>#N/A</v>
      </c>
      <c r="DL60" s="1" t="s">
        <v>123</v>
      </c>
      <c r="DP60" t="e">
        <f>VLOOKUP(AnalizaCzyste[[#This Row],[Moja satysfakcja z pracy na ocenianej uczelni jest wysoka.42]],SkalaLikerta[],2,0)</f>
        <v>#N/A</v>
      </c>
      <c r="DW60" s="1" t="s">
        <v>123</v>
      </c>
      <c r="EJ60" t="e">
        <f>VLOOKUP(AnalizaCzyste[[#This Row],[Ogólny poziom mojej satysfakcji z jakości usług edukacyjnych ocenianej uczelni jest wysoki.]],SkalaLikerta[],2,0)</f>
        <v>#N/A</v>
      </c>
      <c r="FA60" s="1" t="s">
        <v>123</v>
      </c>
      <c r="FF60" t="e">
        <f>VLOOKUP(AnalizaCzyste[[#This Row],[Moja satysfakcja z (efektów) usług edukacyjnych na ocenianej uczelni jest wysoka.]],SkalaLikerta[],2,0)</f>
        <v>#N/A</v>
      </c>
      <c r="GB60" s="1" t="s">
        <v>123</v>
      </c>
      <c r="GN60" t="e">
        <f>VLOOKUP(AnalizaCzyste[[#This Row],[Ogólny poziom mojej satysfakcji z jakości usług edukacyjnych ocenianej uczelni jest wysoki.32]],SkalaLikerta[],2,0)</f>
        <v>#N/A</v>
      </c>
      <c r="HK60" t="s">
        <v>1958</v>
      </c>
      <c r="HL60" t="s">
        <v>1959</v>
      </c>
      <c r="HM60" t="s">
        <v>1960</v>
      </c>
      <c r="HN60" t="s">
        <v>140</v>
      </c>
      <c r="HO60">
        <v>1986</v>
      </c>
      <c r="HP60" t="str">
        <f>VLOOKUP(AnalizaCzyste[[#This Row],[Rok urodzenia]],KategorieWiekowe[],2,1)</f>
        <v>26–35 lat</v>
      </c>
      <c r="HQ60" t="s">
        <v>1630</v>
      </c>
      <c r="HS60" t="s">
        <v>1961</v>
      </c>
      <c r="HT60" t="s">
        <v>142</v>
      </c>
    </row>
    <row r="61" spans="1:229" x14ac:dyDescent="0.45">
      <c r="A61">
        <v>105</v>
      </c>
      <c r="B61">
        <f>_xlfn.IFNA(VLOOKUP(AnalizaCzyste[[#This Row],[Zakończono wypełnianie]],Zakończone[],2,0),"BRAK")</f>
        <v>64</v>
      </c>
      <c r="C61">
        <f t="shared" si="1"/>
        <v>49</v>
      </c>
      <c r="D61" t="s">
        <v>1014</v>
      </c>
      <c r="E61" t="s">
        <v>118</v>
      </c>
      <c r="J61" t="s">
        <v>119</v>
      </c>
      <c r="K61" t="s">
        <v>1015</v>
      </c>
      <c r="L61" t="s">
        <v>1016</v>
      </c>
      <c r="M61">
        <v>1293</v>
      </c>
      <c r="O61">
        <v>0</v>
      </c>
      <c r="P61" t="s">
        <v>122</v>
      </c>
      <c r="Q61" s="1" t="s">
        <v>123</v>
      </c>
      <c r="V61" t="e">
        <f>VLOOKUP(AnalizaCzyste[[#This Row],[Moja satysfakcja z usług edukacyjnych ocenianej uczelni jest wysoka.]],SkalaLikerta[],2,0)</f>
        <v>#N/A</v>
      </c>
      <c r="AH61" s="1" t="s">
        <v>124</v>
      </c>
      <c r="AI61" t="s">
        <v>223</v>
      </c>
      <c r="AJ61" t="str">
        <f>VLOOKUP(AnalizaCzyste[[#This Row],[Jak się nazywa uczelnia którą ukończyłeś? (proszę o wybranie jednej uczelni podlegającej ocenie)]],KategorieUczelni[],2,0)</f>
        <v>Publiczna</v>
      </c>
      <c r="AK61" t="str">
        <f>VLOOKUP(AnalizaCzyste[[#This Row],[Jak się nazywa uczelnia którą ukończyłeś? (proszę o wybranie jednej uczelni podlegającej ocenie)]],KategorieUczelni[],3,0)</f>
        <v>Nietechniczna</v>
      </c>
      <c r="AL61">
        <f>COUNTIF(AnalizaCzyste[[#This Row],[Czy jesteś absolwentem uczelni wyższej?]],"*"&amp;"Tak"&amp;"*")</f>
        <v>1</v>
      </c>
      <c r="AM61">
        <v>2003</v>
      </c>
      <c r="AN61" t="s">
        <v>148</v>
      </c>
      <c r="AO61" t="s">
        <v>1017</v>
      </c>
      <c r="AP61" t="s">
        <v>128</v>
      </c>
      <c r="AQ61">
        <f>VLOOKUP(AnalizaCzyste[[#This Row],[Moja satysfakcja z (efektów) usług edukacyjnych ocenianej uczelni jest wysoka.]],SkalaLikerta[],2,0)</f>
        <v>3</v>
      </c>
      <c r="AR61" t="s">
        <v>128</v>
      </c>
      <c r="AS61" t="s">
        <v>128</v>
      </c>
      <c r="AT61" t="s">
        <v>236</v>
      </c>
      <c r="AU61" t="s">
        <v>132</v>
      </c>
      <c r="AV61" t="s">
        <v>1018</v>
      </c>
      <c r="AW61" t="s">
        <v>131</v>
      </c>
      <c r="AX61">
        <f>VLOOKUP(AnalizaCzyste[[#This Row],[w pierwszym roku po ukończeniu studiów : wybierz wartość z listy rozwijanej4]],Zarobki[],2,0)</f>
        <v>1500</v>
      </c>
      <c r="AY61" t="s">
        <v>131</v>
      </c>
      <c r="AZ61">
        <f>VLOOKUP(AnalizaCzyste[[#This Row],[w 3 lata po ukończeniu studiów : wybierz wartość z listy rozwijanej5]],Zarobki[],2,0)</f>
        <v>1500</v>
      </c>
      <c r="BB61" t="s">
        <v>1019</v>
      </c>
      <c r="BC61" t="s">
        <v>1020</v>
      </c>
      <c r="BD61" t="s">
        <v>157</v>
      </c>
      <c r="BF61" s="1" t="s">
        <v>123</v>
      </c>
      <c r="BM61" t="e">
        <f>VLOOKUP(AnalizaCzyste[[#This Row],[Moja satysfakcja z (efektów) usług edukacyjnych ocenianej uczelni jest wysoka.8]],SkalaLikerta[],2,0)</f>
        <v>#N/A</v>
      </c>
      <c r="DA61" s="1" t="s">
        <v>123</v>
      </c>
      <c r="DE61" t="e">
        <f>VLOOKUP(AnalizaCzyste[[#This Row],[Moja satysfakcja z pracy na ocenianej uczelni jest wysoka.]],SkalaLikerta[],2,0)</f>
        <v>#N/A</v>
      </c>
      <c r="DL61" s="1" t="s">
        <v>123</v>
      </c>
      <c r="DP61" t="e">
        <f>VLOOKUP(AnalizaCzyste[[#This Row],[Moja satysfakcja z pracy na ocenianej uczelni jest wysoka.42]],SkalaLikerta[],2,0)</f>
        <v>#N/A</v>
      </c>
      <c r="DW61" s="1" t="s">
        <v>123</v>
      </c>
      <c r="EJ61" t="e">
        <f>VLOOKUP(AnalizaCzyste[[#This Row],[Ogólny poziom mojej satysfakcji z jakości usług edukacyjnych ocenianej uczelni jest wysoki.]],SkalaLikerta[],2,0)</f>
        <v>#N/A</v>
      </c>
      <c r="FA61" s="1" t="s">
        <v>123</v>
      </c>
      <c r="FB61" t="s">
        <v>180</v>
      </c>
      <c r="FC61" t="s">
        <v>132</v>
      </c>
      <c r="FF61" t="e">
        <f>VLOOKUP(AnalizaCzyste[[#This Row],[Moja satysfakcja z (efektów) usług edukacyjnych na ocenianej uczelni jest wysoka.]],SkalaLikerta[],2,0)</f>
        <v>#N/A</v>
      </c>
      <c r="GB61" s="1" t="s">
        <v>123</v>
      </c>
      <c r="GC61" t="s">
        <v>132</v>
      </c>
      <c r="GE61" t="s">
        <v>132</v>
      </c>
      <c r="GN61" t="e">
        <f>VLOOKUP(AnalizaCzyste[[#This Row],[Ogólny poziom mojej satysfakcji z jakości usług edukacyjnych ocenianej uczelni jest wysoki.32]],SkalaLikerta[],2,0)</f>
        <v>#N/A</v>
      </c>
      <c r="HK61" t="s">
        <v>276</v>
      </c>
      <c r="HL61" t="s">
        <v>1021</v>
      </c>
      <c r="HM61" t="s">
        <v>1022</v>
      </c>
      <c r="HN61" t="s">
        <v>140</v>
      </c>
      <c r="HO61">
        <v>1980</v>
      </c>
      <c r="HP61" t="str">
        <f>VLOOKUP(AnalizaCzyste[[#This Row],[Rok urodzenia]],KategorieWiekowe[],2,1)</f>
        <v>36–45 lat</v>
      </c>
      <c r="HQ61" t="s">
        <v>483</v>
      </c>
      <c r="HS61" t="s">
        <v>1023</v>
      </c>
    </row>
    <row r="62" spans="1:229" x14ac:dyDescent="0.45">
      <c r="A62">
        <v>97</v>
      </c>
      <c r="B62">
        <f>_xlfn.IFNA(VLOOKUP(AnalizaCzyste[[#This Row],[Zakończono wypełnianie]],Zakończone[],2,0),"BRAK")</f>
        <v>60</v>
      </c>
      <c r="C62">
        <f t="shared" si="1"/>
        <v>51</v>
      </c>
      <c r="D62" t="s">
        <v>370</v>
      </c>
      <c r="E62" t="s">
        <v>118</v>
      </c>
      <c r="F62" t="s">
        <v>774</v>
      </c>
      <c r="J62" t="s">
        <v>119</v>
      </c>
      <c r="K62" t="s">
        <v>973</v>
      </c>
      <c r="L62" t="s">
        <v>974</v>
      </c>
      <c r="M62">
        <v>1963</v>
      </c>
      <c r="O62">
        <v>0</v>
      </c>
      <c r="P62" t="s">
        <v>122</v>
      </c>
      <c r="Q62" s="1" t="s">
        <v>123</v>
      </c>
      <c r="V62" t="e">
        <f>VLOOKUP(AnalizaCzyste[[#This Row],[Moja satysfakcja z usług edukacyjnych ocenianej uczelni jest wysoka.]],SkalaLikerta[],2,0)</f>
        <v>#N/A</v>
      </c>
      <c r="AH62" s="1" t="s">
        <v>124</v>
      </c>
      <c r="AI62" t="s">
        <v>975</v>
      </c>
      <c r="AJ62" t="str">
        <f>VLOOKUP(AnalizaCzyste[[#This Row],[Jak się nazywa uczelnia którą ukończyłeś? (proszę o wybranie jednej uczelni podlegającej ocenie)]],KategorieUczelni[],2,0)</f>
        <v>Publiczna</v>
      </c>
      <c r="AK62" t="str">
        <f>VLOOKUP(AnalizaCzyste[[#This Row],[Jak się nazywa uczelnia którą ukończyłeś? (proszę o wybranie jednej uczelni podlegającej ocenie)]],KategorieUczelni[],3,0)</f>
        <v>Nietechniczna</v>
      </c>
      <c r="AL62">
        <f>COUNTIF(AnalizaCzyste[[#This Row],[Czy jesteś absolwentem uczelni wyższej?]],"*"&amp;"Tak"&amp;"*")</f>
        <v>1</v>
      </c>
      <c r="AM62">
        <v>1996</v>
      </c>
      <c r="AN62" t="s">
        <v>148</v>
      </c>
      <c r="AO62" t="s">
        <v>601</v>
      </c>
      <c r="AP62" t="s">
        <v>128</v>
      </c>
      <c r="AQ62">
        <f>VLOOKUP(AnalizaCzyste[[#This Row],[Moja satysfakcja z (efektów) usług edukacyjnych ocenianej uczelni jest wysoka.]],SkalaLikerta[],2,0)</f>
        <v>3</v>
      </c>
      <c r="AR62" t="s">
        <v>151</v>
      </c>
      <c r="AS62" t="s">
        <v>169</v>
      </c>
      <c r="AT62" t="s">
        <v>129</v>
      </c>
      <c r="AU62" t="s">
        <v>129</v>
      </c>
      <c r="AV62" t="s">
        <v>976</v>
      </c>
      <c r="AW62" t="s">
        <v>131</v>
      </c>
      <c r="AX62">
        <f>VLOOKUP(AnalizaCzyste[[#This Row],[w pierwszym roku po ukończeniu studiów : wybierz wartość z listy rozwijanej4]],Zarobki[],2,0)</f>
        <v>1500</v>
      </c>
      <c r="AY62" t="s">
        <v>131</v>
      </c>
      <c r="AZ62">
        <f>VLOOKUP(AnalizaCzyste[[#This Row],[w 3 lata po ukończeniu studiów : wybierz wartość z listy rozwijanej5]],Zarobki[],2,0)</f>
        <v>1500</v>
      </c>
      <c r="BA62" t="s">
        <v>802</v>
      </c>
      <c r="BB62" t="s">
        <v>824</v>
      </c>
      <c r="BC62" t="s">
        <v>977</v>
      </c>
      <c r="BD62" t="s">
        <v>230</v>
      </c>
      <c r="BF62" s="1" t="s">
        <v>123</v>
      </c>
      <c r="BM62" t="e">
        <f>VLOOKUP(AnalizaCzyste[[#This Row],[Moja satysfakcja z (efektów) usług edukacyjnych ocenianej uczelni jest wysoka.8]],SkalaLikerta[],2,0)</f>
        <v>#N/A</v>
      </c>
      <c r="DA62" s="1" t="s">
        <v>123</v>
      </c>
      <c r="DE62" t="e">
        <f>VLOOKUP(AnalizaCzyste[[#This Row],[Moja satysfakcja z pracy na ocenianej uczelni jest wysoka.]],SkalaLikerta[],2,0)</f>
        <v>#N/A</v>
      </c>
      <c r="DL62" s="1" t="s">
        <v>123</v>
      </c>
      <c r="DP62" t="e">
        <f>VLOOKUP(AnalizaCzyste[[#This Row],[Moja satysfakcja z pracy na ocenianej uczelni jest wysoka.42]],SkalaLikerta[],2,0)</f>
        <v>#N/A</v>
      </c>
      <c r="DW62" s="1" t="s">
        <v>123</v>
      </c>
      <c r="EJ62" t="e">
        <f>VLOOKUP(AnalizaCzyste[[#This Row],[Ogólny poziom mojej satysfakcji z jakości usług edukacyjnych ocenianej uczelni jest wysoki.]],SkalaLikerta[],2,0)</f>
        <v>#N/A</v>
      </c>
      <c r="FA62" s="1" t="s">
        <v>123</v>
      </c>
      <c r="FB62" t="s">
        <v>178</v>
      </c>
      <c r="FC62" t="s">
        <v>132</v>
      </c>
      <c r="FF62" t="e">
        <f>VLOOKUP(AnalizaCzyste[[#This Row],[Moja satysfakcja z (efektów) usług edukacyjnych na ocenianej uczelni jest wysoka.]],SkalaLikerta[],2,0)</f>
        <v>#N/A</v>
      </c>
      <c r="GB62" s="1" t="s">
        <v>123</v>
      </c>
      <c r="GC62" t="s">
        <v>132</v>
      </c>
      <c r="GE62" t="s">
        <v>132</v>
      </c>
      <c r="GN62" t="e">
        <f>VLOOKUP(AnalizaCzyste[[#This Row],[Ogólny poziom mojej satysfakcji z jakości usług edukacyjnych ocenianej uczelni jest wysoki.32]],SkalaLikerta[],2,0)</f>
        <v>#N/A</v>
      </c>
      <c r="HK62" t="s">
        <v>978</v>
      </c>
      <c r="HL62" t="s">
        <v>819</v>
      </c>
      <c r="HM62" t="s">
        <v>979</v>
      </c>
      <c r="HN62" t="s">
        <v>140</v>
      </c>
      <c r="HO62">
        <v>1962</v>
      </c>
      <c r="HP62" t="str">
        <f>VLOOKUP(AnalizaCzyste[[#This Row],[Rok urodzenia]],KategorieWiekowe[],2,1)</f>
        <v>56–65 lat</v>
      </c>
      <c r="HQ62" t="s">
        <v>220</v>
      </c>
      <c r="HS62" t="s">
        <v>980</v>
      </c>
      <c r="HT62" t="s">
        <v>386</v>
      </c>
    </row>
    <row r="63" spans="1:229" x14ac:dyDescent="0.45">
      <c r="A63">
        <v>164</v>
      </c>
      <c r="B63">
        <f>_xlfn.IFNA(VLOOKUP(AnalizaCzyste[[#This Row],[Zakończono wypełnianie]],Zakończone[],2,0),"BRAK")</f>
        <v>94</v>
      </c>
      <c r="C63">
        <f t="shared" si="1"/>
        <v>48</v>
      </c>
      <c r="D63" t="s">
        <v>1436</v>
      </c>
      <c r="E63" t="s">
        <v>118</v>
      </c>
      <c r="J63" t="s">
        <v>119</v>
      </c>
      <c r="K63" t="s">
        <v>1437</v>
      </c>
      <c r="L63" t="s">
        <v>1438</v>
      </c>
      <c r="M63">
        <v>880</v>
      </c>
      <c r="O63">
        <v>0</v>
      </c>
      <c r="P63" t="s">
        <v>122</v>
      </c>
      <c r="Q63" s="1" t="s">
        <v>123</v>
      </c>
      <c r="V63" t="e">
        <f>VLOOKUP(AnalizaCzyste[[#This Row],[Moja satysfakcja z usług edukacyjnych ocenianej uczelni jest wysoka.]],SkalaLikerta[],2,0)</f>
        <v>#N/A</v>
      </c>
      <c r="AH63" s="1" t="s">
        <v>124</v>
      </c>
      <c r="AI63" t="s">
        <v>1439</v>
      </c>
      <c r="AJ63" t="str">
        <f>VLOOKUP(AnalizaCzyste[[#This Row],[Jak się nazywa uczelnia którą ukończyłeś? (proszę o wybranie jednej uczelni podlegającej ocenie)]],KategorieUczelni[],2,0)</f>
        <v>Niepubliczna</v>
      </c>
      <c r="AK63" t="str">
        <f>VLOOKUP(AnalizaCzyste[[#This Row],[Jak się nazywa uczelnia którą ukończyłeś? (proszę o wybranie jednej uczelni podlegającej ocenie)]],KategorieUczelni[],3,0)</f>
        <v>Nietechniczna</v>
      </c>
      <c r="AL63">
        <f>COUNTIF(AnalizaCzyste[[#This Row],[Czy jesteś absolwentem uczelni wyższej?]],"*"&amp;"Tak"&amp;"*")</f>
        <v>1</v>
      </c>
      <c r="AM63">
        <v>2019</v>
      </c>
      <c r="AN63" t="s">
        <v>148</v>
      </c>
      <c r="AO63" t="s">
        <v>1440</v>
      </c>
      <c r="AP63" t="s">
        <v>128</v>
      </c>
      <c r="AQ63">
        <f>VLOOKUP(AnalizaCzyste[[#This Row],[Moja satysfakcja z (efektów) usług edukacyjnych ocenianej uczelni jest wysoka.]],SkalaLikerta[],2,0)</f>
        <v>3</v>
      </c>
      <c r="AR63" t="s">
        <v>128</v>
      </c>
      <c r="AS63" t="s">
        <v>150</v>
      </c>
      <c r="AT63" t="s">
        <v>169</v>
      </c>
      <c r="AU63" t="s">
        <v>169</v>
      </c>
      <c r="AV63" t="s">
        <v>1441</v>
      </c>
      <c r="AW63" t="s">
        <v>302</v>
      </c>
      <c r="AX63">
        <f>VLOOKUP(AnalizaCzyste[[#This Row],[w pierwszym roku po ukończeniu studiów : wybierz wartość z listy rozwijanej4]],Zarobki[],2,0)</f>
        <v>2500</v>
      </c>
      <c r="AY63" t="s">
        <v>226</v>
      </c>
      <c r="AZ63">
        <f>VLOOKUP(AnalizaCzyste[[#This Row],[w 3 lata po ukończeniu studiów : wybierz wartość z listy rozwijanej5]],Zarobki[],2,0)</f>
        <v>4500</v>
      </c>
      <c r="BA63" t="s">
        <v>1442</v>
      </c>
      <c r="BB63" t="s">
        <v>1443</v>
      </c>
      <c r="BC63" t="s">
        <v>1444</v>
      </c>
      <c r="BD63" t="s">
        <v>230</v>
      </c>
      <c r="BF63" s="1" t="s">
        <v>123</v>
      </c>
      <c r="BM63" t="e">
        <f>VLOOKUP(AnalizaCzyste[[#This Row],[Moja satysfakcja z (efektów) usług edukacyjnych ocenianej uczelni jest wysoka.8]],SkalaLikerta[],2,0)</f>
        <v>#N/A</v>
      </c>
      <c r="DA63" s="1" t="s">
        <v>123</v>
      </c>
      <c r="DE63" t="e">
        <f>VLOOKUP(AnalizaCzyste[[#This Row],[Moja satysfakcja z pracy na ocenianej uczelni jest wysoka.]],SkalaLikerta[],2,0)</f>
        <v>#N/A</v>
      </c>
      <c r="DL63" s="1" t="s">
        <v>123</v>
      </c>
      <c r="DP63" t="e">
        <f>VLOOKUP(AnalizaCzyste[[#This Row],[Moja satysfakcja z pracy na ocenianej uczelni jest wysoka.42]],SkalaLikerta[],2,0)</f>
        <v>#N/A</v>
      </c>
      <c r="DW63" s="1" t="s">
        <v>123</v>
      </c>
      <c r="EJ63" t="e">
        <f>VLOOKUP(AnalizaCzyste[[#This Row],[Ogólny poziom mojej satysfakcji z jakości usług edukacyjnych ocenianej uczelni jest wysoki.]],SkalaLikerta[],2,0)</f>
        <v>#N/A</v>
      </c>
      <c r="FA63" s="1" t="s">
        <v>123</v>
      </c>
      <c r="FB63" t="s">
        <v>178</v>
      </c>
      <c r="FF63" t="e">
        <f>VLOOKUP(AnalizaCzyste[[#This Row],[Moja satysfakcja z (efektów) usług edukacyjnych na ocenianej uczelni jest wysoka.]],SkalaLikerta[],2,0)</f>
        <v>#N/A</v>
      </c>
      <c r="GB63" s="1" t="s">
        <v>123</v>
      </c>
      <c r="GN63" t="e">
        <f>VLOOKUP(AnalizaCzyste[[#This Row],[Ogólny poziom mojej satysfakcji z jakości usług edukacyjnych ocenianej uczelni jest wysoki.32]],SkalaLikerta[],2,0)</f>
        <v>#N/A</v>
      </c>
      <c r="HK63" t="s">
        <v>1445</v>
      </c>
      <c r="HL63" t="s">
        <v>1446</v>
      </c>
      <c r="HM63" t="s">
        <v>1447</v>
      </c>
      <c r="HN63" t="s">
        <v>140</v>
      </c>
      <c r="HO63">
        <v>1990</v>
      </c>
      <c r="HP63" t="str">
        <f>VLOOKUP(AnalizaCzyste[[#This Row],[Rok urodzenia]],KategorieWiekowe[],2,1)</f>
        <v>26–35 lat</v>
      </c>
      <c r="HQ63" t="s">
        <v>398</v>
      </c>
      <c r="HS63" t="s">
        <v>1448</v>
      </c>
      <c r="HT63" t="s">
        <v>1449</v>
      </c>
    </row>
    <row r="64" spans="1:229" x14ac:dyDescent="0.45">
      <c r="A64">
        <v>113</v>
      </c>
      <c r="B64">
        <f>_xlfn.IFNA(VLOOKUP(AnalizaCzyste[[#This Row],[Zakończono wypełnianie]],Zakończone[],2,0),"BRAK")</f>
        <v>67</v>
      </c>
      <c r="C64">
        <f t="shared" si="1"/>
        <v>46</v>
      </c>
      <c r="D64" t="s">
        <v>1065</v>
      </c>
      <c r="E64" t="s">
        <v>118</v>
      </c>
      <c r="J64" t="s">
        <v>119</v>
      </c>
      <c r="K64" t="s">
        <v>1066</v>
      </c>
      <c r="L64" t="s">
        <v>1067</v>
      </c>
      <c r="M64">
        <v>2803</v>
      </c>
      <c r="O64">
        <v>0</v>
      </c>
      <c r="P64" t="s">
        <v>122</v>
      </c>
      <c r="Q64" s="1" t="s">
        <v>123</v>
      </c>
      <c r="V64" t="e">
        <f>VLOOKUP(AnalizaCzyste[[#This Row],[Moja satysfakcja z usług edukacyjnych ocenianej uczelni jest wysoka.]],SkalaLikerta[],2,0)</f>
        <v>#N/A</v>
      </c>
      <c r="AH64" s="1" t="s">
        <v>124</v>
      </c>
      <c r="AI64" t="s">
        <v>1439</v>
      </c>
      <c r="AJ64" t="str">
        <f>VLOOKUP(AnalizaCzyste[[#This Row],[Jak się nazywa uczelnia którą ukończyłeś? (proszę o wybranie jednej uczelni podlegającej ocenie)]],KategorieUczelni[],2,0)</f>
        <v>Niepubliczna</v>
      </c>
      <c r="AK64" t="str">
        <f>VLOOKUP(AnalizaCzyste[[#This Row],[Jak się nazywa uczelnia którą ukończyłeś? (proszę o wybranie jednej uczelni podlegającej ocenie)]],KategorieUczelni[],3,0)</f>
        <v>Nietechniczna</v>
      </c>
      <c r="AL64">
        <f>COUNTIF(AnalizaCzyste[[#This Row],[Czy jesteś absolwentem uczelni wyższej?]],"*"&amp;"Tak"&amp;"*")</f>
        <v>1</v>
      </c>
      <c r="AM64">
        <v>2019</v>
      </c>
      <c r="AN64" t="s">
        <v>148</v>
      </c>
      <c r="AO64" t="s">
        <v>1069</v>
      </c>
      <c r="AP64" t="s">
        <v>128</v>
      </c>
      <c r="AQ64">
        <f>VLOOKUP(AnalizaCzyste[[#This Row],[Moja satysfakcja z (efektów) usług edukacyjnych ocenianej uczelni jest wysoka.]],SkalaLikerta[],2,0)</f>
        <v>3</v>
      </c>
      <c r="AR64" t="s">
        <v>151</v>
      </c>
      <c r="AS64" t="s">
        <v>128</v>
      </c>
      <c r="AT64" t="s">
        <v>129</v>
      </c>
      <c r="AU64" t="s">
        <v>132</v>
      </c>
      <c r="AV64" t="s">
        <v>1070</v>
      </c>
      <c r="AW64" t="s">
        <v>153</v>
      </c>
      <c r="AX64">
        <f>VLOOKUP(AnalizaCzyste[[#This Row],[w pierwszym roku po ukończeniu studiów : wybierz wartość z listy rozwijanej4]],Zarobki[],2,0)</f>
        <v>3500</v>
      </c>
      <c r="AY64" t="s">
        <v>132</v>
      </c>
      <c r="AZ64" t="str">
        <f>VLOOKUP(AnalizaCzyste[[#This Row],[w 3 lata po ukończeniu studiów : wybierz wartość z listy rozwijanej5]],Zarobki[],2,0)</f>
        <v>N/D</v>
      </c>
      <c r="BB64" t="s">
        <v>1071</v>
      </c>
      <c r="BC64" t="s">
        <v>1072</v>
      </c>
      <c r="BD64" t="s">
        <v>892</v>
      </c>
      <c r="BF64" s="1" t="s">
        <v>123</v>
      </c>
      <c r="BM64" t="e">
        <f>VLOOKUP(AnalizaCzyste[[#This Row],[Moja satysfakcja z (efektów) usług edukacyjnych ocenianej uczelni jest wysoka.8]],SkalaLikerta[],2,0)</f>
        <v>#N/A</v>
      </c>
      <c r="DA64" s="1" t="s">
        <v>123</v>
      </c>
      <c r="DE64" t="e">
        <f>VLOOKUP(AnalizaCzyste[[#This Row],[Moja satysfakcja z pracy na ocenianej uczelni jest wysoka.]],SkalaLikerta[],2,0)</f>
        <v>#N/A</v>
      </c>
      <c r="DL64" s="1" t="s">
        <v>123</v>
      </c>
      <c r="DP64" t="e">
        <f>VLOOKUP(AnalizaCzyste[[#This Row],[Moja satysfakcja z pracy na ocenianej uczelni jest wysoka.42]],SkalaLikerta[],2,0)</f>
        <v>#N/A</v>
      </c>
      <c r="DW64" s="1" t="s">
        <v>123</v>
      </c>
      <c r="EJ64" t="e">
        <f>VLOOKUP(AnalizaCzyste[[#This Row],[Ogólny poziom mojej satysfakcji z jakości usług edukacyjnych ocenianej uczelni jest wysoki.]],SkalaLikerta[],2,0)</f>
        <v>#N/A</v>
      </c>
      <c r="FA64" s="1" t="s">
        <v>123</v>
      </c>
      <c r="FF64" t="e">
        <f>VLOOKUP(AnalizaCzyste[[#This Row],[Moja satysfakcja z (efektów) usług edukacyjnych na ocenianej uczelni jest wysoka.]],SkalaLikerta[],2,0)</f>
        <v>#N/A</v>
      </c>
      <c r="GB64" s="1" t="s">
        <v>123</v>
      </c>
      <c r="GC64" t="s">
        <v>132</v>
      </c>
      <c r="GN64" t="e">
        <f>VLOOKUP(AnalizaCzyste[[#This Row],[Ogólny poziom mojej satysfakcji z jakości usług edukacyjnych ocenianej uczelni jest wysoki.32]],SkalaLikerta[],2,0)</f>
        <v>#N/A</v>
      </c>
      <c r="HK64" t="s">
        <v>1073</v>
      </c>
      <c r="HL64" t="s">
        <v>1074</v>
      </c>
      <c r="HM64" t="s">
        <v>1075</v>
      </c>
      <c r="HN64" t="s">
        <v>140</v>
      </c>
      <c r="HO64">
        <v>1991</v>
      </c>
      <c r="HP64" t="str">
        <f>VLOOKUP(AnalizaCzyste[[#This Row],[Rok urodzenia]],KategorieWiekowe[],2,1)</f>
        <v>26–35 lat</v>
      </c>
      <c r="HQ64" t="s">
        <v>398</v>
      </c>
      <c r="HT64" t="s">
        <v>1076</v>
      </c>
    </row>
    <row r="65" spans="1:228" x14ac:dyDescent="0.45">
      <c r="A65">
        <v>139</v>
      </c>
      <c r="B65">
        <f>_xlfn.IFNA(VLOOKUP(AnalizaCzyste[[#This Row],[Zakończono wypełnianie]],Zakończone[],2,0),"BRAK")</f>
        <v>84</v>
      </c>
      <c r="C65">
        <f t="shared" si="1"/>
        <v>61</v>
      </c>
      <c r="D65" t="s">
        <v>1302</v>
      </c>
      <c r="E65" t="s">
        <v>118</v>
      </c>
      <c r="J65" t="s">
        <v>119</v>
      </c>
      <c r="K65" t="s">
        <v>1303</v>
      </c>
      <c r="L65" t="s">
        <v>1304</v>
      </c>
      <c r="M65">
        <v>558</v>
      </c>
      <c r="O65">
        <v>0</v>
      </c>
      <c r="P65" t="s">
        <v>122</v>
      </c>
      <c r="Q65" s="1" t="s">
        <v>416</v>
      </c>
      <c r="R65" t="s">
        <v>191</v>
      </c>
      <c r="S65" t="s">
        <v>126</v>
      </c>
      <c r="T65" t="s">
        <v>1305</v>
      </c>
      <c r="U65" t="s">
        <v>162</v>
      </c>
      <c r="V65">
        <f>VLOOKUP(AnalizaCzyste[[#This Row],[Moja satysfakcja z usług edukacyjnych ocenianej uczelni jest wysoka.]],SkalaLikerta[],2,0)</f>
        <v>5</v>
      </c>
      <c r="W65" t="s">
        <v>128</v>
      </c>
      <c r="X65" t="s">
        <v>150</v>
      </c>
      <c r="Y65" t="s">
        <v>1306</v>
      </c>
      <c r="Z65" t="s">
        <v>153</v>
      </c>
      <c r="AA65" t="s">
        <v>759</v>
      </c>
      <c r="AB65" t="s">
        <v>1307</v>
      </c>
      <c r="AC65" t="s">
        <v>1308</v>
      </c>
      <c r="AD65" t="s">
        <v>1309</v>
      </c>
      <c r="AE65" t="s">
        <v>230</v>
      </c>
      <c r="AG65">
        <v>2</v>
      </c>
      <c r="AH65" s="1" t="s">
        <v>124</v>
      </c>
      <c r="AI65" t="s">
        <v>191</v>
      </c>
      <c r="AJ65" t="str">
        <f>VLOOKUP(AnalizaCzyste[[#This Row],[Jak się nazywa uczelnia którą ukończyłeś? (proszę o wybranie jednej uczelni podlegającej ocenie)]],KategorieUczelni[],2,0)</f>
        <v>Publiczna</v>
      </c>
      <c r="AK65" t="str">
        <f>VLOOKUP(AnalizaCzyste[[#This Row],[Jak się nazywa uczelnia którą ukończyłeś? (proszę o wybranie jednej uczelni podlegającej ocenie)]],KategorieUczelni[],3,0)</f>
        <v>Techniczna</v>
      </c>
      <c r="AL65">
        <f>COUNTIF(AnalizaCzyste[[#This Row],[Czy jesteś absolwentem uczelni wyższej?]],"*"&amp;"Tak"&amp;"*")</f>
        <v>1</v>
      </c>
      <c r="AM65">
        <v>2015</v>
      </c>
      <c r="AN65" t="s">
        <v>126</v>
      </c>
      <c r="AO65" t="s">
        <v>1312</v>
      </c>
      <c r="AP65" t="s">
        <v>162</v>
      </c>
      <c r="AQ65">
        <f>VLOOKUP(AnalizaCzyste[[#This Row],[Moja satysfakcja z (efektów) usług edukacyjnych ocenianej uczelni jest wysoka.]],SkalaLikerta[],2,0)</f>
        <v>5</v>
      </c>
      <c r="AR65" t="s">
        <v>128</v>
      </c>
      <c r="AS65" t="s">
        <v>162</v>
      </c>
      <c r="AT65" t="s">
        <v>162</v>
      </c>
      <c r="AU65" t="s">
        <v>162</v>
      </c>
      <c r="AV65" t="s">
        <v>237</v>
      </c>
      <c r="AW65" t="s">
        <v>302</v>
      </c>
      <c r="AX65">
        <f>VLOOKUP(AnalizaCzyste[[#This Row],[w pierwszym roku po ukończeniu studiów : wybierz wartość z listy rozwijanej4]],Zarobki[],2,0)</f>
        <v>2500</v>
      </c>
      <c r="AY65" t="s">
        <v>153</v>
      </c>
      <c r="AZ65">
        <f>VLOOKUP(AnalizaCzyste[[#This Row],[w 3 lata po ukończeniu studiów : wybierz wartość z listy rozwijanej5]],Zarobki[],2,0)</f>
        <v>3500</v>
      </c>
      <c r="BA65" t="s">
        <v>1313</v>
      </c>
      <c r="BB65" t="s">
        <v>1314</v>
      </c>
      <c r="BC65" t="s">
        <v>1315</v>
      </c>
      <c r="BD65" t="s">
        <v>172</v>
      </c>
      <c r="BF65" s="1" t="s">
        <v>123</v>
      </c>
      <c r="BM65" t="e">
        <f>VLOOKUP(AnalizaCzyste[[#This Row],[Moja satysfakcja z (efektów) usług edukacyjnych ocenianej uczelni jest wysoka.8]],SkalaLikerta[],2,0)</f>
        <v>#N/A</v>
      </c>
      <c r="DA65" s="1" t="s">
        <v>123</v>
      </c>
      <c r="DE65" t="e">
        <f>VLOOKUP(AnalizaCzyste[[#This Row],[Moja satysfakcja z pracy na ocenianej uczelni jest wysoka.]],SkalaLikerta[],2,0)</f>
        <v>#N/A</v>
      </c>
      <c r="DL65" s="1" t="s">
        <v>123</v>
      </c>
      <c r="DP65" t="e">
        <f>VLOOKUP(AnalizaCzyste[[#This Row],[Moja satysfakcja z pracy na ocenianej uczelni jest wysoka.42]],SkalaLikerta[],2,0)</f>
        <v>#N/A</v>
      </c>
      <c r="DW65" s="1" t="s">
        <v>123</v>
      </c>
      <c r="EJ65" t="e">
        <f>VLOOKUP(AnalizaCzyste[[#This Row],[Ogólny poziom mojej satysfakcji z jakości usług edukacyjnych ocenianej uczelni jest wysoki.]],SkalaLikerta[],2,0)</f>
        <v>#N/A</v>
      </c>
      <c r="FA65" s="1" t="s">
        <v>123</v>
      </c>
      <c r="FF65" t="e">
        <f>VLOOKUP(AnalizaCzyste[[#This Row],[Moja satysfakcja z (efektów) usług edukacyjnych na ocenianej uczelni jest wysoka.]],SkalaLikerta[],2,0)</f>
        <v>#N/A</v>
      </c>
      <c r="GB65" s="1" t="s">
        <v>123</v>
      </c>
      <c r="GN65" t="e">
        <f>VLOOKUP(AnalizaCzyste[[#This Row],[Ogólny poziom mojej satysfakcji z jakości usług edukacyjnych ocenianej uczelni jest wysoki.32]],SkalaLikerta[],2,0)</f>
        <v>#N/A</v>
      </c>
      <c r="HK65" t="s">
        <v>1316</v>
      </c>
      <c r="HL65" t="s">
        <v>1317</v>
      </c>
      <c r="HM65" t="s">
        <v>1318</v>
      </c>
      <c r="HN65" t="s">
        <v>186</v>
      </c>
      <c r="HO65">
        <v>1992</v>
      </c>
      <c r="HP65" t="str">
        <f>VLOOKUP(AnalizaCzyste[[#This Row],[Rok urodzenia]],KategorieWiekowe[],2,1)</f>
        <v>26–35 lat</v>
      </c>
      <c r="HQ65" t="s">
        <v>398</v>
      </c>
      <c r="HS65" t="s">
        <v>1319</v>
      </c>
      <c r="HT65" t="s">
        <v>1320</v>
      </c>
    </row>
    <row r="66" spans="1:228" x14ac:dyDescent="0.45">
      <c r="A66">
        <v>238</v>
      </c>
      <c r="B66">
        <f>_xlfn.IFNA(VLOOKUP(AnalizaCzyste[[#This Row],[Zakończono wypełnianie]],Zakończone[],2,0),"BRAK")</f>
        <v>129</v>
      </c>
      <c r="C66">
        <f t="shared" si="1"/>
        <v>46</v>
      </c>
      <c r="D66" t="s">
        <v>1142</v>
      </c>
      <c r="E66" t="s">
        <v>118</v>
      </c>
      <c r="F66" t="s">
        <v>1927</v>
      </c>
      <c r="J66" t="s">
        <v>119</v>
      </c>
      <c r="K66" t="s">
        <v>1928</v>
      </c>
      <c r="L66" t="s">
        <v>1929</v>
      </c>
      <c r="M66">
        <v>1449</v>
      </c>
      <c r="O66">
        <v>0</v>
      </c>
      <c r="P66" t="s">
        <v>122</v>
      </c>
      <c r="Q66" s="1" t="s">
        <v>123</v>
      </c>
      <c r="V66" t="e">
        <f>VLOOKUP(AnalizaCzyste[[#This Row],[Moja satysfakcja z usług edukacyjnych ocenianej uczelni jest wysoka.]],SkalaLikerta[],2,0)</f>
        <v>#N/A</v>
      </c>
      <c r="AH66" s="1" t="s">
        <v>124</v>
      </c>
      <c r="AI66" t="s">
        <v>2270</v>
      </c>
      <c r="AJ66" t="str">
        <f>VLOOKUP(AnalizaCzyste[[#This Row],[Jak się nazywa uczelnia którą ukończyłeś? (proszę o wybranie jednej uczelni podlegającej ocenie)]],KategorieUczelni[],2,0)</f>
        <v>Publiczna</v>
      </c>
      <c r="AK66" t="str">
        <f>VLOOKUP(AnalizaCzyste[[#This Row],[Jak się nazywa uczelnia którą ukończyłeś? (proszę o wybranie jednej uczelni podlegającej ocenie)]],KategorieUczelni[],3,0)</f>
        <v>Nietechniczna</v>
      </c>
      <c r="AL66">
        <f>COUNTIF(AnalizaCzyste[[#This Row],[Czy jesteś absolwentem uczelni wyższej?]],"*"&amp;"Tak"&amp;"*")</f>
        <v>1</v>
      </c>
      <c r="AM66">
        <v>2007</v>
      </c>
      <c r="AN66" t="s">
        <v>126</v>
      </c>
      <c r="AO66" t="s">
        <v>1931</v>
      </c>
      <c r="AP66" t="s">
        <v>162</v>
      </c>
      <c r="AQ66">
        <f>VLOOKUP(AnalizaCzyste[[#This Row],[Moja satysfakcja z (efektów) usług edukacyjnych ocenianej uczelni jest wysoka.]],SkalaLikerta[],2,0)</f>
        <v>5</v>
      </c>
      <c r="AR66" t="s">
        <v>162</v>
      </c>
      <c r="AS66" t="s">
        <v>169</v>
      </c>
      <c r="AT66" t="s">
        <v>169</v>
      </c>
      <c r="AU66" t="s">
        <v>169</v>
      </c>
      <c r="AV66" t="s">
        <v>1932</v>
      </c>
      <c r="AW66" t="s">
        <v>302</v>
      </c>
      <c r="AX66">
        <f>VLOOKUP(AnalizaCzyste[[#This Row],[w pierwszym roku po ukończeniu studiów : wybierz wartość z listy rozwijanej4]],Zarobki[],2,0)</f>
        <v>2500</v>
      </c>
      <c r="AY66" t="s">
        <v>153</v>
      </c>
      <c r="AZ66">
        <f>VLOOKUP(AnalizaCzyste[[#This Row],[w 3 lata po ukończeniu studiów : wybierz wartość z listy rozwijanej5]],Zarobki[],2,0)</f>
        <v>3500</v>
      </c>
      <c r="BA66" t="s">
        <v>1933</v>
      </c>
      <c r="BB66" t="s">
        <v>1934</v>
      </c>
      <c r="BC66" t="s">
        <v>1935</v>
      </c>
      <c r="BE66" t="s">
        <v>1936</v>
      </c>
      <c r="BF66" s="1" t="s">
        <v>123</v>
      </c>
      <c r="BM66" t="e">
        <f>VLOOKUP(AnalizaCzyste[[#This Row],[Moja satysfakcja z (efektów) usług edukacyjnych ocenianej uczelni jest wysoka.8]],SkalaLikerta[],2,0)</f>
        <v>#N/A</v>
      </c>
      <c r="DA66" s="1" t="s">
        <v>123</v>
      </c>
      <c r="DE66" t="e">
        <f>VLOOKUP(AnalizaCzyste[[#This Row],[Moja satysfakcja z pracy na ocenianej uczelni jest wysoka.]],SkalaLikerta[],2,0)</f>
        <v>#N/A</v>
      </c>
      <c r="DL66" s="1" t="s">
        <v>123</v>
      </c>
      <c r="DP66" t="e">
        <f>VLOOKUP(AnalizaCzyste[[#This Row],[Moja satysfakcja z pracy na ocenianej uczelni jest wysoka.42]],SkalaLikerta[],2,0)</f>
        <v>#N/A</v>
      </c>
      <c r="DW66" s="1" t="s">
        <v>123</v>
      </c>
      <c r="EJ66" t="e">
        <f>VLOOKUP(AnalizaCzyste[[#This Row],[Ogólny poziom mojej satysfakcji z jakości usług edukacyjnych ocenianej uczelni jest wysoki.]],SkalaLikerta[],2,0)</f>
        <v>#N/A</v>
      </c>
      <c r="FA66" s="1" t="s">
        <v>123</v>
      </c>
      <c r="FF66" t="e">
        <f>VLOOKUP(AnalizaCzyste[[#This Row],[Moja satysfakcja z (efektów) usług edukacyjnych na ocenianej uczelni jest wysoka.]],SkalaLikerta[],2,0)</f>
        <v>#N/A</v>
      </c>
      <c r="GB66" s="1" t="s">
        <v>123</v>
      </c>
      <c r="GN66" t="e">
        <f>VLOOKUP(AnalizaCzyste[[#This Row],[Ogólny poziom mojej satysfakcji z jakości usług edukacyjnych ocenianej uczelni jest wysoki.32]],SkalaLikerta[],2,0)</f>
        <v>#N/A</v>
      </c>
      <c r="HK66" t="s">
        <v>1937</v>
      </c>
      <c r="HL66" t="s">
        <v>1938</v>
      </c>
      <c r="HM66" t="s">
        <v>1939</v>
      </c>
      <c r="HN66" t="s">
        <v>186</v>
      </c>
      <c r="HO66" s="35">
        <v>1995</v>
      </c>
      <c r="HP66" t="str">
        <f>VLOOKUP(AnalizaCzyste[[#This Row],[Rok urodzenia]],KategorieWiekowe[],2,1)</f>
        <v>poniżej 26 lat</v>
      </c>
      <c r="HQ66" t="s">
        <v>398</v>
      </c>
      <c r="HS66" t="s">
        <v>1940</v>
      </c>
    </row>
    <row r="67" spans="1:228" x14ac:dyDescent="0.45">
      <c r="A67">
        <v>167</v>
      </c>
      <c r="B67">
        <f>_xlfn.IFNA(VLOOKUP(AnalizaCzyste[[#This Row],[Zakończono wypełnianie]],Zakończone[],2,0),"BRAK")</f>
        <v>96</v>
      </c>
      <c r="C67">
        <f t="shared" ref="C67:C98" si="2">COUNTA(P67:HU67)</f>
        <v>46</v>
      </c>
      <c r="D67" t="s">
        <v>1131</v>
      </c>
      <c r="E67" t="s">
        <v>118</v>
      </c>
      <c r="J67" t="s">
        <v>119</v>
      </c>
      <c r="K67" t="s">
        <v>1459</v>
      </c>
      <c r="L67" t="s">
        <v>1460</v>
      </c>
      <c r="M67">
        <v>665</v>
      </c>
      <c r="O67">
        <v>0</v>
      </c>
      <c r="P67" t="s">
        <v>122</v>
      </c>
      <c r="Q67" s="1" t="s">
        <v>123</v>
      </c>
      <c r="V67" t="e">
        <f>VLOOKUP(AnalizaCzyste[[#This Row],[Moja satysfakcja z usług edukacyjnych ocenianej uczelni jest wysoka.]],SkalaLikerta[],2,0)</f>
        <v>#N/A</v>
      </c>
      <c r="AH67" s="1" t="s">
        <v>124</v>
      </c>
      <c r="AI67" t="s">
        <v>1461</v>
      </c>
      <c r="AJ67" t="str">
        <f>VLOOKUP(AnalizaCzyste[[#This Row],[Jak się nazywa uczelnia którą ukończyłeś? (proszę o wybranie jednej uczelni podlegającej ocenie)]],KategorieUczelni[],2,0)</f>
        <v>Publiczna</v>
      </c>
      <c r="AK67" t="str">
        <f>VLOOKUP(AnalizaCzyste[[#This Row],[Jak się nazywa uczelnia którą ukończyłeś? (proszę o wybranie jednej uczelni podlegającej ocenie)]],KategorieUczelni[],3,0)</f>
        <v>Nietechniczna</v>
      </c>
      <c r="AL67">
        <f>COUNTIF(AnalizaCzyste[[#This Row],[Czy jesteś absolwentem uczelni wyższej?]],"*"&amp;"Tak"&amp;"*")</f>
        <v>1</v>
      </c>
      <c r="AM67">
        <v>2007</v>
      </c>
      <c r="AN67" t="s">
        <v>148</v>
      </c>
      <c r="AO67" t="s">
        <v>1462</v>
      </c>
      <c r="AP67" t="s">
        <v>162</v>
      </c>
      <c r="AQ67">
        <f>VLOOKUP(AnalizaCzyste[[#This Row],[Moja satysfakcja z (efektów) usług edukacyjnych ocenianej uczelni jest wysoka.]],SkalaLikerta[],2,0)</f>
        <v>5</v>
      </c>
      <c r="AR67" t="s">
        <v>151</v>
      </c>
      <c r="AS67" t="s">
        <v>151</v>
      </c>
      <c r="AT67" t="s">
        <v>150</v>
      </c>
      <c r="AU67" t="s">
        <v>128</v>
      </c>
      <c r="AV67">
        <v>2</v>
      </c>
      <c r="AW67" t="s">
        <v>302</v>
      </c>
      <c r="AX67">
        <f>VLOOKUP(AnalizaCzyste[[#This Row],[w pierwszym roku po ukończeniu studiów : wybierz wartość z listy rozwijanej4]],Zarobki[],2,0)</f>
        <v>2500</v>
      </c>
      <c r="AY67" t="s">
        <v>302</v>
      </c>
      <c r="AZ67">
        <f>VLOOKUP(AnalizaCzyste[[#This Row],[w 3 lata po ukończeniu studiów : wybierz wartość z listy rozwijanej5]],Zarobki[],2,0)</f>
        <v>2500</v>
      </c>
      <c r="BA67" t="s">
        <v>1463</v>
      </c>
      <c r="BB67" t="s">
        <v>1464</v>
      </c>
      <c r="BC67" t="s">
        <v>1465</v>
      </c>
      <c r="BD67" t="s">
        <v>157</v>
      </c>
      <c r="BF67" s="1" t="s">
        <v>123</v>
      </c>
      <c r="BM67" t="e">
        <f>VLOOKUP(AnalizaCzyste[[#This Row],[Moja satysfakcja z (efektów) usług edukacyjnych ocenianej uczelni jest wysoka.8]],SkalaLikerta[],2,0)</f>
        <v>#N/A</v>
      </c>
      <c r="DA67" s="1" t="s">
        <v>123</v>
      </c>
      <c r="DE67" t="e">
        <f>VLOOKUP(AnalizaCzyste[[#This Row],[Moja satysfakcja z pracy na ocenianej uczelni jest wysoka.]],SkalaLikerta[],2,0)</f>
        <v>#N/A</v>
      </c>
      <c r="DL67" s="1" t="s">
        <v>123</v>
      </c>
      <c r="DP67" t="e">
        <f>VLOOKUP(AnalizaCzyste[[#This Row],[Moja satysfakcja z pracy na ocenianej uczelni jest wysoka.42]],SkalaLikerta[],2,0)</f>
        <v>#N/A</v>
      </c>
      <c r="DW67" s="1" t="s">
        <v>123</v>
      </c>
      <c r="EJ67" t="e">
        <f>VLOOKUP(AnalizaCzyste[[#This Row],[Ogólny poziom mojej satysfakcji z jakości usług edukacyjnych ocenianej uczelni jest wysoki.]],SkalaLikerta[],2,0)</f>
        <v>#N/A</v>
      </c>
      <c r="FA67" s="1" t="s">
        <v>123</v>
      </c>
      <c r="FF67" t="e">
        <f>VLOOKUP(AnalizaCzyste[[#This Row],[Moja satysfakcja z (efektów) usług edukacyjnych na ocenianej uczelni jest wysoka.]],SkalaLikerta[],2,0)</f>
        <v>#N/A</v>
      </c>
      <c r="GB67" s="1" t="s">
        <v>123</v>
      </c>
      <c r="GN67" t="e">
        <f>VLOOKUP(AnalizaCzyste[[#This Row],[Ogólny poziom mojej satysfakcji z jakości usług edukacyjnych ocenianej uczelni jest wysoki.32]],SkalaLikerta[],2,0)</f>
        <v>#N/A</v>
      </c>
      <c r="HK67" t="s">
        <v>1466</v>
      </c>
      <c r="HL67" t="s">
        <v>1467</v>
      </c>
      <c r="HM67" t="s">
        <v>1468</v>
      </c>
      <c r="HN67" t="s">
        <v>140</v>
      </c>
      <c r="HO67">
        <v>1982</v>
      </c>
      <c r="HP67" t="str">
        <f>VLOOKUP(AnalizaCzyste[[#This Row],[Rok urodzenia]],KategorieWiekowe[],2,1)</f>
        <v>36–45 lat</v>
      </c>
      <c r="HQ67" t="s">
        <v>398</v>
      </c>
      <c r="HS67" t="s">
        <v>1469</v>
      </c>
    </row>
    <row r="68" spans="1:228" x14ac:dyDescent="0.45">
      <c r="A68">
        <v>26</v>
      </c>
      <c r="B68">
        <f>_xlfn.IFNA(VLOOKUP(AnalizaCzyste[[#This Row],[Zakończono wypełnianie]],Zakończone[],2,0),"BRAK")</f>
        <v>20</v>
      </c>
      <c r="C68">
        <f t="shared" si="2"/>
        <v>49</v>
      </c>
      <c r="D68" t="s">
        <v>425</v>
      </c>
      <c r="E68" t="s">
        <v>118</v>
      </c>
      <c r="J68" t="s">
        <v>119</v>
      </c>
      <c r="K68" t="s">
        <v>426</v>
      </c>
      <c r="L68" t="s">
        <v>427</v>
      </c>
      <c r="M68">
        <v>1039</v>
      </c>
      <c r="O68">
        <v>0</v>
      </c>
      <c r="P68" t="s">
        <v>122</v>
      </c>
      <c r="Q68" s="1" t="s">
        <v>123</v>
      </c>
      <c r="V68" t="e">
        <f>VLOOKUP(AnalizaCzyste[[#This Row],[Moja satysfakcja z usług edukacyjnych ocenianej uczelni jest wysoka.]],SkalaLikerta[],2,0)</f>
        <v>#N/A</v>
      </c>
      <c r="AH68" s="1" t="s">
        <v>124</v>
      </c>
      <c r="AI68" t="s">
        <v>428</v>
      </c>
      <c r="AJ68" t="str">
        <f>VLOOKUP(AnalizaCzyste[[#This Row],[Jak się nazywa uczelnia którą ukończyłeś? (proszę o wybranie jednej uczelni podlegającej ocenie)]],KategorieUczelni[],2,0)</f>
        <v>Publiczna</v>
      </c>
      <c r="AK68" t="str">
        <f>VLOOKUP(AnalizaCzyste[[#This Row],[Jak się nazywa uczelnia którą ukończyłeś? (proszę o wybranie jednej uczelni podlegającej ocenie)]],KategorieUczelni[],3,0)</f>
        <v>Nietechniczna</v>
      </c>
      <c r="AL68">
        <f>COUNTIF(AnalizaCzyste[[#This Row],[Czy jesteś absolwentem uczelni wyższej?]],"*"&amp;"Tak"&amp;"*")</f>
        <v>1</v>
      </c>
      <c r="AM68">
        <v>2011</v>
      </c>
      <c r="AN68" t="s">
        <v>148</v>
      </c>
      <c r="AO68" t="s">
        <v>429</v>
      </c>
      <c r="AP68" t="s">
        <v>162</v>
      </c>
      <c r="AQ68">
        <f>VLOOKUP(AnalizaCzyste[[#This Row],[Moja satysfakcja z (efektów) usług edukacyjnych ocenianej uczelni jest wysoka.]],SkalaLikerta[],2,0)</f>
        <v>5</v>
      </c>
      <c r="AR68" t="s">
        <v>162</v>
      </c>
      <c r="AS68" t="s">
        <v>128</v>
      </c>
      <c r="AT68" t="s">
        <v>128</v>
      </c>
      <c r="AU68" t="s">
        <v>128</v>
      </c>
      <c r="AV68">
        <v>2</v>
      </c>
      <c r="AW68" t="s">
        <v>131</v>
      </c>
      <c r="AX68">
        <f>VLOOKUP(AnalizaCzyste[[#This Row],[w pierwszym roku po ukończeniu studiów : wybierz wartość z listy rozwijanej4]],Zarobki[],2,0)</f>
        <v>1500</v>
      </c>
      <c r="AY68" t="s">
        <v>302</v>
      </c>
      <c r="AZ68">
        <f>VLOOKUP(AnalizaCzyste[[#This Row],[w 3 lata po ukończeniu studiów : wybierz wartość z listy rozwijanej5]],Zarobki[],2,0)</f>
        <v>2500</v>
      </c>
      <c r="BA68" t="s">
        <v>430</v>
      </c>
      <c r="BB68" t="s">
        <v>431</v>
      </c>
      <c r="BC68" t="s">
        <v>432</v>
      </c>
      <c r="BD68" t="s">
        <v>157</v>
      </c>
      <c r="BF68" s="1" t="s">
        <v>123</v>
      </c>
      <c r="BM68" t="e">
        <f>VLOOKUP(AnalizaCzyste[[#This Row],[Moja satysfakcja z (efektów) usług edukacyjnych ocenianej uczelni jest wysoka.8]],SkalaLikerta[],2,0)</f>
        <v>#N/A</v>
      </c>
      <c r="DA68" s="1" t="s">
        <v>123</v>
      </c>
      <c r="DE68" t="e">
        <f>VLOOKUP(AnalizaCzyste[[#This Row],[Moja satysfakcja z pracy na ocenianej uczelni jest wysoka.]],SkalaLikerta[],2,0)</f>
        <v>#N/A</v>
      </c>
      <c r="DL68" s="1" t="s">
        <v>123</v>
      </c>
      <c r="DP68" t="e">
        <f>VLOOKUP(AnalizaCzyste[[#This Row],[Moja satysfakcja z pracy na ocenianej uczelni jest wysoka.42]],SkalaLikerta[],2,0)</f>
        <v>#N/A</v>
      </c>
      <c r="DW68" s="1" t="s">
        <v>123</v>
      </c>
      <c r="EJ68" t="e">
        <f>VLOOKUP(AnalizaCzyste[[#This Row],[Ogólny poziom mojej satysfakcji z jakości usług edukacyjnych ocenianej uczelni jest wysoki.]],SkalaLikerta[],2,0)</f>
        <v>#N/A</v>
      </c>
      <c r="FA68" s="1" t="s">
        <v>123</v>
      </c>
      <c r="FB68" t="s">
        <v>180</v>
      </c>
      <c r="FC68" t="s">
        <v>132</v>
      </c>
      <c r="FF68" t="e">
        <f>VLOOKUP(AnalizaCzyste[[#This Row],[Moja satysfakcja z (efektów) usług edukacyjnych na ocenianej uczelni jest wysoka.]],SkalaLikerta[],2,0)</f>
        <v>#N/A</v>
      </c>
      <c r="GB68" s="1" t="s">
        <v>123</v>
      </c>
      <c r="GC68" t="s">
        <v>132</v>
      </c>
      <c r="GE68" t="s">
        <v>132</v>
      </c>
      <c r="GN68" t="e">
        <f>VLOOKUP(AnalizaCzyste[[#This Row],[Ogólny poziom mojej satysfakcji z jakości usług edukacyjnych ocenianej uczelni jest wysoki.32]],SkalaLikerta[],2,0)</f>
        <v>#N/A</v>
      </c>
      <c r="HK68" t="s">
        <v>433</v>
      </c>
      <c r="HL68" t="s">
        <v>434</v>
      </c>
      <c r="HM68" t="s">
        <v>435</v>
      </c>
      <c r="HN68" t="s">
        <v>140</v>
      </c>
      <c r="HO68">
        <v>1987</v>
      </c>
      <c r="HP68" t="str">
        <f>VLOOKUP(AnalizaCzyste[[#This Row],[Rok urodzenia]],KategorieWiekowe[],2,1)</f>
        <v>26–35 lat</v>
      </c>
      <c r="HQ68" t="s">
        <v>141</v>
      </c>
    </row>
    <row r="69" spans="1:228" x14ac:dyDescent="0.45">
      <c r="A69">
        <v>215</v>
      </c>
      <c r="B69">
        <f>_xlfn.IFNA(VLOOKUP(AnalizaCzyste[[#This Row],[Zakończono wypełnianie]],Zakończone[],2,0),"BRAK")</f>
        <v>118</v>
      </c>
      <c r="C69">
        <f t="shared" si="2"/>
        <v>46</v>
      </c>
      <c r="D69" t="s">
        <v>1131</v>
      </c>
      <c r="E69" t="s">
        <v>118</v>
      </c>
      <c r="J69" t="s">
        <v>119</v>
      </c>
      <c r="K69" t="s">
        <v>1770</v>
      </c>
      <c r="L69" t="s">
        <v>1771</v>
      </c>
      <c r="M69">
        <v>1129</v>
      </c>
      <c r="O69">
        <v>0</v>
      </c>
      <c r="P69" t="s">
        <v>122</v>
      </c>
      <c r="Q69" s="1" t="s">
        <v>123</v>
      </c>
      <c r="V69" t="e">
        <f>VLOOKUP(AnalizaCzyste[[#This Row],[Moja satysfakcja z usług edukacyjnych ocenianej uczelni jest wysoka.]],SkalaLikerta[],2,0)</f>
        <v>#N/A</v>
      </c>
      <c r="AH69" s="1" t="s">
        <v>124</v>
      </c>
      <c r="AI69" t="s">
        <v>191</v>
      </c>
      <c r="AJ69" t="str">
        <f>VLOOKUP(AnalizaCzyste[[#This Row],[Jak się nazywa uczelnia którą ukończyłeś? (proszę o wybranie jednej uczelni podlegającej ocenie)]],KategorieUczelni[],2,0)</f>
        <v>Publiczna</v>
      </c>
      <c r="AK69" t="str">
        <f>VLOOKUP(AnalizaCzyste[[#This Row],[Jak się nazywa uczelnia którą ukończyłeś? (proszę o wybranie jednej uczelni podlegającej ocenie)]],KategorieUczelni[],3,0)</f>
        <v>Techniczna</v>
      </c>
      <c r="AL69">
        <f>COUNTIF(AnalizaCzyste[[#This Row],[Czy jesteś absolwentem uczelni wyższej?]],"*"&amp;"Tak"&amp;"*")</f>
        <v>1</v>
      </c>
      <c r="AM69">
        <v>2014</v>
      </c>
      <c r="AN69" t="s">
        <v>126</v>
      </c>
      <c r="AO69" t="s">
        <v>1186</v>
      </c>
      <c r="AP69" t="s">
        <v>162</v>
      </c>
      <c r="AQ69">
        <f>VLOOKUP(AnalizaCzyste[[#This Row],[Moja satysfakcja z (efektów) usług edukacyjnych ocenianej uczelni jest wysoka.]],SkalaLikerta[],2,0)</f>
        <v>5</v>
      </c>
      <c r="AR69" t="s">
        <v>150</v>
      </c>
      <c r="AS69" t="s">
        <v>162</v>
      </c>
      <c r="AT69" t="s">
        <v>162</v>
      </c>
      <c r="AU69" t="s">
        <v>150</v>
      </c>
      <c r="AV69">
        <v>1</v>
      </c>
      <c r="AW69" t="s">
        <v>131</v>
      </c>
      <c r="AX69">
        <f>VLOOKUP(AnalizaCzyste[[#This Row],[w pierwszym roku po ukończeniu studiów : wybierz wartość z listy rozwijanej4]],Zarobki[],2,0)</f>
        <v>1500</v>
      </c>
      <c r="AY69" t="s">
        <v>153</v>
      </c>
      <c r="AZ69">
        <f>VLOOKUP(AnalizaCzyste[[#This Row],[w 3 lata po ukończeniu studiów : wybierz wartość z listy rozwijanej5]],Zarobki[],2,0)</f>
        <v>3500</v>
      </c>
      <c r="BB69" t="s">
        <v>766</v>
      </c>
      <c r="BC69" t="s">
        <v>1772</v>
      </c>
      <c r="BD69" t="s">
        <v>172</v>
      </c>
      <c r="BF69" s="1" t="s">
        <v>123</v>
      </c>
      <c r="BM69" t="e">
        <f>VLOOKUP(AnalizaCzyste[[#This Row],[Moja satysfakcja z (efektów) usług edukacyjnych ocenianej uczelni jest wysoka.8]],SkalaLikerta[],2,0)</f>
        <v>#N/A</v>
      </c>
      <c r="DA69" s="1" t="s">
        <v>123</v>
      </c>
      <c r="DE69" t="e">
        <f>VLOOKUP(AnalizaCzyste[[#This Row],[Moja satysfakcja z pracy na ocenianej uczelni jest wysoka.]],SkalaLikerta[],2,0)</f>
        <v>#N/A</v>
      </c>
      <c r="DL69" s="1" t="s">
        <v>123</v>
      </c>
      <c r="DP69" t="e">
        <f>VLOOKUP(AnalizaCzyste[[#This Row],[Moja satysfakcja z pracy na ocenianej uczelni jest wysoka.42]],SkalaLikerta[],2,0)</f>
        <v>#N/A</v>
      </c>
      <c r="DW69" s="1" t="s">
        <v>123</v>
      </c>
      <c r="EJ69" t="e">
        <f>VLOOKUP(AnalizaCzyste[[#This Row],[Ogólny poziom mojej satysfakcji z jakości usług edukacyjnych ocenianej uczelni jest wysoki.]],SkalaLikerta[],2,0)</f>
        <v>#N/A</v>
      </c>
      <c r="FA69" s="1" t="s">
        <v>123</v>
      </c>
      <c r="FF69" t="e">
        <f>VLOOKUP(AnalizaCzyste[[#This Row],[Moja satysfakcja z (efektów) usług edukacyjnych na ocenianej uczelni jest wysoka.]],SkalaLikerta[],2,0)</f>
        <v>#N/A</v>
      </c>
      <c r="GB69" s="1" t="s">
        <v>123</v>
      </c>
      <c r="GN69" t="e">
        <f>VLOOKUP(AnalizaCzyste[[#This Row],[Ogólny poziom mojej satysfakcji z jakości usług edukacyjnych ocenianej uczelni jest wysoki.32]],SkalaLikerta[],2,0)</f>
        <v>#N/A</v>
      </c>
      <c r="HK69" t="s">
        <v>1773</v>
      </c>
      <c r="HL69" t="s">
        <v>1774</v>
      </c>
      <c r="HM69" t="s">
        <v>1775</v>
      </c>
      <c r="HN69" t="s">
        <v>140</v>
      </c>
      <c r="HO69">
        <v>1990</v>
      </c>
      <c r="HP69" t="str">
        <f>VLOOKUP(AnalizaCzyste[[#This Row],[Rok urodzenia]],KategorieWiekowe[],2,1)</f>
        <v>26–35 lat</v>
      </c>
      <c r="HQ69" t="s">
        <v>141</v>
      </c>
      <c r="HS69" t="s">
        <v>1776</v>
      </c>
      <c r="HT69" t="s">
        <v>1777</v>
      </c>
    </row>
    <row r="70" spans="1:228" x14ac:dyDescent="0.45">
      <c r="A70">
        <v>156</v>
      </c>
      <c r="B70">
        <f>_xlfn.IFNA(VLOOKUP(AnalizaCzyste[[#This Row],[Zakończono wypełnianie]],Zakończone[],2,0),"BRAK")</f>
        <v>90</v>
      </c>
      <c r="C70">
        <f t="shared" si="2"/>
        <v>46</v>
      </c>
      <c r="D70" t="s">
        <v>1142</v>
      </c>
      <c r="E70" t="s">
        <v>118</v>
      </c>
      <c r="J70" t="s">
        <v>119</v>
      </c>
      <c r="K70" t="s">
        <v>1391</v>
      </c>
      <c r="L70" t="s">
        <v>1392</v>
      </c>
      <c r="M70">
        <v>415</v>
      </c>
      <c r="O70">
        <v>0</v>
      </c>
      <c r="P70" t="s">
        <v>122</v>
      </c>
      <c r="Q70" s="1" t="s">
        <v>123</v>
      </c>
      <c r="V70" t="e">
        <f>VLOOKUP(AnalizaCzyste[[#This Row],[Moja satysfakcja z usług edukacyjnych ocenianej uczelni jest wysoka.]],SkalaLikerta[],2,0)</f>
        <v>#N/A</v>
      </c>
      <c r="AH70" s="1" t="s">
        <v>124</v>
      </c>
      <c r="AI70" t="s">
        <v>191</v>
      </c>
      <c r="AJ70" t="str">
        <f>VLOOKUP(AnalizaCzyste[[#This Row],[Jak się nazywa uczelnia którą ukończyłeś? (proszę o wybranie jednej uczelni podlegającej ocenie)]],KategorieUczelni[],2,0)</f>
        <v>Publiczna</v>
      </c>
      <c r="AK70" t="str">
        <f>VLOOKUP(AnalizaCzyste[[#This Row],[Jak się nazywa uczelnia którą ukończyłeś? (proszę o wybranie jednej uczelni podlegającej ocenie)]],KategorieUczelni[],3,0)</f>
        <v>Techniczna</v>
      </c>
      <c r="AL70">
        <f>COUNTIF(AnalizaCzyste[[#This Row],[Czy jesteś absolwentem uczelni wyższej?]],"*"&amp;"Tak"&amp;"*")</f>
        <v>1</v>
      </c>
      <c r="AM70">
        <v>2012</v>
      </c>
      <c r="AN70" t="s">
        <v>126</v>
      </c>
      <c r="AO70" t="s">
        <v>1393</v>
      </c>
      <c r="AP70" t="s">
        <v>162</v>
      </c>
      <c r="AQ70">
        <f>VLOOKUP(AnalizaCzyste[[#This Row],[Moja satysfakcja z (efektów) usług edukacyjnych ocenianej uczelni jest wysoka.]],SkalaLikerta[],2,0)</f>
        <v>5</v>
      </c>
      <c r="AR70" t="s">
        <v>150</v>
      </c>
      <c r="AS70" t="s">
        <v>150</v>
      </c>
      <c r="AT70" t="s">
        <v>236</v>
      </c>
      <c r="AU70" t="s">
        <v>236</v>
      </c>
      <c r="AV70" t="s">
        <v>1340</v>
      </c>
      <c r="AW70" t="s">
        <v>302</v>
      </c>
      <c r="AX70">
        <f>VLOOKUP(AnalizaCzyste[[#This Row],[w pierwszym roku po ukończeniu studiów : wybierz wartość z listy rozwijanej4]],Zarobki[],2,0)</f>
        <v>2500</v>
      </c>
      <c r="AY70" t="s">
        <v>153</v>
      </c>
      <c r="AZ70">
        <f>VLOOKUP(AnalizaCzyste[[#This Row],[w 3 lata po ukończeniu studiów : wybierz wartość z listy rozwijanej5]],Zarobki[],2,0)</f>
        <v>3500</v>
      </c>
      <c r="BA70" t="s">
        <v>1394</v>
      </c>
      <c r="BB70" t="s">
        <v>1395</v>
      </c>
      <c r="BC70" t="s">
        <v>1396</v>
      </c>
      <c r="BE70" t="s">
        <v>1397</v>
      </c>
      <c r="BF70" s="1" t="s">
        <v>123</v>
      </c>
      <c r="BM70" t="e">
        <f>VLOOKUP(AnalizaCzyste[[#This Row],[Moja satysfakcja z (efektów) usług edukacyjnych ocenianej uczelni jest wysoka.8]],SkalaLikerta[],2,0)</f>
        <v>#N/A</v>
      </c>
      <c r="DA70" s="1" t="s">
        <v>123</v>
      </c>
      <c r="DE70" t="e">
        <f>VLOOKUP(AnalizaCzyste[[#This Row],[Moja satysfakcja z pracy na ocenianej uczelni jest wysoka.]],SkalaLikerta[],2,0)</f>
        <v>#N/A</v>
      </c>
      <c r="DL70" s="1" t="s">
        <v>123</v>
      </c>
      <c r="DP70" t="e">
        <f>VLOOKUP(AnalizaCzyste[[#This Row],[Moja satysfakcja z pracy na ocenianej uczelni jest wysoka.42]],SkalaLikerta[],2,0)</f>
        <v>#N/A</v>
      </c>
      <c r="DW70" s="1" t="s">
        <v>123</v>
      </c>
      <c r="EJ70" t="e">
        <f>VLOOKUP(AnalizaCzyste[[#This Row],[Ogólny poziom mojej satysfakcji z jakości usług edukacyjnych ocenianej uczelni jest wysoki.]],SkalaLikerta[],2,0)</f>
        <v>#N/A</v>
      </c>
      <c r="FA70" s="1" t="s">
        <v>123</v>
      </c>
      <c r="FF70" t="e">
        <f>VLOOKUP(AnalizaCzyste[[#This Row],[Moja satysfakcja z (efektów) usług edukacyjnych na ocenianej uczelni jest wysoka.]],SkalaLikerta[],2,0)</f>
        <v>#N/A</v>
      </c>
      <c r="GB70" s="1" t="s">
        <v>123</v>
      </c>
      <c r="GN70" t="e">
        <f>VLOOKUP(AnalizaCzyste[[#This Row],[Ogólny poziom mojej satysfakcji z jakości usług edukacyjnych ocenianej uczelni jest wysoki.32]],SkalaLikerta[],2,0)</f>
        <v>#N/A</v>
      </c>
      <c r="HK70" t="s">
        <v>1398</v>
      </c>
      <c r="HL70" t="s">
        <v>1399</v>
      </c>
      <c r="HM70" t="s">
        <v>1400</v>
      </c>
      <c r="HN70" t="s">
        <v>140</v>
      </c>
      <c r="HO70">
        <v>1985</v>
      </c>
      <c r="HP70" t="str">
        <f>VLOOKUP(AnalizaCzyste[[#This Row],[Rok urodzenia]],KategorieWiekowe[],2,1)</f>
        <v>26–35 lat</v>
      </c>
      <c r="HQ70" t="s">
        <v>141</v>
      </c>
      <c r="HS70" t="s">
        <v>1401</v>
      </c>
    </row>
    <row r="71" spans="1:228" x14ac:dyDescent="0.45">
      <c r="A71">
        <v>6</v>
      </c>
      <c r="B71">
        <f>_xlfn.IFNA(VLOOKUP(AnalizaCzyste[[#This Row],[Zakończono wypełnianie]],Zakończone[],2,0),"BRAK")</f>
        <v>6</v>
      </c>
      <c r="C71">
        <f t="shared" si="2"/>
        <v>46</v>
      </c>
      <c r="D71" t="s">
        <v>248</v>
      </c>
      <c r="E71" t="s">
        <v>118</v>
      </c>
      <c r="J71" t="s">
        <v>119</v>
      </c>
      <c r="K71" t="s">
        <v>249</v>
      </c>
      <c r="L71" t="s">
        <v>250</v>
      </c>
      <c r="M71">
        <v>902</v>
      </c>
      <c r="O71">
        <v>0</v>
      </c>
      <c r="P71" t="s">
        <v>122</v>
      </c>
      <c r="Q71" s="1" t="s">
        <v>123</v>
      </c>
      <c r="V71" t="e">
        <f>VLOOKUP(AnalizaCzyste[[#This Row],[Moja satysfakcja z usług edukacyjnych ocenianej uczelni jest wysoka.]],SkalaLikerta[],2,0)</f>
        <v>#N/A</v>
      </c>
      <c r="AH71" s="1" t="s">
        <v>124</v>
      </c>
      <c r="AI71" t="s">
        <v>191</v>
      </c>
      <c r="AJ71" t="str">
        <f>VLOOKUP(AnalizaCzyste[[#This Row],[Jak się nazywa uczelnia którą ukończyłeś? (proszę o wybranie jednej uczelni podlegającej ocenie)]],KategorieUczelni[],2,0)</f>
        <v>Publiczna</v>
      </c>
      <c r="AK71" t="str">
        <f>VLOOKUP(AnalizaCzyste[[#This Row],[Jak się nazywa uczelnia którą ukończyłeś? (proszę o wybranie jednej uczelni podlegającej ocenie)]],KategorieUczelni[],3,0)</f>
        <v>Techniczna</v>
      </c>
      <c r="AL71">
        <f>COUNTIF(AnalizaCzyste[[#This Row],[Czy jesteś absolwentem uczelni wyższej?]],"*"&amp;"Tak"&amp;"*")</f>
        <v>1</v>
      </c>
      <c r="AM71">
        <v>2013</v>
      </c>
      <c r="AN71" t="s">
        <v>126</v>
      </c>
      <c r="AO71" t="s">
        <v>251</v>
      </c>
      <c r="AP71" t="s">
        <v>162</v>
      </c>
      <c r="AQ71">
        <f>VLOOKUP(AnalizaCzyste[[#This Row],[Moja satysfakcja z (efektów) usług edukacyjnych ocenianej uczelni jest wysoka.]],SkalaLikerta[],2,0)</f>
        <v>5</v>
      </c>
      <c r="AR71" t="s">
        <v>162</v>
      </c>
      <c r="AS71" t="s">
        <v>151</v>
      </c>
      <c r="AT71" t="s">
        <v>132</v>
      </c>
      <c r="AU71" t="s">
        <v>132</v>
      </c>
      <c r="AV71" t="s">
        <v>252</v>
      </c>
      <c r="AW71" t="s">
        <v>132</v>
      </c>
      <c r="AX71" t="str">
        <f>VLOOKUP(AnalizaCzyste[[#This Row],[w pierwszym roku po ukończeniu studiów : wybierz wartość z listy rozwijanej4]],Zarobki[],2,0)</f>
        <v>N/D</v>
      </c>
      <c r="AY71" t="s">
        <v>132</v>
      </c>
      <c r="AZ71" t="str">
        <f>VLOOKUP(AnalizaCzyste[[#This Row],[w 3 lata po ukończeniu studiów : wybierz wartość z listy rozwijanej5]],Zarobki[],2,0)</f>
        <v>N/D</v>
      </c>
      <c r="BA71" t="s">
        <v>253</v>
      </c>
      <c r="BB71" t="s">
        <v>254</v>
      </c>
      <c r="BC71" t="s">
        <v>255</v>
      </c>
      <c r="BD71" t="s">
        <v>157</v>
      </c>
      <c r="BF71" s="1" t="s">
        <v>123</v>
      </c>
      <c r="BM71" t="e">
        <f>VLOOKUP(AnalizaCzyste[[#This Row],[Moja satysfakcja z (efektów) usług edukacyjnych ocenianej uczelni jest wysoka.8]],SkalaLikerta[],2,0)</f>
        <v>#N/A</v>
      </c>
      <c r="DA71" s="1" t="s">
        <v>123</v>
      </c>
      <c r="DE71" t="e">
        <f>VLOOKUP(AnalizaCzyste[[#This Row],[Moja satysfakcja z pracy na ocenianej uczelni jest wysoka.]],SkalaLikerta[],2,0)</f>
        <v>#N/A</v>
      </c>
      <c r="DL71" s="1" t="s">
        <v>123</v>
      </c>
      <c r="DP71" t="e">
        <f>VLOOKUP(AnalizaCzyste[[#This Row],[Moja satysfakcja z pracy na ocenianej uczelni jest wysoka.42]],SkalaLikerta[],2,0)</f>
        <v>#N/A</v>
      </c>
      <c r="DW71" s="1" t="s">
        <v>123</v>
      </c>
      <c r="EJ71" t="e">
        <f>VLOOKUP(AnalizaCzyste[[#This Row],[Ogólny poziom mojej satysfakcji z jakości usług edukacyjnych ocenianej uczelni jest wysoki.]],SkalaLikerta[],2,0)</f>
        <v>#N/A</v>
      </c>
      <c r="FA71" s="1" t="s">
        <v>123</v>
      </c>
      <c r="FF71" t="e">
        <f>VLOOKUP(AnalizaCzyste[[#This Row],[Moja satysfakcja z (efektów) usług edukacyjnych na ocenianej uczelni jest wysoka.]],SkalaLikerta[],2,0)</f>
        <v>#N/A</v>
      </c>
      <c r="GB71" s="1" t="s">
        <v>123</v>
      </c>
      <c r="GC71" t="s">
        <v>132</v>
      </c>
      <c r="GN71" t="e">
        <f>VLOOKUP(AnalizaCzyste[[#This Row],[Ogólny poziom mojej satysfakcji z jakości usług edukacyjnych ocenianej uczelni jest wysoki.32]],SkalaLikerta[],2,0)</f>
        <v>#N/A</v>
      </c>
      <c r="HK71" t="s">
        <v>256</v>
      </c>
      <c r="HL71" t="s">
        <v>257</v>
      </c>
      <c r="HM71" t="s">
        <v>258</v>
      </c>
      <c r="HN71" t="s">
        <v>140</v>
      </c>
      <c r="HO71">
        <v>1988</v>
      </c>
      <c r="HP71" t="str">
        <f>VLOOKUP(AnalizaCzyste[[#This Row],[Rok urodzenia]],KategorieWiekowe[],2,1)</f>
        <v>26–35 lat</v>
      </c>
      <c r="HQ71" t="s">
        <v>141</v>
      </c>
    </row>
    <row r="72" spans="1:228" x14ac:dyDescent="0.45">
      <c r="A72">
        <v>187</v>
      </c>
      <c r="B72">
        <f>_xlfn.IFNA(VLOOKUP(AnalizaCzyste[[#This Row],[Zakończono wypełnianie]],Zakończone[],2,0),"BRAK")</f>
        <v>106</v>
      </c>
      <c r="C72">
        <f t="shared" si="2"/>
        <v>47</v>
      </c>
      <c r="D72" t="s">
        <v>1574</v>
      </c>
      <c r="E72" t="s">
        <v>118</v>
      </c>
      <c r="J72" t="s">
        <v>119</v>
      </c>
      <c r="K72" t="s">
        <v>1575</v>
      </c>
      <c r="L72" t="s">
        <v>1576</v>
      </c>
      <c r="M72">
        <v>701</v>
      </c>
      <c r="O72">
        <v>0</v>
      </c>
      <c r="P72" t="s">
        <v>122</v>
      </c>
      <c r="Q72" s="1" t="s">
        <v>123</v>
      </c>
      <c r="V72" t="e">
        <f>VLOOKUP(AnalizaCzyste[[#This Row],[Moja satysfakcja z usług edukacyjnych ocenianej uczelni jest wysoka.]],SkalaLikerta[],2,0)</f>
        <v>#N/A</v>
      </c>
      <c r="AH72" s="1" t="s">
        <v>124</v>
      </c>
      <c r="AI72" t="s">
        <v>191</v>
      </c>
      <c r="AJ72" t="str">
        <f>VLOOKUP(AnalizaCzyste[[#This Row],[Jak się nazywa uczelnia którą ukończyłeś? (proszę o wybranie jednej uczelni podlegającej ocenie)]],KategorieUczelni[],2,0)</f>
        <v>Publiczna</v>
      </c>
      <c r="AK72" t="str">
        <f>VLOOKUP(AnalizaCzyste[[#This Row],[Jak się nazywa uczelnia którą ukończyłeś? (proszę o wybranie jednej uczelni podlegającej ocenie)]],KategorieUczelni[],3,0)</f>
        <v>Techniczna</v>
      </c>
      <c r="AL72">
        <f>COUNTIF(AnalizaCzyste[[#This Row],[Czy jesteś absolwentem uczelni wyższej?]],"*"&amp;"Tak"&amp;"*")</f>
        <v>1</v>
      </c>
      <c r="AM72" s="35">
        <v>2009</v>
      </c>
      <c r="AN72" t="s">
        <v>126</v>
      </c>
      <c r="AO72" t="s">
        <v>1578</v>
      </c>
      <c r="AP72" t="s">
        <v>162</v>
      </c>
      <c r="AQ72">
        <f>VLOOKUP(AnalizaCzyste[[#This Row],[Moja satysfakcja z (efektów) usług edukacyjnych ocenianej uczelni jest wysoka.]],SkalaLikerta[],2,0)</f>
        <v>5</v>
      </c>
      <c r="AR72" t="s">
        <v>162</v>
      </c>
      <c r="AS72" t="s">
        <v>151</v>
      </c>
      <c r="AT72" t="s">
        <v>162</v>
      </c>
      <c r="AU72" t="s">
        <v>151</v>
      </c>
      <c r="AV72" t="s">
        <v>530</v>
      </c>
      <c r="AW72" t="s">
        <v>302</v>
      </c>
      <c r="AX72">
        <f>VLOOKUP(AnalizaCzyste[[#This Row],[w pierwszym roku po ukończeniu studiów : wybierz wartość z listy rozwijanej4]],Zarobki[],2,0)</f>
        <v>2500</v>
      </c>
      <c r="AY72" t="s">
        <v>302</v>
      </c>
      <c r="AZ72">
        <f>VLOOKUP(AnalizaCzyste[[#This Row],[w 3 lata po ukończeniu studiów : wybierz wartość z listy rozwijanej5]],Zarobki[],2,0)</f>
        <v>2500</v>
      </c>
      <c r="BB72" t="s">
        <v>1579</v>
      </c>
      <c r="BC72" t="s">
        <v>1580</v>
      </c>
      <c r="BD72" t="s">
        <v>157</v>
      </c>
      <c r="BE72" t="s">
        <v>1581</v>
      </c>
      <c r="BF72" s="1" t="s">
        <v>123</v>
      </c>
      <c r="BM72" t="e">
        <f>VLOOKUP(AnalizaCzyste[[#This Row],[Moja satysfakcja z (efektów) usług edukacyjnych ocenianej uczelni jest wysoka.8]],SkalaLikerta[],2,0)</f>
        <v>#N/A</v>
      </c>
      <c r="DA72" s="1" t="s">
        <v>123</v>
      </c>
      <c r="DE72" t="e">
        <f>VLOOKUP(AnalizaCzyste[[#This Row],[Moja satysfakcja z pracy na ocenianej uczelni jest wysoka.]],SkalaLikerta[],2,0)</f>
        <v>#N/A</v>
      </c>
      <c r="DL72" s="1" t="s">
        <v>123</v>
      </c>
      <c r="DP72" t="e">
        <f>VLOOKUP(AnalizaCzyste[[#This Row],[Moja satysfakcja z pracy na ocenianej uczelni jest wysoka.42]],SkalaLikerta[],2,0)</f>
        <v>#N/A</v>
      </c>
      <c r="DW72" s="1" t="s">
        <v>123</v>
      </c>
      <c r="EJ72" t="e">
        <f>VLOOKUP(AnalizaCzyste[[#This Row],[Ogólny poziom mojej satysfakcji z jakości usług edukacyjnych ocenianej uczelni jest wysoki.]],SkalaLikerta[],2,0)</f>
        <v>#N/A</v>
      </c>
      <c r="FA72" s="1" t="s">
        <v>123</v>
      </c>
      <c r="FF72" t="e">
        <f>VLOOKUP(AnalizaCzyste[[#This Row],[Moja satysfakcja z (efektów) usług edukacyjnych na ocenianej uczelni jest wysoka.]],SkalaLikerta[],2,0)</f>
        <v>#N/A</v>
      </c>
      <c r="GB72" s="1" t="s">
        <v>123</v>
      </c>
      <c r="GN72" t="e">
        <f>VLOOKUP(AnalizaCzyste[[#This Row],[Ogólny poziom mojej satysfakcji z jakości usług edukacyjnych ocenianej uczelni jest wysoki.32]],SkalaLikerta[],2,0)</f>
        <v>#N/A</v>
      </c>
      <c r="HK72" t="s">
        <v>1582</v>
      </c>
      <c r="HL72" t="s">
        <v>1583</v>
      </c>
      <c r="HM72" t="s">
        <v>1584</v>
      </c>
      <c r="HN72" t="s">
        <v>140</v>
      </c>
      <c r="HO72">
        <v>1985</v>
      </c>
      <c r="HP72" t="str">
        <f>VLOOKUP(AnalizaCzyste[[#This Row],[Rok urodzenia]],KategorieWiekowe[],2,1)</f>
        <v>26–35 lat</v>
      </c>
      <c r="HQ72" t="s">
        <v>220</v>
      </c>
      <c r="HS72" t="s">
        <v>1585</v>
      </c>
      <c r="HT72" t="s">
        <v>1586</v>
      </c>
    </row>
    <row r="73" spans="1:228" x14ac:dyDescent="0.45">
      <c r="A73">
        <v>195</v>
      </c>
      <c r="B73">
        <f>_xlfn.IFNA(VLOOKUP(AnalizaCzyste[[#This Row],[Zakończono wypełnianie]],Zakończone[],2,0),"BRAK")</f>
        <v>111</v>
      </c>
      <c r="C73">
        <f t="shared" si="2"/>
        <v>46</v>
      </c>
      <c r="D73" t="s">
        <v>1649</v>
      </c>
      <c r="E73" t="s">
        <v>118</v>
      </c>
      <c r="F73" t="s">
        <v>359</v>
      </c>
      <c r="J73" t="s">
        <v>119</v>
      </c>
      <c r="K73" t="s">
        <v>1650</v>
      </c>
      <c r="L73" t="s">
        <v>1651</v>
      </c>
      <c r="M73">
        <v>386</v>
      </c>
      <c r="O73">
        <v>0</v>
      </c>
      <c r="P73" t="s">
        <v>122</v>
      </c>
      <c r="Q73" s="1" t="s">
        <v>123</v>
      </c>
      <c r="V73" t="e">
        <f>VLOOKUP(AnalizaCzyste[[#This Row],[Moja satysfakcja z usług edukacyjnych ocenianej uczelni jest wysoka.]],SkalaLikerta[],2,0)</f>
        <v>#N/A</v>
      </c>
      <c r="AH73" s="1" t="s">
        <v>124</v>
      </c>
      <c r="AI73" t="s">
        <v>191</v>
      </c>
      <c r="AJ73" t="str">
        <f>VLOOKUP(AnalizaCzyste[[#This Row],[Jak się nazywa uczelnia którą ukończyłeś? (proszę o wybranie jednej uczelni podlegającej ocenie)]],KategorieUczelni[],2,0)</f>
        <v>Publiczna</v>
      </c>
      <c r="AK73" t="str">
        <f>VLOOKUP(AnalizaCzyste[[#This Row],[Jak się nazywa uczelnia którą ukończyłeś? (proszę o wybranie jednej uczelni podlegającej ocenie)]],KategorieUczelni[],3,0)</f>
        <v>Techniczna</v>
      </c>
      <c r="AL73">
        <f>COUNTIF(AnalizaCzyste[[#This Row],[Czy jesteś absolwentem uczelni wyższej?]],"*"&amp;"Tak"&amp;"*")</f>
        <v>1</v>
      </c>
      <c r="AM73">
        <v>2016</v>
      </c>
      <c r="AN73" t="s">
        <v>126</v>
      </c>
      <c r="AO73" t="s">
        <v>1652</v>
      </c>
      <c r="AP73" t="s">
        <v>162</v>
      </c>
      <c r="AQ73">
        <f>VLOOKUP(AnalizaCzyste[[#This Row],[Moja satysfakcja z (efektów) usług edukacyjnych ocenianej uczelni jest wysoka.]],SkalaLikerta[],2,0)</f>
        <v>5</v>
      </c>
      <c r="AR73" t="s">
        <v>151</v>
      </c>
      <c r="AS73" t="s">
        <v>162</v>
      </c>
      <c r="AT73" t="s">
        <v>150</v>
      </c>
      <c r="AU73" t="s">
        <v>236</v>
      </c>
      <c r="AV73" t="s">
        <v>530</v>
      </c>
      <c r="AW73" t="s">
        <v>153</v>
      </c>
      <c r="AX73">
        <f>VLOOKUP(AnalizaCzyste[[#This Row],[w pierwszym roku po ukończeniu studiów : wybierz wartość z listy rozwijanej4]],Zarobki[],2,0)</f>
        <v>3500</v>
      </c>
      <c r="AY73" t="s">
        <v>153</v>
      </c>
      <c r="AZ73">
        <f>VLOOKUP(AnalizaCzyste[[#This Row],[w 3 lata po ukończeniu studiów : wybierz wartość z listy rozwijanej5]],Zarobki[],2,0)</f>
        <v>3500</v>
      </c>
      <c r="BA73" t="s">
        <v>1653</v>
      </c>
      <c r="BB73" t="s">
        <v>1654</v>
      </c>
      <c r="BC73" t="s">
        <v>1655</v>
      </c>
      <c r="BD73" t="s">
        <v>172</v>
      </c>
      <c r="BF73" s="1" t="s">
        <v>123</v>
      </c>
      <c r="BM73" t="e">
        <f>VLOOKUP(AnalizaCzyste[[#This Row],[Moja satysfakcja z (efektów) usług edukacyjnych ocenianej uczelni jest wysoka.8]],SkalaLikerta[],2,0)</f>
        <v>#N/A</v>
      </c>
      <c r="DA73" s="1" t="s">
        <v>123</v>
      </c>
      <c r="DE73" t="e">
        <f>VLOOKUP(AnalizaCzyste[[#This Row],[Moja satysfakcja z pracy na ocenianej uczelni jest wysoka.]],SkalaLikerta[],2,0)</f>
        <v>#N/A</v>
      </c>
      <c r="DL73" s="1" t="s">
        <v>123</v>
      </c>
      <c r="DP73" t="e">
        <f>VLOOKUP(AnalizaCzyste[[#This Row],[Moja satysfakcja z pracy na ocenianej uczelni jest wysoka.42]],SkalaLikerta[],2,0)</f>
        <v>#N/A</v>
      </c>
      <c r="DW73" s="1" t="s">
        <v>123</v>
      </c>
      <c r="EJ73" t="e">
        <f>VLOOKUP(AnalizaCzyste[[#This Row],[Ogólny poziom mojej satysfakcji z jakości usług edukacyjnych ocenianej uczelni jest wysoki.]],SkalaLikerta[],2,0)</f>
        <v>#N/A</v>
      </c>
      <c r="FA73" s="1" t="s">
        <v>123</v>
      </c>
      <c r="FB73" t="s">
        <v>178</v>
      </c>
      <c r="FF73" t="e">
        <f>VLOOKUP(AnalizaCzyste[[#This Row],[Moja satysfakcja z (efektów) usług edukacyjnych na ocenianej uczelni jest wysoka.]],SkalaLikerta[],2,0)</f>
        <v>#N/A</v>
      </c>
      <c r="GB73" s="1" t="s">
        <v>123</v>
      </c>
      <c r="GN73" t="e">
        <f>VLOOKUP(AnalizaCzyste[[#This Row],[Ogólny poziom mojej satysfakcji z jakości usług edukacyjnych ocenianej uczelni jest wysoki.32]],SkalaLikerta[],2,0)</f>
        <v>#N/A</v>
      </c>
      <c r="HK73" t="s">
        <v>1656</v>
      </c>
      <c r="HL73" t="s">
        <v>1657</v>
      </c>
      <c r="HM73" t="s">
        <v>1658</v>
      </c>
      <c r="HN73" t="s">
        <v>140</v>
      </c>
      <c r="HO73">
        <v>1993</v>
      </c>
      <c r="HP73" t="str">
        <f>VLOOKUP(AnalizaCzyste[[#This Row],[Rok urodzenia]],KategorieWiekowe[],2,1)</f>
        <v>26–35 lat</v>
      </c>
      <c r="HQ73" t="s">
        <v>220</v>
      </c>
    </row>
    <row r="74" spans="1:228" x14ac:dyDescent="0.45">
      <c r="A74">
        <v>212</v>
      </c>
      <c r="B74">
        <f>_xlfn.IFNA(VLOOKUP(AnalizaCzyste[[#This Row],[Zakończono wypełnianie]],Zakończone[],2,0),"BRAK")</f>
        <v>116</v>
      </c>
      <c r="C74">
        <f t="shared" si="2"/>
        <v>44</v>
      </c>
      <c r="D74" t="s">
        <v>1751</v>
      </c>
      <c r="E74" t="s">
        <v>118</v>
      </c>
      <c r="J74" t="s">
        <v>119</v>
      </c>
      <c r="K74" t="s">
        <v>1752</v>
      </c>
      <c r="L74" t="s">
        <v>1753</v>
      </c>
      <c r="M74">
        <v>625</v>
      </c>
      <c r="O74">
        <v>0</v>
      </c>
      <c r="P74" t="s">
        <v>122</v>
      </c>
      <c r="Q74" s="1" t="s">
        <v>123</v>
      </c>
      <c r="V74" t="e">
        <f>VLOOKUP(AnalizaCzyste[[#This Row],[Moja satysfakcja z usług edukacyjnych ocenianej uczelni jest wysoka.]],SkalaLikerta[],2,0)</f>
        <v>#N/A</v>
      </c>
      <c r="AH74" s="1" t="s">
        <v>124</v>
      </c>
      <c r="AI74" t="s">
        <v>191</v>
      </c>
      <c r="AJ74" t="str">
        <f>VLOOKUP(AnalizaCzyste[[#This Row],[Jak się nazywa uczelnia którą ukończyłeś? (proszę o wybranie jednej uczelni podlegającej ocenie)]],KategorieUczelni[],2,0)</f>
        <v>Publiczna</v>
      </c>
      <c r="AK74" t="str">
        <f>VLOOKUP(AnalizaCzyste[[#This Row],[Jak się nazywa uczelnia którą ukończyłeś? (proszę o wybranie jednej uczelni podlegającej ocenie)]],KategorieUczelni[],3,0)</f>
        <v>Techniczna</v>
      </c>
      <c r="AL74">
        <f>COUNTIF(AnalizaCzyste[[#This Row],[Czy jesteś absolwentem uczelni wyższej?]],"*"&amp;"Tak"&amp;"*")</f>
        <v>1</v>
      </c>
      <c r="AM74">
        <v>2009</v>
      </c>
      <c r="AN74" t="s">
        <v>126</v>
      </c>
      <c r="AO74" t="s">
        <v>192</v>
      </c>
      <c r="AP74" t="s">
        <v>162</v>
      </c>
      <c r="AQ74">
        <f>VLOOKUP(AnalizaCzyste[[#This Row],[Moja satysfakcja z (efektów) usług edukacyjnych ocenianej uczelni jest wysoka.]],SkalaLikerta[],2,0)</f>
        <v>5</v>
      </c>
      <c r="AR74" t="s">
        <v>150</v>
      </c>
      <c r="AS74" t="s">
        <v>169</v>
      </c>
      <c r="AT74" t="s">
        <v>169</v>
      </c>
      <c r="AU74" t="s">
        <v>169</v>
      </c>
      <c r="AV74" t="s">
        <v>530</v>
      </c>
      <c r="AW74" t="s">
        <v>226</v>
      </c>
      <c r="AX74">
        <f>VLOOKUP(AnalizaCzyste[[#This Row],[w pierwszym roku po ukończeniu studiów : wybierz wartość z listy rozwijanej4]],Zarobki[],2,0)</f>
        <v>4500</v>
      </c>
      <c r="AY74" t="s">
        <v>759</v>
      </c>
      <c r="AZ74">
        <f>VLOOKUP(AnalizaCzyste[[#This Row],[w 3 lata po ukończeniu studiów : wybierz wartość z listy rozwijanej5]],Zarobki[],2,0)</f>
        <v>5500</v>
      </c>
      <c r="BB74" t="s">
        <v>1754</v>
      </c>
      <c r="BC74" t="s">
        <v>1755</v>
      </c>
      <c r="BE74" t="s">
        <v>1756</v>
      </c>
      <c r="BF74" s="1" t="s">
        <v>123</v>
      </c>
      <c r="BM74" t="e">
        <f>VLOOKUP(AnalizaCzyste[[#This Row],[Moja satysfakcja z (efektów) usług edukacyjnych ocenianej uczelni jest wysoka.8]],SkalaLikerta[],2,0)</f>
        <v>#N/A</v>
      </c>
      <c r="DA74" s="1" t="s">
        <v>123</v>
      </c>
      <c r="DE74" t="e">
        <f>VLOOKUP(AnalizaCzyste[[#This Row],[Moja satysfakcja z pracy na ocenianej uczelni jest wysoka.]],SkalaLikerta[],2,0)</f>
        <v>#N/A</v>
      </c>
      <c r="DL74" s="1" t="s">
        <v>123</v>
      </c>
      <c r="DP74" t="e">
        <f>VLOOKUP(AnalizaCzyste[[#This Row],[Moja satysfakcja z pracy na ocenianej uczelni jest wysoka.42]],SkalaLikerta[],2,0)</f>
        <v>#N/A</v>
      </c>
      <c r="DW74" s="1" t="s">
        <v>123</v>
      </c>
      <c r="EJ74" t="e">
        <f>VLOOKUP(AnalizaCzyste[[#This Row],[Ogólny poziom mojej satysfakcji z jakości usług edukacyjnych ocenianej uczelni jest wysoki.]],SkalaLikerta[],2,0)</f>
        <v>#N/A</v>
      </c>
      <c r="FA74" s="1" t="s">
        <v>123</v>
      </c>
      <c r="FF74" t="e">
        <f>VLOOKUP(AnalizaCzyste[[#This Row],[Moja satysfakcja z (efektów) usług edukacyjnych na ocenianej uczelni jest wysoka.]],SkalaLikerta[],2,0)</f>
        <v>#N/A</v>
      </c>
      <c r="GB74" s="1" t="s">
        <v>123</v>
      </c>
      <c r="GN74" t="e">
        <f>VLOOKUP(AnalizaCzyste[[#This Row],[Ogólny poziom mojej satysfakcji z jakości usług edukacyjnych ocenianej uczelni jest wysoki.32]],SkalaLikerta[],2,0)</f>
        <v>#N/A</v>
      </c>
      <c r="HK74" t="s">
        <v>1757</v>
      </c>
      <c r="HL74" t="s">
        <v>1758</v>
      </c>
      <c r="HM74" t="s">
        <v>1759</v>
      </c>
      <c r="HN74" t="s">
        <v>186</v>
      </c>
      <c r="HO74">
        <v>1984</v>
      </c>
      <c r="HP74" t="str">
        <f>VLOOKUP(AnalizaCzyste[[#This Row],[Rok urodzenia]],KategorieWiekowe[],2,1)</f>
        <v>36–45 lat</v>
      </c>
      <c r="HQ74" t="s">
        <v>141</v>
      </c>
    </row>
    <row r="75" spans="1:228" x14ac:dyDescent="0.45">
      <c r="A75">
        <v>231</v>
      </c>
      <c r="B75">
        <f>_xlfn.IFNA(VLOOKUP(AnalizaCzyste[[#This Row],[Zakończono wypełnianie]],Zakończone[],2,0),"BRAK")</f>
        <v>124</v>
      </c>
      <c r="C75">
        <f t="shared" si="2"/>
        <v>45</v>
      </c>
      <c r="D75" t="s">
        <v>1864</v>
      </c>
      <c r="E75" t="s">
        <v>118</v>
      </c>
      <c r="F75" t="s">
        <v>359</v>
      </c>
      <c r="J75" t="s">
        <v>119</v>
      </c>
      <c r="K75" t="s">
        <v>1865</v>
      </c>
      <c r="L75" t="s">
        <v>1866</v>
      </c>
      <c r="M75">
        <v>607</v>
      </c>
      <c r="O75">
        <v>0</v>
      </c>
      <c r="P75" t="s">
        <v>122</v>
      </c>
      <c r="Q75" s="1" t="s">
        <v>123</v>
      </c>
      <c r="V75" t="e">
        <f>VLOOKUP(AnalizaCzyste[[#This Row],[Moja satysfakcja z usług edukacyjnych ocenianej uczelni jest wysoka.]],SkalaLikerta[],2,0)</f>
        <v>#N/A</v>
      </c>
      <c r="AH75" s="1" t="s">
        <v>124</v>
      </c>
      <c r="AI75" t="s">
        <v>191</v>
      </c>
      <c r="AJ75" t="str">
        <f>VLOOKUP(AnalizaCzyste[[#This Row],[Jak się nazywa uczelnia którą ukończyłeś? (proszę o wybranie jednej uczelni podlegającej ocenie)]],KategorieUczelni[],2,0)</f>
        <v>Publiczna</v>
      </c>
      <c r="AK75" t="str">
        <f>VLOOKUP(AnalizaCzyste[[#This Row],[Jak się nazywa uczelnia którą ukończyłeś? (proszę o wybranie jednej uczelni podlegającej ocenie)]],KategorieUczelni[],3,0)</f>
        <v>Techniczna</v>
      </c>
      <c r="AL75">
        <f>COUNTIF(AnalizaCzyste[[#This Row],[Czy jesteś absolwentem uczelni wyższej?]],"*"&amp;"Tak"&amp;"*")</f>
        <v>1</v>
      </c>
      <c r="AM75">
        <v>2015</v>
      </c>
      <c r="AN75" t="s">
        <v>148</v>
      </c>
      <c r="AO75" t="s">
        <v>1867</v>
      </c>
      <c r="AP75" t="s">
        <v>162</v>
      </c>
      <c r="AQ75">
        <f>VLOOKUP(AnalizaCzyste[[#This Row],[Moja satysfakcja z (efektów) usług edukacyjnych ocenianej uczelni jest wysoka.]],SkalaLikerta[],2,0)</f>
        <v>5</v>
      </c>
      <c r="AR75" t="s">
        <v>150</v>
      </c>
      <c r="AS75" t="s">
        <v>169</v>
      </c>
      <c r="AT75" t="s">
        <v>151</v>
      </c>
      <c r="AU75" t="s">
        <v>162</v>
      </c>
      <c r="AV75" t="s">
        <v>1868</v>
      </c>
      <c r="AW75" t="s">
        <v>153</v>
      </c>
      <c r="AX75">
        <f>VLOOKUP(AnalizaCzyste[[#This Row],[w pierwszym roku po ukończeniu studiów : wybierz wartość z listy rozwijanej4]],Zarobki[],2,0)</f>
        <v>3500</v>
      </c>
      <c r="AY75" t="s">
        <v>226</v>
      </c>
      <c r="AZ75">
        <f>VLOOKUP(AnalizaCzyste[[#This Row],[w 3 lata po ukończeniu studiów : wybierz wartość z listy rozwijanej5]],Zarobki[],2,0)</f>
        <v>4500</v>
      </c>
      <c r="BA75" t="s">
        <v>1869</v>
      </c>
      <c r="BB75" t="s">
        <v>1870</v>
      </c>
      <c r="BC75" t="s">
        <v>1871</v>
      </c>
      <c r="BD75" t="s">
        <v>172</v>
      </c>
      <c r="BF75" s="1" t="s">
        <v>123</v>
      </c>
      <c r="BM75" t="e">
        <f>VLOOKUP(AnalizaCzyste[[#This Row],[Moja satysfakcja z (efektów) usług edukacyjnych ocenianej uczelni jest wysoka.8]],SkalaLikerta[],2,0)</f>
        <v>#N/A</v>
      </c>
      <c r="DA75" s="1" t="s">
        <v>123</v>
      </c>
      <c r="DE75" t="e">
        <f>VLOOKUP(AnalizaCzyste[[#This Row],[Moja satysfakcja z pracy na ocenianej uczelni jest wysoka.]],SkalaLikerta[],2,0)</f>
        <v>#N/A</v>
      </c>
      <c r="DL75" s="1" t="s">
        <v>123</v>
      </c>
      <c r="DP75" t="e">
        <f>VLOOKUP(AnalizaCzyste[[#This Row],[Moja satysfakcja z pracy na ocenianej uczelni jest wysoka.42]],SkalaLikerta[],2,0)</f>
        <v>#N/A</v>
      </c>
      <c r="DW75" s="1" t="s">
        <v>123</v>
      </c>
      <c r="EJ75" t="e">
        <f>VLOOKUP(AnalizaCzyste[[#This Row],[Ogólny poziom mojej satysfakcji z jakości usług edukacyjnych ocenianej uczelni jest wysoki.]],SkalaLikerta[],2,0)</f>
        <v>#N/A</v>
      </c>
      <c r="FA75" s="1" t="s">
        <v>123</v>
      </c>
      <c r="FF75" t="e">
        <f>VLOOKUP(AnalizaCzyste[[#This Row],[Moja satysfakcja z (efektów) usług edukacyjnych na ocenianej uczelni jest wysoka.]],SkalaLikerta[],2,0)</f>
        <v>#N/A</v>
      </c>
      <c r="GB75" s="1" t="s">
        <v>123</v>
      </c>
      <c r="GN75" t="e">
        <f>VLOOKUP(AnalizaCzyste[[#This Row],[Ogólny poziom mojej satysfakcji z jakości usług edukacyjnych ocenianej uczelni jest wysoki.32]],SkalaLikerta[],2,0)</f>
        <v>#N/A</v>
      </c>
      <c r="HK75" t="s">
        <v>276</v>
      </c>
      <c r="HL75" t="s">
        <v>1872</v>
      </c>
      <c r="HM75" t="s">
        <v>1873</v>
      </c>
      <c r="HN75" t="s">
        <v>186</v>
      </c>
      <c r="HO75">
        <v>1991</v>
      </c>
      <c r="HP75" t="str">
        <f>VLOOKUP(AnalizaCzyste[[#This Row],[Rok urodzenia]],KategorieWiekowe[],2,1)</f>
        <v>26–35 lat</v>
      </c>
      <c r="HQ75" t="s">
        <v>398</v>
      </c>
    </row>
    <row r="76" spans="1:228" x14ac:dyDescent="0.45">
      <c r="A76">
        <v>115</v>
      </c>
      <c r="B76">
        <f>_xlfn.IFNA(VLOOKUP(AnalizaCzyste[[#This Row],[Zakończono wypełnianie]],Zakończone[],2,0),"BRAK")</f>
        <v>69</v>
      </c>
      <c r="C76">
        <f t="shared" si="2"/>
        <v>46</v>
      </c>
      <c r="D76" t="s">
        <v>1087</v>
      </c>
      <c r="E76" t="s">
        <v>118</v>
      </c>
      <c r="J76" t="s">
        <v>119</v>
      </c>
      <c r="K76" t="s">
        <v>1088</v>
      </c>
      <c r="L76" t="s">
        <v>1089</v>
      </c>
      <c r="M76">
        <v>1206</v>
      </c>
      <c r="O76">
        <v>0</v>
      </c>
      <c r="P76" t="s">
        <v>122</v>
      </c>
      <c r="Q76" s="1" t="s">
        <v>123</v>
      </c>
      <c r="V76" t="e">
        <f>VLOOKUP(AnalizaCzyste[[#This Row],[Moja satysfakcja z usług edukacyjnych ocenianej uczelni jest wysoka.]],SkalaLikerta[],2,0)</f>
        <v>#N/A</v>
      </c>
      <c r="AH76" s="1" t="s">
        <v>124</v>
      </c>
      <c r="AI76" t="s">
        <v>1090</v>
      </c>
      <c r="AJ76" t="str">
        <f>VLOOKUP(AnalizaCzyste[[#This Row],[Jak się nazywa uczelnia którą ukończyłeś? (proszę o wybranie jednej uczelni podlegającej ocenie)]],KategorieUczelni[],2,0)</f>
        <v>Publiczna</v>
      </c>
      <c r="AK76" t="str">
        <f>VLOOKUP(AnalizaCzyste[[#This Row],[Jak się nazywa uczelnia którą ukończyłeś? (proszę o wybranie jednej uczelni podlegającej ocenie)]],KategorieUczelni[],3,0)</f>
        <v>Techniczna</v>
      </c>
      <c r="AL76">
        <f>COUNTIF(AnalizaCzyste[[#This Row],[Czy jesteś absolwentem uczelni wyższej?]],"*"&amp;"Tak"&amp;"*")</f>
        <v>1</v>
      </c>
      <c r="AM76">
        <v>2004</v>
      </c>
      <c r="AN76" t="s">
        <v>126</v>
      </c>
      <c r="AO76" t="s">
        <v>844</v>
      </c>
      <c r="AP76" t="s">
        <v>162</v>
      </c>
      <c r="AQ76">
        <f>VLOOKUP(AnalizaCzyste[[#This Row],[Moja satysfakcja z (efektów) usług edukacyjnych ocenianej uczelni jest wysoka.]],SkalaLikerta[],2,0)</f>
        <v>5</v>
      </c>
      <c r="AR76" t="s">
        <v>162</v>
      </c>
      <c r="AS76" t="s">
        <v>150</v>
      </c>
      <c r="AT76" t="s">
        <v>151</v>
      </c>
      <c r="AU76" t="s">
        <v>150</v>
      </c>
      <c r="AV76" t="s">
        <v>237</v>
      </c>
      <c r="AW76" t="s">
        <v>302</v>
      </c>
      <c r="AX76">
        <f>VLOOKUP(AnalizaCzyste[[#This Row],[w pierwszym roku po ukończeniu studiów : wybierz wartość z listy rozwijanej4]],Zarobki[],2,0)</f>
        <v>2500</v>
      </c>
      <c r="AY76" t="s">
        <v>226</v>
      </c>
      <c r="AZ76">
        <f>VLOOKUP(AnalizaCzyste[[#This Row],[w 3 lata po ukończeniu studiów : wybierz wartość z listy rozwijanej5]],Zarobki[],2,0)</f>
        <v>4500</v>
      </c>
      <c r="BA76" t="s">
        <v>1091</v>
      </c>
      <c r="BB76" t="s">
        <v>1092</v>
      </c>
      <c r="BC76" t="s">
        <v>1093</v>
      </c>
      <c r="BD76" t="s">
        <v>157</v>
      </c>
      <c r="BF76" s="1" t="s">
        <v>123</v>
      </c>
      <c r="BM76" t="e">
        <f>VLOOKUP(AnalizaCzyste[[#This Row],[Moja satysfakcja z (efektów) usług edukacyjnych ocenianej uczelni jest wysoka.8]],SkalaLikerta[],2,0)</f>
        <v>#N/A</v>
      </c>
      <c r="DA76" s="1" t="s">
        <v>123</v>
      </c>
      <c r="DE76" t="e">
        <f>VLOOKUP(AnalizaCzyste[[#This Row],[Moja satysfakcja z pracy na ocenianej uczelni jest wysoka.]],SkalaLikerta[],2,0)</f>
        <v>#N/A</v>
      </c>
      <c r="DL76" s="1" t="s">
        <v>123</v>
      </c>
      <c r="DP76" t="e">
        <f>VLOOKUP(AnalizaCzyste[[#This Row],[Moja satysfakcja z pracy na ocenianej uczelni jest wysoka.42]],SkalaLikerta[],2,0)</f>
        <v>#N/A</v>
      </c>
      <c r="DW76" s="1" t="s">
        <v>123</v>
      </c>
      <c r="EJ76" t="e">
        <f>VLOOKUP(AnalizaCzyste[[#This Row],[Ogólny poziom mojej satysfakcji z jakości usług edukacyjnych ocenianej uczelni jest wysoki.]],SkalaLikerta[],2,0)</f>
        <v>#N/A</v>
      </c>
      <c r="FA76" s="1" t="s">
        <v>123</v>
      </c>
      <c r="FF76" t="e">
        <f>VLOOKUP(AnalizaCzyste[[#This Row],[Moja satysfakcja z (efektów) usług edukacyjnych na ocenianej uczelni jest wysoka.]],SkalaLikerta[],2,0)</f>
        <v>#N/A</v>
      </c>
      <c r="GB76" s="1" t="s">
        <v>123</v>
      </c>
      <c r="GC76" t="s">
        <v>132</v>
      </c>
      <c r="GN76" t="e">
        <f>VLOOKUP(AnalizaCzyste[[#This Row],[Ogólny poziom mojej satysfakcji z jakości usług edukacyjnych ocenianej uczelni jest wysoki.32]],SkalaLikerta[],2,0)</f>
        <v>#N/A</v>
      </c>
      <c r="HK76" t="s">
        <v>1094</v>
      </c>
      <c r="HL76" t="s">
        <v>1095</v>
      </c>
      <c r="HM76" t="s">
        <v>1096</v>
      </c>
      <c r="HN76" t="s">
        <v>140</v>
      </c>
      <c r="HO76">
        <v>1976</v>
      </c>
      <c r="HP76" t="str">
        <f>VLOOKUP(AnalizaCzyste[[#This Row],[Rok urodzenia]],KategorieWiekowe[],2,1)</f>
        <v>36–45 lat</v>
      </c>
      <c r="HQ76" t="s">
        <v>141</v>
      </c>
    </row>
    <row r="77" spans="1:228" x14ac:dyDescent="0.45">
      <c r="A77">
        <v>45</v>
      </c>
      <c r="B77">
        <f>_xlfn.IFNA(VLOOKUP(AnalizaCzyste[[#This Row],[Zakończono wypełnianie]],Zakończone[],2,0),"BRAK")</f>
        <v>28</v>
      </c>
      <c r="C77">
        <f t="shared" si="2"/>
        <v>48</v>
      </c>
      <c r="D77" t="s">
        <v>550</v>
      </c>
      <c r="E77" t="s">
        <v>118</v>
      </c>
      <c r="F77" t="s">
        <v>375</v>
      </c>
      <c r="J77" t="s">
        <v>119</v>
      </c>
      <c r="K77" t="s">
        <v>551</v>
      </c>
      <c r="L77" t="s">
        <v>552</v>
      </c>
      <c r="M77">
        <v>836</v>
      </c>
      <c r="O77">
        <v>0</v>
      </c>
      <c r="P77" t="s">
        <v>122</v>
      </c>
      <c r="Q77" s="1" t="s">
        <v>123</v>
      </c>
      <c r="V77" t="e">
        <f>VLOOKUP(AnalizaCzyste[[#This Row],[Moja satysfakcja z usług edukacyjnych ocenianej uczelni jest wysoka.]],SkalaLikerta[],2,0)</f>
        <v>#N/A</v>
      </c>
      <c r="AH77" s="1" t="s">
        <v>124</v>
      </c>
      <c r="AI77" t="s">
        <v>553</v>
      </c>
      <c r="AJ77" t="str">
        <f>VLOOKUP(AnalizaCzyste[[#This Row],[Jak się nazywa uczelnia którą ukończyłeś? (proszę o wybranie jednej uczelni podlegającej ocenie)]],KategorieUczelni[],2,0)</f>
        <v>Publiczna</v>
      </c>
      <c r="AK77" t="str">
        <f>VLOOKUP(AnalizaCzyste[[#This Row],[Jak się nazywa uczelnia którą ukończyłeś? (proszę o wybranie jednej uczelni podlegającej ocenie)]],KategorieUczelni[],3,0)</f>
        <v>Nietechniczna</v>
      </c>
      <c r="AL77">
        <f>COUNTIF(AnalizaCzyste[[#This Row],[Czy jesteś absolwentem uczelni wyższej?]],"*"&amp;"Tak"&amp;"*")</f>
        <v>1</v>
      </c>
      <c r="AM77">
        <v>2019</v>
      </c>
      <c r="AN77" t="s">
        <v>148</v>
      </c>
      <c r="AO77" t="s">
        <v>554</v>
      </c>
      <c r="AP77" t="s">
        <v>162</v>
      </c>
      <c r="AQ77">
        <f>VLOOKUP(AnalizaCzyste[[#This Row],[Moja satysfakcja z (efektów) usług edukacyjnych ocenianej uczelni jest wysoka.]],SkalaLikerta[],2,0)</f>
        <v>5</v>
      </c>
      <c r="AR77" t="s">
        <v>162</v>
      </c>
      <c r="AS77" t="s">
        <v>236</v>
      </c>
      <c r="AT77" t="s">
        <v>151</v>
      </c>
      <c r="AU77" t="s">
        <v>162</v>
      </c>
      <c r="AV77" t="s">
        <v>237</v>
      </c>
      <c r="AW77" t="s">
        <v>132</v>
      </c>
      <c r="AX77" t="str">
        <f>VLOOKUP(AnalizaCzyste[[#This Row],[w pierwszym roku po ukończeniu studiów : wybierz wartość z listy rozwijanej4]],Zarobki[],2,0)</f>
        <v>N/D</v>
      </c>
      <c r="AY77" t="s">
        <v>132</v>
      </c>
      <c r="AZ77" t="str">
        <f>VLOOKUP(AnalizaCzyste[[#This Row],[w 3 lata po ukończeniu studiów : wybierz wartość z listy rozwijanej5]],Zarobki[],2,0)</f>
        <v>N/D</v>
      </c>
      <c r="BA77" t="s">
        <v>555</v>
      </c>
      <c r="BB77" t="s">
        <v>556</v>
      </c>
      <c r="BC77" t="s">
        <v>557</v>
      </c>
      <c r="BD77" t="s">
        <v>230</v>
      </c>
      <c r="BF77" s="1" t="s">
        <v>123</v>
      </c>
      <c r="BM77" t="e">
        <f>VLOOKUP(AnalizaCzyste[[#This Row],[Moja satysfakcja z (efektów) usług edukacyjnych ocenianej uczelni jest wysoka.8]],SkalaLikerta[],2,0)</f>
        <v>#N/A</v>
      </c>
      <c r="DA77" s="1" t="s">
        <v>123</v>
      </c>
      <c r="DE77" t="e">
        <f>VLOOKUP(AnalizaCzyste[[#This Row],[Moja satysfakcja z pracy na ocenianej uczelni jest wysoka.]],SkalaLikerta[],2,0)</f>
        <v>#N/A</v>
      </c>
      <c r="DL77" s="1" t="s">
        <v>123</v>
      </c>
      <c r="DP77" t="e">
        <f>VLOOKUP(AnalizaCzyste[[#This Row],[Moja satysfakcja z pracy na ocenianej uczelni jest wysoka.42]],SkalaLikerta[],2,0)</f>
        <v>#N/A</v>
      </c>
      <c r="DW77" s="1" t="s">
        <v>123</v>
      </c>
      <c r="EJ77" t="e">
        <f>VLOOKUP(AnalizaCzyste[[#This Row],[Ogólny poziom mojej satysfakcji z jakości usług edukacyjnych ocenianej uczelni jest wysoki.]],SkalaLikerta[],2,0)</f>
        <v>#N/A</v>
      </c>
      <c r="FA77" s="1" t="s">
        <v>123</v>
      </c>
      <c r="FF77" t="e">
        <f>VLOOKUP(AnalizaCzyste[[#This Row],[Moja satysfakcja z (efektów) usług edukacyjnych na ocenianej uczelni jest wysoka.]],SkalaLikerta[],2,0)</f>
        <v>#N/A</v>
      </c>
      <c r="GB77" s="1" t="s">
        <v>123</v>
      </c>
      <c r="GC77" t="s">
        <v>132</v>
      </c>
      <c r="GN77" t="e">
        <f>VLOOKUP(AnalizaCzyste[[#This Row],[Ogólny poziom mojej satysfakcji z jakości usług edukacyjnych ocenianej uczelni jest wysoki.32]],SkalaLikerta[],2,0)</f>
        <v>#N/A</v>
      </c>
      <c r="HK77" t="s">
        <v>558</v>
      </c>
      <c r="HL77" t="s">
        <v>559</v>
      </c>
      <c r="HM77" t="s">
        <v>560</v>
      </c>
      <c r="HN77" t="s">
        <v>140</v>
      </c>
      <c r="HO77">
        <v>1994</v>
      </c>
      <c r="HP77" t="str">
        <f>VLOOKUP(AnalizaCzyste[[#This Row],[Rok urodzenia]],KategorieWiekowe[],2,1)</f>
        <v>26–35 lat</v>
      </c>
      <c r="HQ77" t="s">
        <v>483</v>
      </c>
      <c r="HS77" t="s">
        <v>561</v>
      </c>
      <c r="HT77" t="s">
        <v>386</v>
      </c>
    </row>
    <row r="78" spans="1:228" x14ac:dyDescent="0.45">
      <c r="A78">
        <v>153</v>
      </c>
      <c r="B78">
        <f>_xlfn.IFNA(VLOOKUP(AnalizaCzyste[[#This Row],[Zakończono wypełnianie]],Zakończone[],2,0),"BRAK")</f>
        <v>88</v>
      </c>
      <c r="C78">
        <f t="shared" si="2"/>
        <v>47</v>
      </c>
      <c r="D78" t="s">
        <v>1352</v>
      </c>
      <c r="E78" t="s">
        <v>118</v>
      </c>
      <c r="J78" t="s">
        <v>119</v>
      </c>
      <c r="K78" t="s">
        <v>1376</v>
      </c>
      <c r="L78" t="s">
        <v>1377</v>
      </c>
      <c r="M78">
        <v>352</v>
      </c>
      <c r="O78">
        <v>0</v>
      </c>
      <c r="P78" t="s">
        <v>122</v>
      </c>
      <c r="Q78" s="1" t="s">
        <v>123</v>
      </c>
      <c r="V78" t="e">
        <f>VLOOKUP(AnalizaCzyste[[#This Row],[Moja satysfakcja z usług edukacyjnych ocenianej uczelni jest wysoka.]],SkalaLikerta[],2,0)</f>
        <v>#N/A</v>
      </c>
      <c r="AH78" s="1" t="s">
        <v>124</v>
      </c>
      <c r="AI78" t="s">
        <v>223</v>
      </c>
      <c r="AJ78" t="str">
        <f>VLOOKUP(AnalizaCzyste[[#This Row],[Jak się nazywa uczelnia którą ukończyłeś? (proszę o wybranie jednej uczelni podlegającej ocenie)]],KategorieUczelni[],2,0)</f>
        <v>Publiczna</v>
      </c>
      <c r="AK78" t="str">
        <f>VLOOKUP(AnalizaCzyste[[#This Row],[Jak się nazywa uczelnia którą ukończyłeś? (proszę o wybranie jednej uczelni podlegającej ocenie)]],KategorieUczelni[],3,0)</f>
        <v>Nietechniczna</v>
      </c>
      <c r="AL78">
        <f>COUNTIF(AnalizaCzyste[[#This Row],[Czy jesteś absolwentem uczelni wyższej?]],"*"&amp;"Tak"&amp;"*")</f>
        <v>1</v>
      </c>
      <c r="AM78">
        <v>2000</v>
      </c>
      <c r="AN78" t="s">
        <v>148</v>
      </c>
      <c r="AO78" t="s">
        <v>161</v>
      </c>
      <c r="AP78" t="s">
        <v>162</v>
      </c>
      <c r="AQ78">
        <f>VLOOKUP(AnalizaCzyste[[#This Row],[Moja satysfakcja z (efektów) usług edukacyjnych ocenianej uczelni jest wysoka.]],SkalaLikerta[],2,0)</f>
        <v>5</v>
      </c>
      <c r="AR78" t="s">
        <v>162</v>
      </c>
      <c r="AS78" t="s">
        <v>150</v>
      </c>
      <c r="AT78" t="s">
        <v>129</v>
      </c>
      <c r="AU78" t="s">
        <v>128</v>
      </c>
      <c r="AV78">
        <v>5</v>
      </c>
      <c r="AW78" t="s">
        <v>302</v>
      </c>
      <c r="AX78">
        <f>VLOOKUP(AnalizaCzyste[[#This Row],[w pierwszym roku po ukończeniu studiów : wybierz wartość z listy rozwijanej4]],Zarobki[],2,0)</f>
        <v>2500</v>
      </c>
      <c r="AY78" t="s">
        <v>302</v>
      </c>
      <c r="AZ78">
        <f>VLOOKUP(AnalizaCzyste[[#This Row],[w 3 lata po ukończeniu studiów : wybierz wartość z listy rozwijanej5]],Zarobki[],2,0)</f>
        <v>2500</v>
      </c>
      <c r="BA78" t="s">
        <v>1378</v>
      </c>
      <c r="BB78" t="s">
        <v>1379</v>
      </c>
      <c r="BC78" t="s">
        <v>1380</v>
      </c>
      <c r="BD78" t="s">
        <v>172</v>
      </c>
      <c r="BF78" s="1" t="s">
        <v>123</v>
      </c>
      <c r="BM78" t="e">
        <f>VLOOKUP(AnalizaCzyste[[#This Row],[Moja satysfakcja z (efektów) usług edukacyjnych ocenianej uczelni jest wysoka.8]],SkalaLikerta[],2,0)</f>
        <v>#N/A</v>
      </c>
      <c r="DA78" s="1" t="s">
        <v>123</v>
      </c>
      <c r="DE78" t="e">
        <f>VLOOKUP(AnalizaCzyste[[#This Row],[Moja satysfakcja z pracy na ocenianej uczelni jest wysoka.]],SkalaLikerta[],2,0)</f>
        <v>#N/A</v>
      </c>
      <c r="DL78" s="1" t="s">
        <v>123</v>
      </c>
      <c r="DP78" t="e">
        <f>VLOOKUP(AnalizaCzyste[[#This Row],[Moja satysfakcja z pracy na ocenianej uczelni jest wysoka.42]],SkalaLikerta[],2,0)</f>
        <v>#N/A</v>
      </c>
      <c r="DW78" s="1" t="s">
        <v>123</v>
      </c>
      <c r="EJ78" t="e">
        <f>VLOOKUP(AnalizaCzyste[[#This Row],[Ogólny poziom mojej satysfakcji z jakości usług edukacyjnych ocenianej uczelni jest wysoki.]],SkalaLikerta[],2,0)</f>
        <v>#N/A</v>
      </c>
      <c r="FA78" s="1" t="s">
        <v>123</v>
      </c>
      <c r="FF78" t="e">
        <f>VLOOKUP(AnalizaCzyste[[#This Row],[Moja satysfakcja z (efektów) usług edukacyjnych na ocenianej uczelni jest wysoka.]],SkalaLikerta[],2,0)</f>
        <v>#N/A</v>
      </c>
      <c r="GB78" s="1" t="s">
        <v>123</v>
      </c>
      <c r="GN78" t="e">
        <f>VLOOKUP(AnalizaCzyste[[#This Row],[Ogólny poziom mojej satysfakcji z jakości usług edukacyjnych ocenianej uczelni jest wysoki.32]],SkalaLikerta[],2,0)</f>
        <v>#N/A</v>
      </c>
      <c r="HK78" t="s">
        <v>1381</v>
      </c>
      <c r="HL78" t="s">
        <v>1382</v>
      </c>
      <c r="HM78" t="s">
        <v>1383</v>
      </c>
      <c r="HN78" t="s">
        <v>140</v>
      </c>
      <c r="HO78">
        <v>1982</v>
      </c>
      <c r="HP78" t="str">
        <f>VLOOKUP(AnalizaCzyste[[#This Row],[Rok urodzenia]],KategorieWiekowe[],2,1)</f>
        <v>36–45 lat</v>
      </c>
      <c r="HQ78" t="s">
        <v>246</v>
      </c>
      <c r="HS78" t="s">
        <v>386</v>
      </c>
      <c r="HT78" t="s">
        <v>386</v>
      </c>
    </row>
    <row r="79" spans="1:228" x14ac:dyDescent="0.45">
      <c r="A79">
        <v>235</v>
      </c>
      <c r="B79">
        <f>_xlfn.IFNA(VLOOKUP(AnalizaCzyste[[#This Row],[Zakończono wypełnianie]],Zakończone[],2,0),"BRAK")</f>
        <v>127</v>
      </c>
      <c r="C79">
        <f t="shared" si="2"/>
        <v>47</v>
      </c>
      <c r="D79" t="s">
        <v>1899</v>
      </c>
      <c r="E79" t="s">
        <v>118</v>
      </c>
      <c r="F79" t="s">
        <v>359</v>
      </c>
      <c r="J79" t="s">
        <v>119</v>
      </c>
      <c r="K79" t="s">
        <v>1900</v>
      </c>
      <c r="L79" t="s">
        <v>1901</v>
      </c>
      <c r="M79">
        <v>650</v>
      </c>
      <c r="O79">
        <v>0</v>
      </c>
      <c r="P79" t="s">
        <v>122</v>
      </c>
      <c r="Q79" s="1" t="s">
        <v>123</v>
      </c>
      <c r="V79" t="e">
        <f>VLOOKUP(AnalizaCzyste[[#This Row],[Moja satysfakcja z usług edukacyjnych ocenianej uczelni jest wysoka.]],SkalaLikerta[],2,0)</f>
        <v>#N/A</v>
      </c>
      <c r="AH79" s="1" t="s">
        <v>124</v>
      </c>
      <c r="AI79" t="s">
        <v>223</v>
      </c>
      <c r="AJ79" t="str">
        <f>VLOOKUP(AnalizaCzyste[[#This Row],[Jak się nazywa uczelnia którą ukończyłeś? (proszę o wybranie jednej uczelni podlegającej ocenie)]],KategorieUczelni[],2,0)</f>
        <v>Publiczna</v>
      </c>
      <c r="AK79" t="str">
        <f>VLOOKUP(AnalizaCzyste[[#This Row],[Jak się nazywa uczelnia którą ukończyłeś? (proszę o wybranie jednej uczelni podlegającej ocenie)]],KategorieUczelni[],3,0)</f>
        <v>Nietechniczna</v>
      </c>
      <c r="AL79">
        <f>COUNTIF(AnalizaCzyste[[#This Row],[Czy jesteś absolwentem uczelni wyższej?]],"*"&amp;"Tak"&amp;"*")</f>
        <v>1</v>
      </c>
      <c r="AM79">
        <v>2009</v>
      </c>
      <c r="AN79" t="s">
        <v>148</v>
      </c>
      <c r="AO79" t="s">
        <v>1666</v>
      </c>
      <c r="AP79" t="s">
        <v>162</v>
      </c>
      <c r="AQ79">
        <f>VLOOKUP(AnalizaCzyste[[#This Row],[Moja satysfakcja z (efektów) usług edukacyjnych ocenianej uczelni jest wysoka.]],SkalaLikerta[],2,0)</f>
        <v>5</v>
      </c>
      <c r="AR79" t="s">
        <v>151</v>
      </c>
      <c r="AS79" t="s">
        <v>236</v>
      </c>
      <c r="AT79" t="s">
        <v>236</v>
      </c>
      <c r="AU79" t="s">
        <v>128</v>
      </c>
      <c r="AV79">
        <v>9</v>
      </c>
      <c r="AW79" t="s">
        <v>131</v>
      </c>
      <c r="AX79">
        <f>VLOOKUP(AnalizaCzyste[[#This Row],[w pierwszym roku po ukończeniu studiów : wybierz wartość z listy rozwijanej4]],Zarobki[],2,0)</f>
        <v>1500</v>
      </c>
      <c r="AY79" t="s">
        <v>153</v>
      </c>
      <c r="AZ79">
        <f>VLOOKUP(AnalizaCzyste[[#This Row],[w 3 lata po ukończeniu studiów : wybierz wartość z listy rozwijanej5]],Zarobki[],2,0)</f>
        <v>3500</v>
      </c>
      <c r="BA79" t="s">
        <v>1902</v>
      </c>
      <c r="BB79" t="s">
        <v>1903</v>
      </c>
      <c r="BC79" t="s">
        <v>1904</v>
      </c>
      <c r="BE79" t="s">
        <v>1905</v>
      </c>
      <c r="BF79" s="1" t="s">
        <v>123</v>
      </c>
      <c r="BM79" t="e">
        <f>VLOOKUP(AnalizaCzyste[[#This Row],[Moja satysfakcja z (efektów) usług edukacyjnych ocenianej uczelni jest wysoka.8]],SkalaLikerta[],2,0)</f>
        <v>#N/A</v>
      </c>
      <c r="DA79" s="1" t="s">
        <v>123</v>
      </c>
      <c r="DE79" t="e">
        <f>VLOOKUP(AnalizaCzyste[[#This Row],[Moja satysfakcja z pracy na ocenianej uczelni jest wysoka.]],SkalaLikerta[],2,0)</f>
        <v>#N/A</v>
      </c>
      <c r="DL79" s="1" t="s">
        <v>123</v>
      </c>
      <c r="DP79" t="e">
        <f>VLOOKUP(AnalizaCzyste[[#This Row],[Moja satysfakcja z pracy na ocenianej uczelni jest wysoka.42]],SkalaLikerta[],2,0)</f>
        <v>#N/A</v>
      </c>
      <c r="DW79" s="1" t="s">
        <v>123</v>
      </c>
      <c r="EJ79" t="e">
        <f>VLOOKUP(AnalizaCzyste[[#This Row],[Ogólny poziom mojej satysfakcji z jakości usług edukacyjnych ocenianej uczelni jest wysoki.]],SkalaLikerta[],2,0)</f>
        <v>#N/A</v>
      </c>
      <c r="FA79" s="1" t="s">
        <v>123</v>
      </c>
      <c r="FF79" t="e">
        <f>VLOOKUP(AnalizaCzyste[[#This Row],[Moja satysfakcja z (efektów) usług edukacyjnych na ocenianej uczelni jest wysoka.]],SkalaLikerta[],2,0)</f>
        <v>#N/A</v>
      </c>
      <c r="GB79" s="1" t="s">
        <v>123</v>
      </c>
      <c r="GN79" t="e">
        <f>VLOOKUP(AnalizaCzyste[[#This Row],[Ogólny poziom mojej satysfakcji z jakości usług edukacyjnych ocenianej uczelni jest wysoki.32]],SkalaLikerta[],2,0)</f>
        <v>#N/A</v>
      </c>
      <c r="HK79" t="s">
        <v>1906</v>
      </c>
      <c r="HL79" t="s">
        <v>1907</v>
      </c>
      <c r="HM79" t="s">
        <v>1908</v>
      </c>
      <c r="HN79" t="s">
        <v>140</v>
      </c>
      <c r="HO79">
        <v>1985</v>
      </c>
      <c r="HP79" t="str">
        <f>VLOOKUP(AnalizaCzyste[[#This Row],[Rok urodzenia]],KategorieWiekowe[],2,1)</f>
        <v>26–35 lat</v>
      </c>
      <c r="HQ79" t="s">
        <v>141</v>
      </c>
      <c r="HS79" t="s">
        <v>142</v>
      </c>
      <c r="HT79" t="s">
        <v>1909</v>
      </c>
    </row>
    <row r="80" spans="1:228" x14ac:dyDescent="0.45">
      <c r="A80">
        <v>227</v>
      </c>
      <c r="B80">
        <f>_xlfn.IFNA(VLOOKUP(AnalizaCzyste[[#This Row],[Zakończono wypełnianie]],Zakończone[],2,0),"BRAK")</f>
        <v>123</v>
      </c>
      <c r="C80">
        <f t="shared" si="2"/>
        <v>47</v>
      </c>
      <c r="D80" t="s">
        <v>1845</v>
      </c>
      <c r="E80" t="s">
        <v>118</v>
      </c>
      <c r="J80" t="s">
        <v>119</v>
      </c>
      <c r="K80" t="s">
        <v>1846</v>
      </c>
      <c r="L80" t="s">
        <v>1847</v>
      </c>
      <c r="M80">
        <v>790</v>
      </c>
      <c r="O80">
        <v>0</v>
      </c>
      <c r="P80" t="s">
        <v>122</v>
      </c>
      <c r="Q80" s="1" t="s">
        <v>123</v>
      </c>
      <c r="V80" t="e">
        <f>VLOOKUP(AnalizaCzyste[[#This Row],[Moja satysfakcja z usług edukacyjnych ocenianej uczelni jest wysoka.]],SkalaLikerta[],2,0)</f>
        <v>#N/A</v>
      </c>
      <c r="AH80" s="1" t="s">
        <v>124</v>
      </c>
      <c r="AI80" t="s">
        <v>223</v>
      </c>
      <c r="AJ80" t="str">
        <f>VLOOKUP(AnalizaCzyste[[#This Row],[Jak się nazywa uczelnia którą ukończyłeś? (proszę o wybranie jednej uczelni podlegającej ocenie)]],KategorieUczelni[],2,0)</f>
        <v>Publiczna</v>
      </c>
      <c r="AK80" t="str">
        <f>VLOOKUP(AnalizaCzyste[[#This Row],[Jak się nazywa uczelnia którą ukończyłeś? (proszę o wybranie jednej uczelni podlegającej ocenie)]],KategorieUczelni[],3,0)</f>
        <v>Nietechniczna</v>
      </c>
      <c r="AL80">
        <f>COUNTIF(AnalizaCzyste[[#This Row],[Czy jesteś absolwentem uczelni wyższej?]],"*"&amp;"Tak"&amp;"*")</f>
        <v>1</v>
      </c>
      <c r="AM80">
        <v>2018</v>
      </c>
      <c r="AN80" t="s">
        <v>148</v>
      </c>
      <c r="AO80" t="s">
        <v>461</v>
      </c>
      <c r="AP80" t="s">
        <v>162</v>
      </c>
      <c r="AQ80">
        <f>VLOOKUP(AnalizaCzyste[[#This Row],[Moja satysfakcja z (efektów) usług edukacyjnych ocenianej uczelni jest wysoka.]],SkalaLikerta[],2,0)</f>
        <v>5</v>
      </c>
      <c r="AR80" t="s">
        <v>162</v>
      </c>
      <c r="AS80" t="s">
        <v>150</v>
      </c>
      <c r="AT80" t="s">
        <v>169</v>
      </c>
      <c r="AU80" t="s">
        <v>132</v>
      </c>
      <c r="AV80" t="s">
        <v>1848</v>
      </c>
      <c r="AW80" t="s">
        <v>302</v>
      </c>
      <c r="AX80">
        <f>VLOOKUP(AnalizaCzyste[[#This Row],[w pierwszym roku po ukończeniu studiów : wybierz wartość z listy rozwijanej4]],Zarobki[],2,0)</f>
        <v>2500</v>
      </c>
      <c r="AY80" t="s">
        <v>132</v>
      </c>
      <c r="AZ80" t="str">
        <f>VLOOKUP(AnalizaCzyste[[#This Row],[w 3 lata po ukończeniu studiów : wybierz wartość z listy rozwijanej5]],Zarobki[],2,0)</f>
        <v>N/D</v>
      </c>
      <c r="BA80" t="s">
        <v>1849</v>
      </c>
      <c r="BB80" t="s">
        <v>1850</v>
      </c>
      <c r="BC80" t="s">
        <v>1851</v>
      </c>
      <c r="BD80" t="s">
        <v>157</v>
      </c>
      <c r="BF80" s="1" t="s">
        <v>123</v>
      </c>
      <c r="BM80" t="e">
        <f>VLOOKUP(AnalizaCzyste[[#This Row],[Moja satysfakcja z (efektów) usług edukacyjnych ocenianej uczelni jest wysoka.8]],SkalaLikerta[],2,0)</f>
        <v>#N/A</v>
      </c>
      <c r="DA80" s="1" t="s">
        <v>123</v>
      </c>
      <c r="DE80" t="e">
        <f>VLOOKUP(AnalizaCzyste[[#This Row],[Moja satysfakcja z pracy na ocenianej uczelni jest wysoka.]],SkalaLikerta[],2,0)</f>
        <v>#N/A</v>
      </c>
      <c r="DL80" s="1" t="s">
        <v>123</v>
      </c>
      <c r="DP80" t="e">
        <f>VLOOKUP(AnalizaCzyste[[#This Row],[Moja satysfakcja z pracy na ocenianej uczelni jest wysoka.42]],SkalaLikerta[],2,0)</f>
        <v>#N/A</v>
      </c>
      <c r="DW80" s="1" t="s">
        <v>123</v>
      </c>
      <c r="EJ80" t="e">
        <f>VLOOKUP(AnalizaCzyste[[#This Row],[Ogólny poziom mojej satysfakcji z jakości usług edukacyjnych ocenianej uczelni jest wysoki.]],SkalaLikerta[],2,0)</f>
        <v>#N/A</v>
      </c>
      <c r="FA80" s="1" t="s">
        <v>123</v>
      </c>
      <c r="FF80" t="e">
        <f>VLOOKUP(AnalizaCzyste[[#This Row],[Moja satysfakcja z (efektów) usług edukacyjnych na ocenianej uczelni jest wysoka.]],SkalaLikerta[],2,0)</f>
        <v>#N/A</v>
      </c>
      <c r="GB80" s="1" t="s">
        <v>123</v>
      </c>
      <c r="GN80" t="e">
        <f>VLOOKUP(AnalizaCzyste[[#This Row],[Ogólny poziom mojej satysfakcji z jakości usług edukacyjnych ocenianej uczelni jest wysoki.32]],SkalaLikerta[],2,0)</f>
        <v>#N/A</v>
      </c>
      <c r="HK80" t="s">
        <v>1852</v>
      </c>
      <c r="HL80" t="s">
        <v>1853</v>
      </c>
      <c r="HM80" t="s">
        <v>1854</v>
      </c>
      <c r="HN80" t="s">
        <v>140</v>
      </c>
      <c r="HO80">
        <v>1994</v>
      </c>
      <c r="HP80" t="str">
        <f>VLOOKUP(AnalizaCzyste[[#This Row],[Rok urodzenia]],KategorieWiekowe[],2,1)</f>
        <v>26–35 lat</v>
      </c>
      <c r="HQ80" t="s">
        <v>141</v>
      </c>
      <c r="HR80" t="s">
        <v>1855</v>
      </c>
      <c r="HS80" t="s">
        <v>1856</v>
      </c>
    </row>
    <row r="81" spans="1:229" x14ac:dyDescent="0.45">
      <c r="A81">
        <v>189</v>
      </c>
      <c r="B81">
        <f>_xlfn.IFNA(VLOOKUP(AnalizaCzyste[[#This Row],[Zakończono wypełnianie]],Zakończone[],2,0),"BRAK")</f>
        <v>108</v>
      </c>
      <c r="C81">
        <f t="shared" si="2"/>
        <v>48</v>
      </c>
      <c r="D81" t="s">
        <v>1352</v>
      </c>
      <c r="E81" t="s">
        <v>118</v>
      </c>
      <c r="J81" t="s">
        <v>119</v>
      </c>
      <c r="K81" t="s">
        <v>1608</v>
      </c>
      <c r="L81" t="s">
        <v>1609</v>
      </c>
      <c r="M81">
        <v>4906</v>
      </c>
      <c r="O81">
        <v>0</v>
      </c>
      <c r="P81" t="s">
        <v>122</v>
      </c>
      <c r="Q81" s="1" t="s">
        <v>123</v>
      </c>
      <c r="V81" t="e">
        <f>VLOOKUP(AnalizaCzyste[[#This Row],[Moja satysfakcja z usług edukacyjnych ocenianej uczelni jest wysoka.]],SkalaLikerta[],2,0)</f>
        <v>#N/A</v>
      </c>
      <c r="AH81" s="1" t="s">
        <v>124</v>
      </c>
      <c r="AI81" t="s">
        <v>223</v>
      </c>
      <c r="AJ81" t="str">
        <f>VLOOKUP(AnalizaCzyste[[#This Row],[Jak się nazywa uczelnia którą ukończyłeś? (proszę o wybranie jednej uczelni podlegającej ocenie)]],KategorieUczelni[],2,0)</f>
        <v>Publiczna</v>
      </c>
      <c r="AK81" t="str">
        <f>VLOOKUP(AnalizaCzyste[[#This Row],[Jak się nazywa uczelnia którą ukończyłeś? (proszę o wybranie jednej uczelni podlegającej ocenie)]],KategorieUczelni[],3,0)</f>
        <v>Nietechniczna</v>
      </c>
      <c r="AL81">
        <f>COUNTIF(AnalizaCzyste[[#This Row],[Czy jesteś absolwentem uczelni wyższej?]],"*"&amp;"Tak"&amp;"*")</f>
        <v>1</v>
      </c>
      <c r="AM81">
        <v>2009</v>
      </c>
      <c r="AN81" t="s">
        <v>148</v>
      </c>
      <c r="AO81" t="s">
        <v>554</v>
      </c>
      <c r="AP81" t="s">
        <v>162</v>
      </c>
      <c r="AQ81">
        <f>VLOOKUP(AnalizaCzyste[[#This Row],[Moja satysfakcja z (efektów) usług edukacyjnych ocenianej uczelni jest wysoka.]],SkalaLikerta[],2,0)</f>
        <v>5</v>
      </c>
      <c r="AR81" t="s">
        <v>162</v>
      </c>
      <c r="AS81" t="s">
        <v>162</v>
      </c>
      <c r="AT81" t="s">
        <v>162</v>
      </c>
      <c r="AU81" t="s">
        <v>162</v>
      </c>
      <c r="AV81" t="s">
        <v>1610</v>
      </c>
      <c r="AW81" t="s">
        <v>302</v>
      </c>
      <c r="AX81">
        <f>VLOOKUP(AnalizaCzyste[[#This Row],[w pierwszym roku po ukończeniu studiów : wybierz wartość z listy rozwijanej4]],Zarobki[],2,0)</f>
        <v>2500</v>
      </c>
      <c r="AY81" t="s">
        <v>153</v>
      </c>
      <c r="AZ81">
        <f>VLOOKUP(AnalizaCzyste[[#This Row],[w 3 lata po ukończeniu studiów : wybierz wartość z listy rozwijanej5]],Zarobki[],2,0)</f>
        <v>3500</v>
      </c>
      <c r="BB81" t="s">
        <v>1611</v>
      </c>
      <c r="BC81" t="s">
        <v>1612</v>
      </c>
      <c r="BE81" t="s">
        <v>1613</v>
      </c>
      <c r="BF81" s="1" t="s">
        <v>123</v>
      </c>
      <c r="BM81" t="e">
        <f>VLOOKUP(AnalizaCzyste[[#This Row],[Moja satysfakcja z (efektów) usług edukacyjnych ocenianej uczelni jest wysoka.8]],SkalaLikerta[],2,0)</f>
        <v>#N/A</v>
      </c>
      <c r="DA81" s="1" t="s">
        <v>123</v>
      </c>
      <c r="DE81" t="e">
        <f>VLOOKUP(AnalizaCzyste[[#This Row],[Moja satysfakcja z pracy na ocenianej uczelni jest wysoka.]],SkalaLikerta[],2,0)</f>
        <v>#N/A</v>
      </c>
      <c r="DL81" s="1" t="s">
        <v>123</v>
      </c>
      <c r="DP81" t="e">
        <f>VLOOKUP(AnalizaCzyste[[#This Row],[Moja satysfakcja z pracy na ocenianej uczelni jest wysoka.42]],SkalaLikerta[],2,0)</f>
        <v>#N/A</v>
      </c>
      <c r="DW81" s="1" t="s">
        <v>123</v>
      </c>
      <c r="EJ81" t="e">
        <f>VLOOKUP(AnalizaCzyste[[#This Row],[Ogólny poziom mojej satysfakcji z jakości usług edukacyjnych ocenianej uczelni jest wysoki.]],SkalaLikerta[],2,0)</f>
        <v>#N/A</v>
      </c>
      <c r="FA81" s="1" t="s">
        <v>123</v>
      </c>
      <c r="FB81" t="s">
        <v>180</v>
      </c>
      <c r="FC81" t="s">
        <v>132</v>
      </c>
      <c r="FF81" t="e">
        <f>VLOOKUP(AnalizaCzyste[[#This Row],[Moja satysfakcja z (efektów) usług edukacyjnych na ocenianej uczelni jest wysoka.]],SkalaLikerta[],2,0)</f>
        <v>#N/A</v>
      </c>
      <c r="GB81" s="1" t="s">
        <v>123</v>
      </c>
      <c r="GN81" t="e">
        <f>VLOOKUP(AnalizaCzyste[[#This Row],[Ogólny poziom mojej satysfakcji z jakości usług edukacyjnych ocenianej uczelni jest wysoki.32]],SkalaLikerta[],2,0)</f>
        <v>#N/A</v>
      </c>
      <c r="HK81" t="s">
        <v>1614</v>
      </c>
      <c r="HL81" t="s">
        <v>1247</v>
      </c>
      <c r="HM81" t="s">
        <v>1247</v>
      </c>
      <c r="HN81" t="s">
        <v>140</v>
      </c>
      <c r="HO81">
        <v>1983</v>
      </c>
      <c r="HP81" t="str">
        <f>VLOOKUP(AnalizaCzyste[[#This Row],[Rok urodzenia]],KategorieWiekowe[],2,1)</f>
        <v>36–45 lat</v>
      </c>
      <c r="HQ81" t="s">
        <v>220</v>
      </c>
      <c r="HS81" t="s">
        <v>1615</v>
      </c>
      <c r="HT81" t="s">
        <v>1615</v>
      </c>
    </row>
    <row r="82" spans="1:229" x14ac:dyDescent="0.45">
      <c r="A82">
        <v>37</v>
      </c>
      <c r="B82">
        <f>_xlfn.IFNA(VLOOKUP(AnalizaCzyste[[#This Row],[Zakończono wypełnianie]],Zakończone[],2,0),"BRAK")</f>
        <v>25</v>
      </c>
      <c r="C82">
        <f t="shared" si="2"/>
        <v>51</v>
      </c>
      <c r="D82" t="s">
        <v>500</v>
      </c>
      <c r="E82" t="s">
        <v>118</v>
      </c>
      <c r="F82" t="s">
        <v>375</v>
      </c>
      <c r="J82" t="s">
        <v>119</v>
      </c>
      <c r="K82" t="s">
        <v>499</v>
      </c>
      <c r="L82" t="s">
        <v>501</v>
      </c>
      <c r="M82">
        <v>394</v>
      </c>
      <c r="O82">
        <v>0</v>
      </c>
      <c r="P82" t="s">
        <v>122</v>
      </c>
      <c r="Q82" s="1" t="s">
        <v>123</v>
      </c>
      <c r="V82" t="e">
        <f>VLOOKUP(AnalizaCzyste[[#This Row],[Moja satysfakcja z usług edukacyjnych ocenianej uczelni jest wysoka.]],SkalaLikerta[],2,0)</f>
        <v>#N/A</v>
      </c>
      <c r="AH82" s="1" t="s">
        <v>124</v>
      </c>
      <c r="AI82" t="s">
        <v>445</v>
      </c>
      <c r="AJ82" t="str">
        <f>VLOOKUP(AnalizaCzyste[[#This Row],[Jak się nazywa uczelnia którą ukończyłeś? (proszę o wybranie jednej uczelni podlegającej ocenie)]],KategorieUczelni[],2,0)</f>
        <v>Publiczna</v>
      </c>
      <c r="AK82" t="str">
        <f>VLOOKUP(AnalizaCzyste[[#This Row],[Jak się nazywa uczelnia którą ukończyłeś? (proszę o wybranie jednej uczelni podlegającej ocenie)]],KategorieUczelni[],3,0)</f>
        <v>Nietechniczna</v>
      </c>
      <c r="AL82">
        <f>COUNTIF(AnalizaCzyste[[#This Row],[Czy jesteś absolwentem uczelni wyższej?]],"*"&amp;"Tak"&amp;"*")</f>
        <v>1</v>
      </c>
      <c r="AM82">
        <v>2019</v>
      </c>
      <c r="AN82" t="s">
        <v>148</v>
      </c>
      <c r="AO82" t="s">
        <v>502</v>
      </c>
      <c r="AP82" t="s">
        <v>162</v>
      </c>
      <c r="AQ82">
        <f>VLOOKUP(AnalizaCzyste[[#This Row],[Moja satysfakcja z (efektów) usług edukacyjnych ocenianej uczelni jest wysoka.]],SkalaLikerta[],2,0)</f>
        <v>5</v>
      </c>
      <c r="AR82" t="s">
        <v>162</v>
      </c>
      <c r="AS82" t="s">
        <v>162</v>
      </c>
      <c r="AT82" t="s">
        <v>150</v>
      </c>
      <c r="AU82" t="s">
        <v>132</v>
      </c>
      <c r="AV82">
        <v>0</v>
      </c>
      <c r="AW82" t="s">
        <v>153</v>
      </c>
      <c r="AX82">
        <f>VLOOKUP(AnalizaCzyste[[#This Row],[w pierwszym roku po ukończeniu studiów : wybierz wartość z listy rozwijanej4]],Zarobki[],2,0)</f>
        <v>3500</v>
      </c>
      <c r="AY82" t="s">
        <v>132</v>
      </c>
      <c r="AZ82" t="str">
        <f>VLOOKUP(AnalizaCzyste[[#This Row],[w 3 lata po ukończeniu studiów : wybierz wartość z listy rozwijanej5]],Zarobki[],2,0)</f>
        <v>N/D</v>
      </c>
      <c r="BA82" t="s">
        <v>503</v>
      </c>
      <c r="BB82" t="s">
        <v>504</v>
      </c>
      <c r="BC82" t="s">
        <v>505</v>
      </c>
      <c r="BD82" t="s">
        <v>157</v>
      </c>
      <c r="BF82" s="1" t="s">
        <v>123</v>
      </c>
      <c r="BM82" t="e">
        <f>VLOOKUP(AnalizaCzyste[[#This Row],[Moja satysfakcja z (efektów) usług edukacyjnych ocenianej uczelni jest wysoka.8]],SkalaLikerta[],2,0)</f>
        <v>#N/A</v>
      </c>
      <c r="DA82" s="1" t="s">
        <v>123</v>
      </c>
      <c r="DE82" t="e">
        <f>VLOOKUP(AnalizaCzyste[[#This Row],[Moja satysfakcja z pracy na ocenianej uczelni jest wysoka.]],SkalaLikerta[],2,0)</f>
        <v>#N/A</v>
      </c>
      <c r="DL82" s="1" t="s">
        <v>123</v>
      </c>
      <c r="DP82" t="e">
        <f>VLOOKUP(AnalizaCzyste[[#This Row],[Moja satysfakcja z pracy na ocenianej uczelni jest wysoka.42]],SkalaLikerta[],2,0)</f>
        <v>#N/A</v>
      </c>
      <c r="DW82" s="1" t="s">
        <v>123</v>
      </c>
      <c r="EJ82" t="e">
        <f>VLOOKUP(AnalizaCzyste[[#This Row],[Ogólny poziom mojej satysfakcji z jakości usług edukacyjnych ocenianej uczelni jest wysoki.]],SkalaLikerta[],2,0)</f>
        <v>#N/A</v>
      </c>
      <c r="FA82" s="1" t="s">
        <v>123</v>
      </c>
      <c r="FB82" t="s">
        <v>180</v>
      </c>
      <c r="FC82" t="s">
        <v>132</v>
      </c>
      <c r="FF82" t="e">
        <f>VLOOKUP(AnalizaCzyste[[#This Row],[Moja satysfakcja z (efektów) usług edukacyjnych na ocenianej uczelni jest wysoka.]],SkalaLikerta[],2,0)</f>
        <v>#N/A</v>
      </c>
      <c r="GB82" s="1" t="s">
        <v>123</v>
      </c>
      <c r="GC82" t="s">
        <v>132</v>
      </c>
      <c r="GE82" t="s">
        <v>132</v>
      </c>
      <c r="GN82" t="e">
        <f>VLOOKUP(AnalizaCzyste[[#This Row],[Ogólny poziom mojej satysfakcji z jakości usług edukacyjnych ocenianej uczelni jest wysoki.32]],SkalaLikerta[],2,0)</f>
        <v>#N/A</v>
      </c>
      <c r="HK82" t="s">
        <v>506</v>
      </c>
      <c r="HL82" t="s">
        <v>507</v>
      </c>
      <c r="HM82" t="s">
        <v>508</v>
      </c>
      <c r="HN82" t="s">
        <v>140</v>
      </c>
      <c r="HO82">
        <v>1994</v>
      </c>
      <c r="HP82" t="str">
        <f>VLOOKUP(AnalizaCzyste[[#This Row],[Rok urodzenia]],KategorieWiekowe[],2,1)</f>
        <v>26–35 lat</v>
      </c>
      <c r="HQ82" t="s">
        <v>220</v>
      </c>
      <c r="HS82" t="s">
        <v>509</v>
      </c>
      <c r="HT82" t="s">
        <v>510</v>
      </c>
    </row>
    <row r="83" spans="1:229" x14ac:dyDescent="0.45">
      <c r="A83">
        <v>34</v>
      </c>
      <c r="B83">
        <f>_xlfn.IFNA(VLOOKUP(AnalizaCzyste[[#This Row],[Zakończono wypełnianie]],Zakończone[],2,0),"BRAK")</f>
        <v>24</v>
      </c>
      <c r="C83">
        <f t="shared" si="2"/>
        <v>50</v>
      </c>
      <c r="D83" t="s">
        <v>484</v>
      </c>
      <c r="E83" t="s">
        <v>118</v>
      </c>
      <c r="F83" t="s">
        <v>359</v>
      </c>
      <c r="J83" t="s">
        <v>119</v>
      </c>
      <c r="K83" t="s">
        <v>485</v>
      </c>
      <c r="L83" t="s">
        <v>486</v>
      </c>
      <c r="M83">
        <v>709</v>
      </c>
      <c r="O83">
        <v>0</v>
      </c>
      <c r="P83" t="s">
        <v>122</v>
      </c>
      <c r="Q83" s="1" t="s">
        <v>123</v>
      </c>
      <c r="V83" t="e">
        <f>VLOOKUP(AnalizaCzyste[[#This Row],[Moja satysfakcja z usług edukacyjnych ocenianej uczelni jest wysoka.]],SkalaLikerta[],2,0)</f>
        <v>#N/A</v>
      </c>
      <c r="AH83" s="1" t="s">
        <v>124</v>
      </c>
      <c r="AI83" t="s">
        <v>445</v>
      </c>
      <c r="AJ83" t="str">
        <f>VLOOKUP(AnalizaCzyste[[#This Row],[Jak się nazywa uczelnia którą ukończyłeś? (proszę o wybranie jednej uczelni podlegającej ocenie)]],KategorieUczelni[],2,0)</f>
        <v>Publiczna</v>
      </c>
      <c r="AK83" t="str">
        <f>VLOOKUP(AnalizaCzyste[[#This Row],[Jak się nazywa uczelnia którą ukończyłeś? (proszę o wybranie jednej uczelni podlegającej ocenie)]],KategorieUczelni[],3,0)</f>
        <v>Nietechniczna</v>
      </c>
      <c r="AL83">
        <f>COUNTIF(AnalizaCzyste[[#This Row],[Czy jesteś absolwentem uczelni wyższej?]],"*"&amp;"Tak"&amp;"*")</f>
        <v>1</v>
      </c>
      <c r="AM83">
        <v>2018</v>
      </c>
      <c r="AN83" t="s">
        <v>148</v>
      </c>
      <c r="AO83" t="s">
        <v>487</v>
      </c>
      <c r="AP83" t="s">
        <v>162</v>
      </c>
      <c r="AQ83">
        <f>VLOOKUP(AnalizaCzyste[[#This Row],[Moja satysfakcja z (efektów) usług edukacyjnych ocenianej uczelni jest wysoka.]],SkalaLikerta[],2,0)</f>
        <v>5</v>
      </c>
      <c r="AR83" t="s">
        <v>162</v>
      </c>
      <c r="AS83" t="s">
        <v>151</v>
      </c>
      <c r="AT83" t="s">
        <v>129</v>
      </c>
      <c r="AU83" t="s">
        <v>151</v>
      </c>
      <c r="AV83">
        <v>2</v>
      </c>
      <c r="AW83" t="s">
        <v>131</v>
      </c>
      <c r="AX83">
        <f>VLOOKUP(AnalizaCzyste[[#This Row],[w pierwszym roku po ukończeniu studiów : wybierz wartość z listy rozwijanej4]],Zarobki[],2,0)</f>
        <v>1500</v>
      </c>
      <c r="AY83" t="s">
        <v>153</v>
      </c>
      <c r="AZ83">
        <f>VLOOKUP(AnalizaCzyste[[#This Row],[w 3 lata po ukończeniu studiów : wybierz wartość z listy rozwijanej5]],Zarobki[],2,0)</f>
        <v>3500</v>
      </c>
      <c r="BA83" t="s">
        <v>488</v>
      </c>
      <c r="BB83" t="s">
        <v>489</v>
      </c>
      <c r="BC83" t="s">
        <v>490</v>
      </c>
      <c r="BD83" t="s">
        <v>157</v>
      </c>
      <c r="BF83" s="1" t="s">
        <v>123</v>
      </c>
      <c r="BM83" t="e">
        <f>VLOOKUP(AnalizaCzyste[[#This Row],[Moja satysfakcja z (efektów) usług edukacyjnych ocenianej uczelni jest wysoka.8]],SkalaLikerta[],2,0)</f>
        <v>#N/A</v>
      </c>
      <c r="DA83" s="1" t="s">
        <v>123</v>
      </c>
      <c r="DE83" t="e">
        <f>VLOOKUP(AnalizaCzyste[[#This Row],[Moja satysfakcja z pracy na ocenianej uczelni jest wysoka.]],SkalaLikerta[],2,0)</f>
        <v>#N/A</v>
      </c>
      <c r="DL83" s="1" t="s">
        <v>123</v>
      </c>
      <c r="DP83" t="e">
        <f>VLOOKUP(AnalizaCzyste[[#This Row],[Moja satysfakcja z pracy na ocenianej uczelni jest wysoka.42]],SkalaLikerta[],2,0)</f>
        <v>#N/A</v>
      </c>
      <c r="DW83" s="1" t="s">
        <v>123</v>
      </c>
      <c r="EJ83" t="e">
        <f>VLOOKUP(AnalizaCzyste[[#This Row],[Ogólny poziom mojej satysfakcji z jakości usług edukacyjnych ocenianej uczelni jest wysoki.]],SkalaLikerta[],2,0)</f>
        <v>#N/A</v>
      </c>
      <c r="FA83" s="1" t="s">
        <v>123</v>
      </c>
      <c r="FB83" t="s">
        <v>180</v>
      </c>
      <c r="FF83" t="e">
        <f>VLOOKUP(AnalizaCzyste[[#This Row],[Moja satysfakcja z (efektów) usług edukacyjnych na ocenianej uczelni jest wysoka.]],SkalaLikerta[],2,0)</f>
        <v>#N/A</v>
      </c>
      <c r="GB83" s="1" t="s">
        <v>123</v>
      </c>
      <c r="GC83" t="s">
        <v>132</v>
      </c>
      <c r="GE83" t="s">
        <v>132</v>
      </c>
      <c r="GN83" t="e">
        <f>VLOOKUP(AnalizaCzyste[[#This Row],[Ogólny poziom mojej satysfakcji z jakości usług edukacyjnych ocenianej uczelni jest wysoki.32]],SkalaLikerta[],2,0)</f>
        <v>#N/A</v>
      </c>
      <c r="HK83" t="s">
        <v>491</v>
      </c>
      <c r="HL83" t="s">
        <v>492</v>
      </c>
      <c r="HM83" t="s">
        <v>493</v>
      </c>
      <c r="HN83" t="s">
        <v>186</v>
      </c>
      <c r="HO83">
        <v>1994</v>
      </c>
      <c r="HP83" t="str">
        <f>VLOOKUP(AnalizaCzyste[[#This Row],[Rok urodzenia]],KategorieWiekowe[],2,1)</f>
        <v>26–35 lat</v>
      </c>
      <c r="HQ83" t="s">
        <v>483</v>
      </c>
      <c r="HS83" t="s">
        <v>494</v>
      </c>
      <c r="HT83" t="s">
        <v>495</v>
      </c>
    </row>
    <row r="84" spans="1:229" x14ac:dyDescent="0.45">
      <c r="A84">
        <v>61</v>
      </c>
      <c r="B84">
        <f>_xlfn.IFNA(VLOOKUP(AnalizaCzyste[[#This Row],[Zakończono wypełnianie]],Zakończone[],2,0),"BRAK")</f>
        <v>36</v>
      </c>
      <c r="C84">
        <f t="shared" si="2"/>
        <v>49</v>
      </c>
      <c r="D84" t="s">
        <v>668</v>
      </c>
      <c r="E84" t="s">
        <v>118</v>
      </c>
      <c r="F84" t="s">
        <v>359</v>
      </c>
      <c r="J84" t="s">
        <v>119</v>
      </c>
      <c r="K84" t="s">
        <v>669</v>
      </c>
      <c r="L84" t="s">
        <v>670</v>
      </c>
      <c r="M84">
        <v>463</v>
      </c>
      <c r="O84">
        <v>0</v>
      </c>
      <c r="P84" t="s">
        <v>122</v>
      </c>
      <c r="Q84" s="1" t="s">
        <v>123</v>
      </c>
      <c r="V84" t="e">
        <f>VLOOKUP(AnalizaCzyste[[#This Row],[Moja satysfakcja z usług edukacyjnych ocenianej uczelni jest wysoka.]],SkalaLikerta[],2,0)</f>
        <v>#N/A</v>
      </c>
      <c r="AH84" s="1" t="s">
        <v>124</v>
      </c>
      <c r="AI84" t="s">
        <v>445</v>
      </c>
      <c r="AJ84" t="str">
        <f>VLOOKUP(AnalizaCzyste[[#This Row],[Jak się nazywa uczelnia którą ukończyłeś? (proszę o wybranie jednej uczelni podlegającej ocenie)]],KategorieUczelni[],2,0)</f>
        <v>Publiczna</v>
      </c>
      <c r="AK84" t="str">
        <f>VLOOKUP(AnalizaCzyste[[#This Row],[Jak się nazywa uczelnia którą ukończyłeś? (proszę o wybranie jednej uczelni podlegającej ocenie)]],KategorieUczelni[],3,0)</f>
        <v>Nietechniczna</v>
      </c>
      <c r="AL84">
        <f>COUNTIF(AnalizaCzyste[[#This Row],[Czy jesteś absolwentem uczelni wyższej?]],"*"&amp;"Tak"&amp;"*")</f>
        <v>1</v>
      </c>
      <c r="AM84">
        <v>2019</v>
      </c>
      <c r="AN84" t="s">
        <v>148</v>
      </c>
      <c r="AO84" t="s">
        <v>601</v>
      </c>
      <c r="AP84" t="s">
        <v>162</v>
      </c>
      <c r="AQ84">
        <f>VLOOKUP(AnalizaCzyste[[#This Row],[Moja satysfakcja z (efektów) usług edukacyjnych ocenianej uczelni jest wysoka.]],SkalaLikerta[],2,0)</f>
        <v>5</v>
      </c>
      <c r="AR84" t="s">
        <v>162</v>
      </c>
      <c r="AS84" t="s">
        <v>129</v>
      </c>
      <c r="AT84" t="s">
        <v>129</v>
      </c>
      <c r="AU84" t="s">
        <v>129</v>
      </c>
      <c r="AV84">
        <v>4</v>
      </c>
      <c r="AW84" t="s">
        <v>152</v>
      </c>
      <c r="AX84">
        <f>VLOOKUP(AnalizaCzyste[[#This Row],[w pierwszym roku po ukończeniu studiów : wybierz wartość z listy rozwijanej4]],Zarobki[],2,0)</f>
        <v>500</v>
      </c>
      <c r="AY84" t="s">
        <v>131</v>
      </c>
      <c r="AZ84">
        <f>VLOOKUP(AnalizaCzyste[[#This Row],[w 3 lata po ukończeniu studiów : wybierz wartość z listy rozwijanej5]],Zarobki[],2,0)</f>
        <v>1500</v>
      </c>
      <c r="BA84" t="s">
        <v>671</v>
      </c>
      <c r="BB84" t="s">
        <v>672</v>
      </c>
      <c r="BC84" t="s">
        <v>673</v>
      </c>
      <c r="BD84" t="s">
        <v>157</v>
      </c>
      <c r="BF84" s="1" t="s">
        <v>123</v>
      </c>
      <c r="BM84" t="e">
        <f>VLOOKUP(AnalizaCzyste[[#This Row],[Moja satysfakcja z (efektów) usług edukacyjnych ocenianej uczelni jest wysoka.8]],SkalaLikerta[],2,0)</f>
        <v>#N/A</v>
      </c>
      <c r="DA84" s="1" t="s">
        <v>123</v>
      </c>
      <c r="DE84" t="e">
        <f>VLOOKUP(AnalizaCzyste[[#This Row],[Moja satysfakcja z pracy na ocenianej uczelni jest wysoka.]],SkalaLikerta[],2,0)</f>
        <v>#N/A</v>
      </c>
      <c r="DL84" s="1" t="s">
        <v>123</v>
      </c>
      <c r="DP84" t="e">
        <f>VLOOKUP(AnalizaCzyste[[#This Row],[Moja satysfakcja z pracy na ocenianej uczelni jest wysoka.42]],SkalaLikerta[],2,0)</f>
        <v>#N/A</v>
      </c>
      <c r="DW84" s="1" t="s">
        <v>123</v>
      </c>
      <c r="EJ84" t="e">
        <f>VLOOKUP(AnalizaCzyste[[#This Row],[Ogólny poziom mojej satysfakcji z jakości usług edukacyjnych ocenianej uczelni jest wysoki.]],SkalaLikerta[],2,0)</f>
        <v>#N/A</v>
      </c>
      <c r="FA84" s="1" t="s">
        <v>123</v>
      </c>
      <c r="FB84" t="s">
        <v>180</v>
      </c>
      <c r="FC84" t="s">
        <v>132</v>
      </c>
      <c r="FF84" t="e">
        <f>VLOOKUP(AnalizaCzyste[[#This Row],[Moja satysfakcja z (efektów) usług edukacyjnych na ocenianej uczelni jest wysoka.]],SkalaLikerta[],2,0)</f>
        <v>#N/A</v>
      </c>
      <c r="GB84" s="1" t="s">
        <v>123</v>
      </c>
      <c r="GC84" t="s">
        <v>132</v>
      </c>
      <c r="GE84" t="s">
        <v>132</v>
      </c>
      <c r="GN84" t="e">
        <f>VLOOKUP(AnalizaCzyste[[#This Row],[Ogólny poziom mojej satysfakcji z jakości usług edukacyjnych ocenianej uczelni jest wysoki.32]],SkalaLikerta[],2,0)</f>
        <v>#N/A</v>
      </c>
      <c r="HK84" t="s">
        <v>674</v>
      </c>
      <c r="HL84" t="s">
        <v>675</v>
      </c>
      <c r="HM84" t="s">
        <v>676</v>
      </c>
      <c r="HN84" t="s">
        <v>140</v>
      </c>
      <c r="HO84">
        <v>1994</v>
      </c>
      <c r="HP84" t="str">
        <f>VLOOKUP(AnalizaCzyste[[#This Row],[Rok urodzenia]],KategorieWiekowe[],2,1)</f>
        <v>26–35 lat</v>
      </c>
      <c r="HQ84" t="s">
        <v>483</v>
      </c>
    </row>
    <row r="85" spans="1:229" x14ac:dyDescent="0.45">
      <c r="A85">
        <v>80</v>
      </c>
      <c r="B85">
        <f>_xlfn.IFNA(VLOOKUP(AnalizaCzyste[[#This Row],[Zakończono wypełnianie]],Zakończone[],2,0),"BRAK")</f>
        <v>45</v>
      </c>
      <c r="C85">
        <f t="shared" si="2"/>
        <v>49</v>
      </c>
      <c r="D85" t="s">
        <v>370</v>
      </c>
      <c r="E85" t="s">
        <v>118</v>
      </c>
      <c r="F85" t="s">
        <v>774</v>
      </c>
      <c r="J85" t="s">
        <v>119</v>
      </c>
      <c r="K85" t="s">
        <v>811</v>
      </c>
      <c r="L85" t="s">
        <v>812</v>
      </c>
      <c r="M85">
        <v>1671</v>
      </c>
      <c r="O85">
        <v>0</v>
      </c>
      <c r="P85" t="s">
        <v>122</v>
      </c>
      <c r="Q85" s="1" t="s">
        <v>123</v>
      </c>
      <c r="V85" t="e">
        <f>VLOOKUP(AnalizaCzyste[[#This Row],[Moja satysfakcja z usług edukacyjnych ocenianej uczelni jest wysoka.]],SkalaLikerta[],2,0)</f>
        <v>#N/A</v>
      </c>
      <c r="AH85" s="1" t="s">
        <v>124</v>
      </c>
      <c r="AI85" t="s">
        <v>813</v>
      </c>
      <c r="AJ85" t="str">
        <f>VLOOKUP(AnalizaCzyste[[#This Row],[Jak się nazywa uczelnia którą ukończyłeś? (proszę o wybranie jednej uczelni podlegającej ocenie)]],KategorieUczelni[],2,0)</f>
        <v>Publiczna</v>
      </c>
      <c r="AK85" t="str">
        <f>VLOOKUP(AnalizaCzyste[[#This Row],[Jak się nazywa uczelnia którą ukończyłeś? (proszę o wybranie jednej uczelni podlegającej ocenie)]],KategorieUczelni[],3,0)</f>
        <v>Nietechniczna</v>
      </c>
      <c r="AL85">
        <f>COUNTIF(AnalizaCzyste[[#This Row],[Czy jesteś absolwentem uczelni wyższej?]],"*"&amp;"Tak"&amp;"*")</f>
        <v>1</v>
      </c>
      <c r="AM85">
        <v>1956</v>
      </c>
      <c r="AN85" t="s">
        <v>148</v>
      </c>
      <c r="AO85" t="s">
        <v>601</v>
      </c>
      <c r="AP85" t="s">
        <v>162</v>
      </c>
      <c r="AQ85">
        <f>VLOOKUP(AnalizaCzyste[[#This Row],[Moja satysfakcja z (efektów) usług edukacyjnych ocenianej uczelni jest wysoka.]],SkalaLikerta[],2,0)</f>
        <v>5</v>
      </c>
      <c r="AR85" t="s">
        <v>162</v>
      </c>
      <c r="AS85" t="s">
        <v>150</v>
      </c>
      <c r="AT85" t="s">
        <v>236</v>
      </c>
      <c r="AU85" t="s">
        <v>236</v>
      </c>
      <c r="AV85" t="s">
        <v>814</v>
      </c>
      <c r="AW85" t="s">
        <v>131</v>
      </c>
      <c r="AX85">
        <f>VLOOKUP(AnalizaCzyste[[#This Row],[w pierwszym roku po ukończeniu studiów : wybierz wartość z listy rozwijanej4]],Zarobki[],2,0)</f>
        <v>1500</v>
      </c>
      <c r="AY85" t="s">
        <v>131</v>
      </c>
      <c r="AZ85">
        <f>VLOOKUP(AnalizaCzyste[[#This Row],[w 3 lata po ukończeniu studiów : wybierz wartość z listy rozwijanej5]],Zarobki[],2,0)</f>
        <v>1500</v>
      </c>
      <c r="BB85" t="s">
        <v>815</v>
      </c>
      <c r="BC85" t="s">
        <v>816</v>
      </c>
      <c r="BD85" t="s">
        <v>172</v>
      </c>
      <c r="BE85" t="s">
        <v>817</v>
      </c>
      <c r="BF85" s="1" t="s">
        <v>123</v>
      </c>
      <c r="BM85" t="e">
        <f>VLOOKUP(AnalizaCzyste[[#This Row],[Moja satysfakcja z (efektów) usług edukacyjnych ocenianej uczelni jest wysoka.8]],SkalaLikerta[],2,0)</f>
        <v>#N/A</v>
      </c>
      <c r="DA85" s="1" t="s">
        <v>123</v>
      </c>
      <c r="DE85" t="e">
        <f>VLOOKUP(AnalizaCzyste[[#This Row],[Moja satysfakcja z pracy na ocenianej uczelni jest wysoka.]],SkalaLikerta[],2,0)</f>
        <v>#N/A</v>
      </c>
      <c r="DL85" s="1" t="s">
        <v>123</v>
      </c>
      <c r="DP85" t="e">
        <f>VLOOKUP(AnalizaCzyste[[#This Row],[Moja satysfakcja z pracy na ocenianej uczelni jest wysoka.42]],SkalaLikerta[],2,0)</f>
        <v>#N/A</v>
      </c>
      <c r="DW85" s="1" t="s">
        <v>123</v>
      </c>
      <c r="EJ85" t="e">
        <f>VLOOKUP(AnalizaCzyste[[#This Row],[Ogólny poziom mojej satysfakcji z jakości usług edukacyjnych ocenianej uczelni jest wysoki.]],SkalaLikerta[],2,0)</f>
        <v>#N/A</v>
      </c>
      <c r="FA85" s="1" t="s">
        <v>123</v>
      </c>
      <c r="FB85" t="s">
        <v>180</v>
      </c>
      <c r="FC85" t="s">
        <v>132</v>
      </c>
      <c r="FF85" t="e">
        <f>VLOOKUP(AnalizaCzyste[[#This Row],[Moja satysfakcja z (efektów) usług edukacyjnych na ocenianej uczelni jest wysoka.]],SkalaLikerta[],2,0)</f>
        <v>#N/A</v>
      </c>
      <c r="GB85" s="1" t="s">
        <v>123</v>
      </c>
      <c r="GC85" t="s">
        <v>132</v>
      </c>
      <c r="GE85" t="s">
        <v>132</v>
      </c>
      <c r="GN85" t="e">
        <f>VLOOKUP(AnalizaCzyste[[#This Row],[Ogólny poziom mojej satysfakcji z jakości usług edukacyjnych ocenianej uczelni jest wysoki.32]],SkalaLikerta[],2,0)</f>
        <v>#N/A</v>
      </c>
      <c r="HK85" t="s">
        <v>818</v>
      </c>
      <c r="HL85" t="s">
        <v>819</v>
      </c>
      <c r="HM85" t="s">
        <v>820</v>
      </c>
      <c r="HN85" t="s">
        <v>140</v>
      </c>
      <c r="HO85">
        <v>1933</v>
      </c>
      <c r="HP85" t="str">
        <f>VLOOKUP(AnalizaCzyste[[#This Row],[Rok urodzenia]],KategorieWiekowe[],2,1)</f>
        <v>powyżej 65 lat</v>
      </c>
      <c r="HQ85" t="s">
        <v>220</v>
      </c>
    </row>
    <row r="86" spans="1:229" x14ac:dyDescent="0.45">
      <c r="A86">
        <v>205</v>
      </c>
      <c r="B86">
        <f>_xlfn.IFNA(VLOOKUP(AnalizaCzyste[[#This Row],[Zakończono wypełnianie]],Zakończone[],2,0),"BRAK")</f>
        <v>114</v>
      </c>
      <c r="C86">
        <f t="shared" si="2"/>
        <v>47</v>
      </c>
      <c r="D86" t="s">
        <v>1709</v>
      </c>
      <c r="E86" t="s">
        <v>118</v>
      </c>
      <c r="J86" t="s">
        <v>119</v>
      </c>
      <c r="K86" t="s">
        <v>1710</v>
      </c>
      <c r="L86" t="s">
        <v>1711</v>
      </c>
      <c r="M86">
        <v>588</v>
      </c>
      <c r="O86">
        <v>0</v>
      </c>
      <c r="P86" t="s">
        <v>122</v>
      </c>
      <c r="Q86" s="1" t="s">
        <v>123</v>
      </c>
      <c r="V86" t="e">
        <f>VLOOKUP(AnalizaCzyste[[#This Row],[Moja satysfakcja z usług edukacyjnych ocenianej uczelni jest wysoka.]],SkalaLikerta[],2,0)</f>
        <v>#N/A</v>
      </c>
      <c r="AH86" s="1" t="s">
        <v>124</v>
      </c>
      <c r="AI86" t="s">
        <v>1712</v>
      </c>
      <c r="AJ86" t="str">
        <f>VLOOKUP(AnalizaCzyste[[#This Row],[Jak się nazywa uczelnia którą ukończyłeś? (proszę o wybranie jednej uczelni podlegającej ocenie)]],KategorieUczelni[],2,0)</f>
        <v>Publiczna</v>
      </c>
      <c r="AK86" t="str">
        <f>VLOOKUP(AnalizaCzyste[[#This Row],[Jak się nazywa uczelnia którą ukończyłeś? (proszę o wybranie jednej uczelni podlegającej ocenie)]],KategorieUczelni[],3,0)</f>
        <v>Nietechniczna</v>
      </c>
      <c r="AL86">
        <f>COUNTIF(AnalizaCzyste[[#This Row],[Czy jesteś absolwentem uczelni wyższej?]],"*"&amp;"Tak"&amp;"*")</f>
        <v>1</v>
      </c>
      <c r="AM86">
        <v>2012</v>
      </c>
      <c r="AN86" t="s">
        <v>148</v>
      </c>
      <c r="AO86" t="s">
        <v>1713</v>
      </c>
      <c r="AP86" t="s">
        <v>162</v>
      </c>
      <c r="AQ86">
        <f>VLOOKUP(AnalizaCzyste[[#This Row],[Moja satysfakcja z (efektów) usług edukacyjnych ocenianej uczelni jest wysoka.]],SkalaLikerta[],2,0)</f>
        <v>5</v>
      </c>
      <c r="AR86" t="s">
        <v>162</v>
      </c>
      <c r="AS86" t="s">
        <v>169</v>
      </c>
      <c r="AT86" t="s">
        <v>129</v>
      </c>
      <c r="AU86" t="s">
        <v>129</v>
      </c>
      <c r="AV86" t="s">
        <v>1714</v>
      </c>
      <c r="AW86" t="s">
        <v>131</v>
      </c>
      <c r="AX86">
        <f>VLOOKUP(AnalizaCzyste[[#This Row],[w pierwszym roku po ukończeniu studiów : wybierz wartość z listy rozwijanej4]],Zarobki[],2,0)</f>
        <v>1500</v>
      </c>
      <c r="AY86" t="s">
        <v>131</v>
      </c>
      <c r="AZ86">
        <f>VLOOKUP(AnalizaCzyste[[#This Row],[w 3 lata po ukończeniu studiów : wybierz wartość z listy rozwijanej5]],Zarobki[],2,0)</f>
        <v>1500</v>
      </c>
      <c r="BA86" t="s">
        <v>1715</v>
      </c>
      <c r="BB86" t="s">
        <v>1716</v>
      </c>
      <c r="BC86" t="s">
        <v>1717</v>
      </c>
      <c r="BD86" t="s">
        <v>157</v>
      </c>
      <c r="BF86" s="1" t="s">
        <v>123</v>
      </c>
      <c r="BM86" t="e">
        <f>VLOOKUP(AnalizaCzyste[[#This Row],[Moja satysfakcja z (efektów) usług edukacyjnych ocenianej uczelni jest wysoka.8]],SkalaLikerta[],2,0)</f>
        <v>#N/A</v>
      </c>
      <c r="DA86" s="1" t="s">
        <v>123</v>
      </c>
      <c r="DE86" t="e">
        <f>VLOOKUP(AnalizaCzyste[[#This Row],[Moja satysfakcja z pracy na ocenianej uczelni jest wysoka.]],SkalaLikerta[],2,0)</f>
        <v>#N/A</v>
      </c>
      <c r="DL86" s="1" t="s">
        <v>123</v>
      </c>
      <c r="DP86" t="e">
        <f>VLOOKUP(AnalizaCzyste[[#This Row],[Moja satysfakcja z pracy na ocenianej uczelni jest wysoka.42]],SkalaLikerta[],2,0)</f>
        <v>#N/A</v>
      </c>
      <c r="DW86" s="1" t="s">
        <v>123</v>
      </c>
      <c r="EJ86" t="e">
        <f>VLOOKUP(AnalizaCzyste[[#This Row],[Ogólny poziom mojej satysfakcji z jakości usług edukacyjnych ocenianej uczelni jest wysoki.]],SkalaLikerta[],2,0)</f>
        <v>#N/A</v>
      </c>
      <c r="FA86" s="1" t="s">
        <v>123</v>
      </c>
      <c r="FF86" t="e">
        <f>VLOOKUP(AnalizaCzyste[[#This Row],[Moja satysfakcja z (efektów) usług edukacyjnych na ocenianej uczelni jest wysoka.]],SkalaLikerta[],2,0)</f>
        <v>#N/A</v>
      </c>
      <c r="GB86" s="1" t="s">
        <v>123</v>
      </c>
      <c r="GN86" t="e">
        <f>VLOOKUP(AnalizaCzyste[[#This Row],[Ogólny poziom mojej satysfakcji z jakości usług edukacyjnych ocenianej uczelni jest wysoki.32]],SkalaLikerta[],2,0)</f>
        <v>#N/A</v>
      </c>
      <c r="HK86" t="s">
        <v>1718</v>
      </c>
      <c r="HL86" t="s">
        <v>1719</v>
      </c>
      <c r="HM86" t="s">
        <v>1720</v>
      </c>
      <c r="HN86" t="s">
        <v>140</v>
      </c>
      <c r="HO86">
        <v>1985</v>
      </c>
      <c r="HP86" t="str">
        <f>VLOOKUP(AnalizaCzyste[[#This Row],[Rok urodzenia]],KategorieWiekowe[],2,1)</f>
        <v>26–35 lat</v>
      </c>
      <c r="HQ86" t="s">
        <v>246</v>
      </c>
      <c r="HS86" t="s">
        <v>1721</v>
      </c>
      <c r="HT86" t="s">
        <v>532</v>
      </c>
    </row>
    <row r="87" spans="1:229" x14ac:dyDescent="0.45">
      <c r="A87">
        <v>67</v>
      </c>
      <c r="B87">
        <f>_xlfn.IFNA(VLOOKUP(AnalizaCzyste[[#This Row],[Zakończono wypełnianie]],Zakończone[],2,0),"BRAK")</f>
        <v>38</v>
      </c>
      <c r="C87">
        <f t="shared" si="2"/>
        <v>49</v>
      </c>
      <c r="D87" t="s">
        <v>698</v>
      </c>
      <c r="E87" t="s">
        <v>118</v>
      </c>
      <c r="F87" t="s">
        <v>359</v>
      </c>
      <c r="J87" t="s">
        <v>119</v>
      </c>
      <c r="K87" t="s">
        <v>699</v>
      </c>
      <c r="L87" t="s">
        <v>700</v>
      </c>
      <c r="M87">
        <v>1910</v>
      </c>
      <c r="O87">
        <v>0</v>
      </c>
      <c r="P87" t="s">
        <v>122</v>
      </c>
      <c r="Q87" s="1" t="s">
        <v>123</v>
      </c>
      <c r="V87" t="e">
        <f>VLOOKUP(AnalizaCzyste[[#This Row],[Moja satysfakcja z usług edukacyjnych ocenianej uczelni jest wysoka.]],SkalaLikerta[],2,0)</f>
        <v>#N/A</v>
      </c>
      <c r="AH87" s="1" t="s">
        <v>124</v>
      </c>
      <c r="AI87" t="s">
        <v>701</v>
      </c>
      <c r="AJ87" t="str">
        <f>VLOOKUP(AnalizaCzyste[[#This Row],[Jak się nazywa uczelnia którą ukończyłeś? (proszę o wybranie jednej uczelni podlegającej ocenie)]],KategorieUczelni[],2,0)</f>
        <v>Publiczna</v>
      </c>
      <c r="AK87" t="str">
        <f>VLOOKUP(AnalizaCzyste[[#This Row],[Jak się nazywa uczelnia którą ukończyłeś? (proszę o wybranie jednej uczelni podlegającej ocenie)]],KategorieUczelni[],3,0)</f>
        <v>Nietechniczna</v>
      </c>
      <c r="AL87">
        <f>COUNTIF(AnalizaCzyste[[#This Row],[Czy jesteś absolwentem uczelni wyższej?]],"*"&amp;"Tak"&amp;"*")</f>
        <v>1</v>
      </c>
      <c r="AM87">
        <v>2020</v>
      </c>
      <c r="AN87" t="s">
        <v>148</v>
      </c>
      <c r="AO87" t="s">
        <v>702</v>
      </c>
      <c r="AP87" t="s">
        <v>162</v>
      </c>
      <c r="AQ87">
        <f>VLOOKUP(AnalizaCzyste[[#This Row],[Moja satysfakcja z (efektów) usług edukacyjnych ocenianej uczelni jest wysoka.]],SkalaLikerta[],2,0)</f>
        <v>5</v>
      </c>
      <c r="AR87" t="s">
        <v>162</v>
      </c>
      <c r="AS87" t="s">
        <v>236</v>
      </c>
      <c r="AT87" t="s">
        <v>236</v>
      </c>
      <c r="AU87" t="s">
        <v>132</v>
      </c>
      <c r="AV87" t="s">
        <v>703</v>
      </c>
      <c r="AW87" t="s">
        <v>131</v>
      </c>
      <c r="AX87">
        <f>VLOOKUP(AnalizaCzyste[[#This Row],[w pierwszym roku po ukończeniu studiów : wybierz wartość z listy rozwijanej4]],Zarobki[],2,0)</f>
        <v>1500</v>
      </c>
      <c r="AY87" t="s">
        <v>132</v>
      </c>
      <c r="AZ87" t="str">
        <f>VLOOKUP(AnalizaCzyste[[#This Row],[w 3 lata po ukończeniu studiów : wybierz wartość z listy rozwijanej5]],Zarobki[],2,0)</f>
        <v>N/D</v>
      </c>
      <c r="BA87" t="s">
        <v>704</v>
      </c>
      <c r="BB87" t="s">
        <v>705</v>
      </c>
      <c r="BC87" t="s">
        <v>706</v>
      </c>
      <c r="BD87" t="s">
        <v>157</v>
      </c>
      <c r="BF87" s="1" t="s">
        <v>123</v>
      </c>
      <c r="BM87" t="e">
        <f>VLOOKUP(AnalizaCzyste[[#This Row],[Moja satysfakcja z (efektów) usług edukacyjnych ocenianej uczelni jest wysoka.8]],SkalaLikerta[],2,0)</f>
        <v>#N/A</v>
      </c>
      <c r="DA87" s="1" t="s">
        <v>123</v>
      </c>
      <c r="DE87" t="e">
        <f>VLOOKUP(AnalizaCzyste[[#This Row],[Moja satysfakcja z pracy na ocenianej uczelni jest wysoka.]],SkalaLikerta[],2,0)</f>
        <v>#N/A</v>
      </c>
      <c r="DL87" s="1" t="s">
        <v>123</v>
      </c>
      <c r="DP87" t="e">
        <f>VLOOKUP(AnalizaCzyste[[#This Row],[Moja satysfakcja z pracy na ocenianej uczelni jest wysoka.42]],SkalaLikerta[],2,0)</f>
        <v>#N/A</v>
      </c>
      <c r="DW87" s="1" t="s">
        <v>123</v>
      </c>
      <c r="EJ87" t="e">
        <f>VLOOKUP(AnalizaCzyste[[#This Row],[Ogólny poziom mojej satysfakcji z jakości usług edukacyjnych ocenianej uczelni jest wysoki.]],SkalaLikerta[],2,0)</f>
        <v>#N/A</v>
      </c>
      <c r="FA87" s="1" t="s">
        <v>123</v>
      </c>
      <c r="FB87" t="s">
        <v>180</v>
      </c>
      <c r="FC87" t="s">
        <v>132</v>
      </c>
      <c r="FF87" t="e">
        <f>VLOOKUP(AnalizaCzyste[[#This Row],[Moja satysfakcja z (efektów) usług edukacyjnych na ocenianej uczelni jest wysoka.]],SkalaLikerta[],2,0)</f>
        <v>#N/A</v>
      </c>
      <c r="GB87" s="1" t="s">
        <v>123</v>
      </c>
      <c r="GC87" t="s">
        <v>132</v>
      </c>
      <c r="GE87" t="s">
        <v>132</v>
      </c>
      <c r="GN87" t="e">
        <f>VLOOKUP(AnalizaCzyste[[#This Row],[Ogólny poziom mojej satysfakcji z jakości usług edukacyjnych ocenianej uczelni jest wysoki.32]],SkalaLikerta[],2,0)</f>
        <v>#N/A</v>
      </c>
      <c r="HK87" t="s">
        <v>707</v>
      </c>
      <c r="HL87" t="s">
        <v>708</v>
      </c>
      <c r="HM87" t="s">
        <v>709</v>
      </c>
      <c r="HN87" t="s">
        <v>140</v>
      </c>
      <c r="HO87">
        <v>1994</v>
      </c>
      <c r="HP87" t="str">
        <f>VLOOKUP(AnalizaCzyste[[#This Row],[Rok urodzenia]],KategorieWiekowe[],2,1)</f>
        <v>26–35 lat</v>
      </c>
      <c r="HQ87" t="s">
        <v>220</v>
      </c>
    </row>
    <row r="88" spans="1:229" x14ac:dyDescent="0.45">
      <c r="A88">
        <v>214</v>
      </c>
      <c r="B88">
        <f>_xlfn.IFNA(VLOOKUP(AnalizaCzyste[[#This Row],[Zakończono wypełnianie]],Zakończone[],2,0),"BRAK")</f>
        <v>117</v>
      </c>
      <c r="C88">
        <f t="shared" si="2"/>
        <v>47</v>
      </c>
      <c r="D88" t="s">
        <v>1762</v>
      </c>
      <c r="E88" t="s">
        <v>118</v>
      </c>
      <c r="J88" t="s">
        <v>119</v>
      </c>
      <c r="K88" t="s">
        <v>1763</v>
      </c>
      <c r="L88" t="s">
        <v>1764</v>
      </c>
      <c r="M88">
        <v>336</v>
      </c>
      <c r="O88">
        <v>0</v>
      </c>
      <c r="P88" t="s">
        <v>122</v>
      </c>
      <c r="Q88" s="1" t="s">
        <v>123</v>
      </c>
      <c r="V88" t="e">
        <f>VLOOKUP(AnalizaCzyste[[#This Row],[Moja satysfakcja z usług edukacyjnych ocenianej uczelni jest wysoka.]],SkalaLikerta[],2,0)</f>
        <v>#N/A</v>
      </c>
      <c r="AH88" s="1" t="s">
        <v>124</v>
      </c>
      <c r="AI88" t="s">
        <v>191</v>
      </c>
      <c r="AJ88" t="str">
        <f>VLOOKUP(AnalizaCzyste[[#This Row],[Jak się nazywa uczelnia którą ukończyłeś? (proszę o wybranie jednej uczelni podlegającej ocenie)]],KategorieUczelni[],2,0)</f>
        <v>Publiczna</v>
      </c>
      <c r="AK88" t="str">
        <f>VLOOKUP(AnalizaCzyste[[#This Row],[Jak się nazywa uczelnia którą ukończyłeś? (proszę o wybranie jednej uczelni podlegającej ocenie)]],KategorieUczelni[],3,0)</f>
        <v>Techniczna</v>
      </c>
      <c r="AL88">
        <f>COUNTIF(AnalizaCzyste[[#This Row],[Czy jesteś absolwentem uczelni wyższej?]],"*"&amp;"Tak"&amp;"*")</f>
        <v>1</v>
      </c>
      <c r="AM88">
        <v>2002</v>
      </c>
      <c r="AN88" t="s">
        <v>126</v>
      </c>
      <c r="AO88" t="s">
        <v>1176</v>
      </c>
      <c r="AP88" t="s">
        <v>129</v>
      </c>
      <c r="AQ88">
        <f>VLOOKUP(AnalizaCzyste[[#This Row],[Moja satysfakcja z (efektów) usług edukacyjnych ocenianej uczelni jest wysoka.]],SkalaLikerta[],2,0)</f>
        <v>1</v>
      </c>
      <c r="AR88" t="s">
        <v>129</v>
      </c>
      <c r="AS88" t="s">
        <v>129</v>
      </c>
      <c r="AT88" t="s">
        <v>129</v>
      </c>
      <c r="AU88" t="s">
        <v>129</v>
      </c>
      <c r="AV88" t="s">
        <v>1765</v>
      </c>
      <c r="AW88" t="s">
        <v>302</v>
      </c>
      <c r="AX88">
        <f>VLOOKUP(AnalizaCzyste[[#This Row],[w pierwszym roku po ukończeniu studiów : wybierz wartość z listy rozwijanej4]],Zarobki[],2,0)</f>
        <v>2500</v>
      </c>
      <c r="AY88" t="s">
        <v>226</v>
      </c>
      <c r="AZ88">
        <f>VLOOKUP(AnalizaCzyste[[#This Row],[w 3 lata po ukończeniu studiów : wybierz wartość z listy rozwijanej5]],Zarobki[],2,0)</f>
        <v>4500</v>
      </c>
      <c r="BB88" t="s">
        <v>1766</v>
      </c>
      <c r="BC88" t="s">
        <v>386</v>
      </c>
      <c r="BD88" t="s">
        <v>157</v>
      </c>
      <c r="BE88" t="s">
        <v>1767</v>
      </c>
      <c r="BF88" s="1" t="s">
        <v>123</v>
      </c>
      <c r="BM88" t="e">
        <f>VLOOKUP(AnalizaCzyste[[#This Row],[Moja satysfakcja z (efektów) usług edukacyjnych ocenianej uczelni jest wysoka.8]],SkalaLikerta[],2,0)</f>
        <v>#N/A</v>
      </c>
      <c r="DA88" s="1" t="s">
        <v>123</v>
      </c>
      <c r="DE88" t="e">
        <f>VLOOKUP(AnalizaCzyste[[#This Row],[Moja satysfakcja z pracy na ocenianej uczelni jest wysoka.]],SkalaLikerta[],2,0)</f>
        <v>#N/A</v>
      </c>
      <c r="DL88" s="1" t="s">
        <v>123</v>
      </c>
      <c r="DP88" t="e">
        <f>VLOOKUP(AnalizaCzyste[[#This Row],[Moja satysfakcja z pracy na ocenianej uczelni jest wysoka.42]],SkalaLikerta[],2,0)</f>
        <v>#N/A</v>
      </c>
      <c r="DW88" s="1" t="s">
        <v>123</v>
      </c>
      <c r="EJ88" t="e">
        <f>VLOOKUP(AnalizaCzyste[[#This Row],[Ogólny poziom mojej satysfakcji z jakości usług edukacyjnych ocenianej uczelni jest wysoki.]],SkalaLikerta[],2,0)</f>
        <v>#N/A</v>
      </c>
      <c r="FA88" s="1" t="s">
        <v>123</v>
      </c>
      <c r="FF88" t="e">
        <f>VLOOKUP(AnalizaCzyste[[#This Row],[Moja satysfakcja z (efektów) usług edukacyjnych na ocenianej uczelni jest wysoka.]],SkalaLikerta[],2,0)</f>
        <v>#N/A</v>
      </c>
      <c r="GB88" s="1" t="s">
        <v>123</v>
      </c>
      <c r="GN88" t="e">
        <f>VLOOKUP(AnalizaCzyste[[#This Row],[Ogólny poziom mojej satysfakcji z jakości usług edukacyjnych ocenianej uczelni jest wysoki.32]],SkalaLikerta[],2,0)</f>
        <v>#N/A</v>
      </c>
      <c r="HK88" t="s">
        <v>1768</v>
      </c>
      <c r="HL88" t="s">
        <v>1769</v>
      </c>
      <c r="HM88" t="s">
        <v>1769</v>
      </c>
      <c r="HN88" t="s">
        <v>186</v>
      </c>
      <c r="HO88">
        <v>1977</v>
      </c>
      <c r="HP88" t="str">
        <f>VLOOKUP(AnalizaCzyste[[#This Row],[Rok urodzenia]],KategorieWiekowe[],2,1)</f>
        <v>36–45 lat</v>
      </c>
      <c r="HQ88" t="s">
        <v>141</v>
      </c>
      <c r="HS88" t="s">
        <v>386</v>
      </c>
      <c r="HT88" t="s">
        <v>386</v>
      </c>
    </row>
    <row r="89" spans="1:229" x14ac:dyDescent="0.45">
      <c r="A89">
        <v>99</v>
      </c>
      <c r="B89">
        <f>_xlfn.IFNA(VLOOKUP(AnalizaCzyste[[#This Row],[Zakończono wypełnianie]],Zakończone[],2,0),"BRAK")</f>
        <v>61</v>
      </c>
      <c r="C89">
        <f t="shared" si="2"/>
        <v>45</v>
      </c>
      <c r="D89" t="s">
        <v>984</v>
      </c>
      <c r="E89" t="s">
        <v>118</v>
      </c>
      <c r="F89" t="s">
        <v>774</v>
      </c>
      <c r="J89" t="s">
        <v>119</v>
      </c>
      <c r="K89" t="s">
        <v>985</v>
      </c>
      <c r="L89" t="s">
        <v>986</v>
      </c>
      <c r="M89">
        <v>1348</v>
      </c>
      <c r="O89">
        <v>0</v>
      </c>
      <c r="P89" t="s">
        <v>122</v>
      </c>
      <c r="Q89" s="1" t="s">
        <v>123</v>
      </c>
      <c r="V89" t="e">
        <f>VLOOKUP(AnalizaCzyste[[#This Row],[Moja satysfakcja z usług edukacyjnych ocenianej uczelni jest wysoka.]],SkalaLikerta[],2,0)</f>
        <v>#N/A</v>
      </c>
      <c r="AH89" s="1" t="s">
        <v>124</v>
      </c>
      <c r="AI89" t="s">
        <v>987</v>
      </c>
      <c r="AJ89" t="str">
        <f>VLOOKUP(AnalizaCzyste[[#This Row],[Jak się nazywa uczelnia którą ukończyłeś? (proszę o wybranie jednej uczelni podlegającej ocenie)]],KategorieUczelni[],2,0)</f>
        <v>Niepubliczna</v>
      </c>
      <c r="AK89" t="str">
        <f>VLOOKUP(AnalizaCzyste[[#This Row],[Jak się nazywa uczelnia którą ukończyłeś? (proszę o wybranie jednej uczelni podlegającej ocenie)]],KategorieUczelni[],3,0)</f>
        <v>Nietechniczna</v>
      </c>
      <c r="AL89">
        <f>COUNTIF(AnalizaCzyste[[#This Row],[Czy jesteś absolwentem uczelni wyższej?]],"*"&amp;"Tak"&amp;"*")</f>
        <v>1</v>
      </c>
      <c r="AM89">
        <v>2015</v>
      </c>
      <c r="AN89" t="s">
        <v>148</v>
      </c>
      <c r="AO89" t="s">
        <v>988</v>
      </c>
      <c r="AP89" t="s">
        <v>169</v>
      </c>
      <c r="AQ89">
        <f>VLOOKUP(AnalizaCzyste[[#This Row],[Moja satysfakcja z (efektów) usług edukacyjnych ocenianej uczelni jest wysoka.]],SkalaLikerta[],2,0)</f>
        <v>7</v>
      </c>
      <c r="AR89" t="s">
        <v>150</v>
      </c>
      <c r="AS89" t="s">
        <v>151</v>
      </c>
      <c r="AT89" t="s">
        <v>151</v>
      </c>
      <c r="AU89" t="s">
        <v>151</v>
      </c>
      <c r="AV89" t="s">
        <v>883</v>
      </c>
      <c r="AW89" t="s">
        <v>131</v>
      </c>
      <c r="AX89">
        <f>VLOOKUP(AnalizaCzyste[[#This Row],[w pierwszym roku po ukończeniu studiów : wybierz wartość z listy rozwijanej4]],Zarobki[],2,0)</f>
        <v>1500</v>
      </c>
      <c r="AY89" t="s">
        <v>302</v>
      </c>
      <c r="AZ89">
        <f>VLOOKUP(AnalizaCzyste[[#This Row],[w 3 lata po ukończeniu studiów : wybierz wartość z listy rozwijanej5]],Zarobki[],2,0)</f>
        <v>2500</v>
      </c>
      <c r="BB89" t="s">
        <v>989</v>
      </c>
      <c r="BC89" t="s">
        <v>990</v>
      </c>
      <c r="BD89" t="s">
        <v>157</v>
      </c>
      <c r="BF89" s="1" t="s">
        <v>123</v>
      </c>
      <c r="BM89" t="e">
        <f>VLOOKUP(AnalizaCzyste[[#This Row],[Moja satysfakcja z (efektów) usług edukacyjnych ocenianej uczelni jest wysoka.8]],SkalaLikerta[],2,0)</f>
        <v>#N/A</v>
      </c>
      <c r="DA89" s="1" t="s">
        <v>123</v>
      </c>
      <c r="DE89" t="e">
        <f>VLOOKUP(AnalizaCzyste[[#This Row],[Moja satysfakcja z pracy na ocenianej uczelni jest wysoka.]],SkalaLikerta[],2,0)</f>
        <v>#N/A</v>
      </c>
      <c r="DL89" s="1" t="s">
        <v>123</v>
      </c>
      <c r="DP89" t="e">
        <f>VLOOKUP(AnalizaCzyste[[#This Row],[Moja satysfakcja z pracy na ocenianej uczelni jest wysoka.42]],SkalaLikerta[],2,0)</f>
        <v>#N/A</v>
      </c>
      <c r="DW89" s="1" t="s">
        <v>123</v>
      </c>
      <c r="EJ89" t="e">
        <f>VLOOKUP(AnalizaCzyste[[#This Row],[Ogólny poziom mojej satysfakcji z jakości usług edukacyjnych ocenianej uczelni jest wysoki.]],SkalaLikerta[],2,0)</f>
        <v>#N/A</v>
      </c>
      <c r="FA89" s="1" t="s">
        <v>123</v>
      </c>
      <c r="FF89" t="e">
        <f>VLOOKUP(AnalizaCzyste[[#This Row],[Moja satysfakcja z (efektów) usług edukacyjnych na ocenianej uczelni jest wysoka.]],SkalaLikerta[],2,0)</f>
        <v>#N/A</v>
      </c>
      <c r="GB89" s="1" t="s">
        <v>123</v>
      </c>
      <c r="GC89" t="s">
        <v>132</v>
      </c>
      <c r="GN89" t="e">
        <f>VLOOKUP(AnalizaCzyste[[#This Row],[Ogólny poziom mojej satysfakcji z jakości usług edukacyjnych ocenianej uczelni jest wysoki.32]],SkalaLikerta[],2,0)</f>
        <v>#N/A</v>
      </c>
      <c r="HK89" t="s">
        <v>786</v>
      </c>
      <c r="HL89" t="s">
        <v>991</v>
      </c>
      <c r="HM89" t="s">
        <v>820</v>
      </c>
      <c r="HN89" t="s">
        <v>140</v>
      </c>
      <c r="HO89">
        <v>1991</v>
      </c>
      <c r="HP89" t="str">
        <f>VLOOKUP(AnalizaCzyste[[#This Row],[Rok urodzenia]],KategorieWiekowe[],2,1)</f>
        <v>26–35 lat</v>
      </c>
      <c r="HQ89" t="s">
        <v>220</v>
      </c>
    </row>
    <row r="90" spans="1:229" x14ac:dyDescent="0.45">
      <c r="A90">
        <v>100</v>
      </c>
      <c r="B90">
        <f>_xlfn.IFNA(VLOOKUP(AnalizaCzyste[[#This Row],[Zakończono wypełnianie]],Zakończone[],2,0),"BRAK")</f>
        <v>62</v>
      </c>
      <c r="C90">
        <f t="shared" si="2"/>
        <v>51</v>
      </c>
      <c r="D90" t="s">
        <v>984</v>
      </c>
      <c r="E90" t="s">
        <v>118</v>
      </c>
      <c r="F90" t="s">
        <v>992</v>
      </c>
      <c r="J90" t="s">
        <v>119</v>
      </c>
      <c r="K90" t="s">
        <v>993</v>
      </c>
      <c r="L90" t="s">
        <v>994</v>
      </c>
      <c r="M90">
        <v>1026</v>
      </c>
      <c r="O90">
        <v>0</v>
      </c>
      <c r="P90" t="s">
        <v>122</v>
      </c>
      <c r="Q90" s="1" t="s">
        <v>123</v>
      </c>
      <c r="V90" t="e">
        <f>VLOOKUP(AnalizaCzyste[[#This Row],[Moja satysfakcja z usług edukacyjnych ocenianej uczelni jest wysoka.]],SkalaLikerta[],2,0)</f>
        <v>#N/A</v>
      </c>
      <c r="AH90" s="1" t="s">
        <v>124</v>
      </c>
      <c r="AI90" t="s">
        <v>995</v>
      </c>
      <c r="AJ90" t="str">
        <f>VLOOKUP(AnalizaCzyste[[#This Row],[Jak się nazywa uczelnia którą ukończyłeś? (proszę o wybranie jednej uczelni podlegającej ocenie)]],KategorieUczelni[],2,0)</f>
        <v>Publiczna</v>
      </c>
      <c r="AK90" t="str">
        <f>VLOOKUP(AnalizaCzyste[[#This Row],[Jak się nazywa uczelnia którą ukończyłeś? (proszę o wybranie jednej uczelni podlegającej ocenie)]],KategorieUczelni[],3,0)</f>
        <v>Nietechniczna</v>
      </c>
      <c r="AL90">
        <f>COUNTIF(AnalizaCzyste[[#This Row],[Czy jesteś absolwentem uczelni wyższej?]],"*"&amp;"Tak"&amp;"*")</f>
        <v>1</v>
      </c>
      <c r="AM90">
        <v>2010</v>
      </c>
      <c r="AN90" t="s">
        <v>148</v>
      </c>
      <c r="AO90" t="s">
        <v>429</v>
      </c>
      <c r="AP90" t="s">
        <v>169</v>
      </c>
      <c r="AQ90">
        <f>VLOOKUP(AnalizaCzyste[[#This Row],[Moja satysfakcja z (efektów) usług edukacyjnych ocenianej uczelni jest wysoka.]],SkalaLikerta[],2,0)</f>
        <v>7</v>
      </c>
      <c r="AR90" t="s">
        <v>169</v>
      </c>
      <c r="AS90" t="s">
        <v>150</v>
      </c>
      <c r="AT90" t="s">
        <v>236</v>
      </c>
      <c r="AU90" t="s">
        <v>128</v>
      </c>
      <c r="AV90" t="s">
        <v>883</v>
      </c>
      <c r="AW90" t="s">
        <v>152</v>
      </c>
      <c r="AX90">
        <f>VLOOKUP(AnalizaCzyste[[#This Row],[w pierwszym roku po ukończeniu studiów : wybierz wartość z listy rozwijanej4]],Zarobki[],2,0)</f>
        <v>500</v>
      </c>
      <c r="AY90" t="s">
        <v>131</v>
      </c>
      <c r="AZ90">
        <f>VLOOKUP(AnalizaCzyste[[#This Row],[w 3 lata po ukończeniu studiów : wybierz wartość z listy rozwijanej5]],Zarobki[],2,0)</f>
        <v>1500</v>
      </c>
      <c r="BA90" t="s">
        <v>996</v>
      </c>
      <c r="BB90" t="s">
        <v>794</v>
      </c>
      <c r="BC90" t="s">
        <v>780</v>
      </c>
      <c r="BD90" t="s">
        <v>230</v>
      </c>
      <c r="BF90" s="1" t="s">
        <v>123</v>
      </c>
      <c r="BM90" t="e">
        <f>VLOOKUP(AnalizaCzyste[[#This Row],[Moja satysfakcja z (efektów) usług edukacyjnych ocenianej uczelni jest wysoka.8]],SkalaLikerta[],2,0)</f>
        <v>#N/A</v>
      </c>
      <c r="DA90" s="1" t="s">
        <v>123</v>
      </c>
      <c r="DE90" t="e">
        <f>VLOOKUP(AnalizaCzyste[[#This Row],[Moja satysfakcja z pracy na ocenianej uczelni jest wysoka.]],SkalaLikerta[],2,0)</f>
        <v>#N/A</v>
      </c>
      <c r="DL90" s="1" t="s">
        <v>123</v>
      </c>
      <c r="DP90" t="e">
        <f>VLOOKUP(AnalizaCzyste[[#This Row],[Moja satysfakcja z pracy na ocenianej uczelni jest wysoka.42]],SkalaLikerta[],2,0)</f>
        <v>#N/A</v>
      </c>
      <c r="DW90" s="1" t="s">
        <v>123</v>
      </c>
      <c r="EJ90" t="e">
        <f>VLOOKUP(AnalizaCzyste[[#This Row],[Ogólny poziom mojej satysfakcji z jakości usług edukacyjnych ocenianej uczelni jest wysoki.]],SkalaLikerta[],2,0)</f>
        <v>#N/A</v>
      </c>
      <c r="FA90" s="1" t="s">
        <v>123</v>
      </c>
      <c r="FB90" t="s">
        <v>180</v>
      </c>
      <c r="FC90" t="s">
        <v>132</v>
      </c>
      <c r="FF90" t="e">
        <f>VLOOKUP(AnalizaCzyste[[#This Row],[Moja satysfakcja z (efektów) usług edukacyjnych na ocenianej uczelni jest wysoka.]],SkalaLikerta[],2,0)</f>
        <v>#N/A</v>
      </c>
      <c r="GB90" s="1" t="s">
        <v>123</v>
      </c>
      <c r="GC90" t="s">
        <v>132</v>
      </c>
      <c r="GE90" t="s">
        <v>132</v>
      </c>
      <c r="GN90" t="e">
        <f>VLOOKUP(AnalizaCzyste[[#This Row],[Ogólny poziom mojej satysfakcji z jakości usług edukacyjnych ocenianej uczelni jest wysoki.32]],SkalaLikerta[],2,0)</f>
        <v>#N/A</v>
      </c>
      <c r="HK90" t="s">
        <v>786</v>
      </c>
      <c r="HL90" t="s">
        <v>819</v>
      </c>
      <c r="HM90" t="s">
        <v>820</v>
      </c>
      <c r="HN90" t="s">
        <v>186</v>
      </c>
      <c r="HO90">
        <v>1986</v>
      </c>
      <c r="HP90" t="str">
        <f>VLOOKUP(AnalizaCzyste[[#This Row],[Rok urodzenia]],KategorieWiekowe[],2,1)</f>
        <v>26–35 lat</v>
      </c>
      <c r="HQ90" t="s">
        <v>483</v>
      </c>
      <c r="HS90" t="s">
        <v>386</v>
      </c>
      <c r="HT90" t="s">
        <v>386</v>
      </c>
    </row>
    <row r="91" spans="1:229" x14ac:dyDescent="0.45">
      <c r="A91">
        <v>7</v>
      </c>
      <c r="B91">
        <f>_xlfn.IFNA(VLOOKUP(AnalizaCzyste[[#This Row],[Zakończono wypełnianie]],Zakończone[],2,0),"BRAK")</f>
        <v>7</v>
      </c>
      <c r="C91">
        <f t="shared" si="2"/>
        <v>51</v>
      </c>
      <c r="D91" t="s">
        <v>259</v>
      </c>
      <c r="E91" t="s">
        <v>118</v>
      </c>
      <c r="F91" t="s">
        <v>260</v>
      </c>
      <c r="J91" t="s">
        <v>119</v>
      </c>
      <c r="K91" t="s">
        <v>261</v>
      </c>
      <c r="L91" t="s">
        <v>262</v>
      </c>
      <c r="M91">
        <v>422</v>
      </c>
      <c r="O91">
        <v>0</v>
      </c>
      <c r="P91" t="s">
        <v>122</v>
      </c>
      <c r="Q91" s="1" t="s">
        <v>123</v>
      </c>
      <c r="V91" t="e">
        <f>VLOOKUP(AnalizaCzyste[[#This Row],[Moja satysfakcja z usług edukacyjnych ocenianej uczelni jest wysoka.]],SkalaLikerta[],2,0)</f>
        <v>#N/A</v>
      </c>
      <c r="AH91" s="1" t="s">
        <v>124</v>
      </c>
      <c r="AI91" t="s">
        <v>191</v>
      </c>
      <c r="AJ91" t="str">
        <f>VLOOKUP(AnalizaCzyste[[#This Row],[Jak się nazywa uczelnia którą ukończyłeś? (proszę o wybranie jednej uczelni podlegającej ocenie)]],KategorieUczelni[],2,0)</f>
        <v>Publiczna</v>
      </c>
      <c r="AK91" t="str">
        <f>VLOOKUP(AnalizaCzyste[[#This Row],[Jak się nazywa uczelnia którą ukończyłeś? (proszę o wybranie jednej uczelni podlegającej ocenie)]],KategorieUczelni[],3,0)</f>
        <v>Techniczna</v>
      </c>
      <c r="AL91">
        <f>COUNTIF(AnalizaCzyste[[#This Row],[Czy jesteś absolwentem uczelni wyższej?]],"*"&amp;"Tak"&amp;"*")</f>
        <v>1</v>
      </c>
      <c r="AM91">
        <v>2013</v>
      </c>
      <c r="AN91" t="s">
        <v>126</v>
      </c>
      <c r="AO91" t="s">
        <v>263</v>
      </c>
      <c r="AP91" t="s">
        <v>169</v>
      </c>
      <c r="AQ91">
        <f>VLOOKUP(AnalizaCzyste[[#This Row],[Moja satysfakcja z (efektów) usług edukacyjnych ocenianej uczelni jest wysoka.]],SkalaLikerta[],2,0)</f>
        <v>7</v>
      </c>
      <c r="AR91" t="s">
        <v>150</v>
      </c>
      <c r="AS91" t="s">
        <v>169</v>
      </c>
      <c r="AT91" t="s">
        <v>169</v>
      </c>
      <c r="AU91" t="s">
        <v>169</v>
      </c>
      <c r="AV91">
        <v>4</v>
      </c>
      <c r="AW91" t="s">
        <v>153</v>
      </c>
      <c r="AX91">
        <f>VLOOKUP(AnalizaCzyste[[#This Row],[w pierwszym roku po ukończeniu studiów : wybierz wartość z listy rozwijanej4]],Zarobki[],2,0)</f>
        <v>3500</v>
      </c>
      <c r="AY91" t="s">
        <v>153</v>
      </c>
      <c r="AZ91">
        <f>VLOOKUP(AnalizaCzyste[[#This Row],[w 3 lata po ukończeniu studiów : wybierz wartość z listy rozwijanej5]],Zarobki[],2,0)</f>
        <v>3500</v>
      </c>
      <c r="BA91" t="s">
        <v>264</v>
      </c>
      <c r="BB91" t="s">
        <v>265</v>
      </c>
      <c r="BC91" t="s">
        <v>266</v>
      </c>
      <c r="BD91" t="s">
        <v>157</v>
      </c>
      <c r="BF91" s="1" t="s">
        <v>123</v>
      </c>
      <c r="BM91" t="e">
        <f>VLOOKUP(AnalizaCzyste[[#This Row],[Moja satysfakcja z (efektów) usług edukacyjnych ocenianej uczelni jest wysoka.8]],SkalaLikerta[],2,0)</f>
        <v>#N/A</v>
      </c>
      <c r="DA91" s="1" t="s">
        <v>123</v>
      </c>
      <c r="DE91" t="e">
        <f>VLOOKUP(AnalizaCzyste[[#This Row],[Moja satysfakcja z pracy na ocenianej uczelni jest wysoka.]],SkalaLikerta[],2,0)</f>
        <v>#N/A</v>
      </c>
      <c r="DL91" s="1" t="s">
        <v>123</v>
      </c>
      <c r="DP91" t="e">
        <f>VLOOKUP(AnalizaCzyste[[#This Row],[Moja satysfakcja z pracy na ocenianej uczelni jest wysoka.42]],SkalaLikerta[],2,0)</f>
        <v>#N/A</v>
      </c>
      <c r="DW91" s="1" t="s">
        <v>123</v>
      </c>
      <c r="EJ91" t="e">
        <f>VLOOKUP(AnalizaCzyste[[#This Row],[Ogólny poziom mojej satysfakcji z jakości usług edukacyjnych ocenianej uczelni jest wysoki.]],SkalaLikerta[],2,0)</f>
        <v>#N/A</v>
      </c>
      <c r="FA91" s="1" t="s">
        <v>123</v>
      </c>
      <c r="FB91" t="s">
        <v>180</v>
      </c>
      <c r="FC91" t="s">
        <v>132</v>
      </c>
      <c r="FF91" t="e">
        <f>VLOOKUP(AnalizaCzyste[[#This Row],[Moja satysfakcja z (efektów) usług edukacyjnych na ocenianej uczelni jest wysoka.]],SkalaLikerta[],2,0)</f>
        <v>#N/A</v>
      </c>
      <c r="GB91" s="1" t="s">
        <v>123</v>
      </c>
      <c r="GC91" t="s">
        <v>132</v>
      </c>
      <c r="GE91" t="s">
        <v>132</v>
      </c>
      <c r="GN91" t="e">
        <f>VLOOKUP(AnalizaCzyste[[#This Row],[Ogólny poziom mojej satysfakcji z jakości usług edukacyjnych ocenianej uczelni jest wysoki.32]],SkalaLikerta[],2,0)</f>
        <v>#N/A</v>
      </c>
      <c r="HK91" t="s">
        <v>267</v>
      </c>
      <c r="HL91" t="s">
        <v>267</v>
      </c>
      <c r="HM91" t="s">
        <v>267</v>
      </c>
      <c r="HN91" t="s">
        <v>186</v>
      </c>
      <c r="HO91">
        <v>1988</v>
      </c>
      <c r="HP91" t="str">
        <f>VLOOKUP(AnalizaCzyste[[#This Row],[Rok urodzenia]],KategorieWiekowe[],2,1)</f>
        <v>26–35 lat</v>
      </c>
      <c r="HQ91" t="s">
        <v>220</v>
      </c>
      <c r="HS91" t="s">
        <v>268</v>
      </c>
      <c r="HT91" t="s">
        <v>268</v>
      </c>
    </row>
    <row r="92" spans="1:229" x14ac:dyDescent="0.45">
      <c r="A92">
        <v>198</v>
      </c>
      <c r="B92">
        <f>_xlfn.IFNA(VLOOKUP(AnalizaCzyste[[#This Row],[Zakończono wypełnianie]],Zakończone[],2,0),"BRAK")</f>
        <v>113</v>
      </c>
      <c r="C92">
        <f t="shared" si="2"/>
        <v>45</v>
      </c>
      <c r="D92" t="s">
        <v>1674</v>
      </c>
      <c r="E92" t="s">
        <v>118</v>
      </c>
      <c r="J92" t="s">
        <v>119</v>
      </c>
      <c r="K92" t="s">
        <v>1675</v>
      </c>
      <c r="L92" t="s">
        <v>1676</v>
      </c>
      <c r="M92">
        <v>445</v>
      </c>
      <c r="O92">
        <v>0</v>
      </c>
      <c r="P92" t="s">
        <v>122</v>
      </c>
      <c r="Q92" s="1" t="s">
        <v>123</v>
      </c>
      <c r="V92" t="e">
        <f>VLOOKUP(AnalizaCzyste[[#This Row],[Moja satysfakcja z usług edukacyjnych ocenianej uczelni jest wysoka.]],SkalaLikerta[],2,0)</f>
        <v>#N/A</v>
      </c>
      <c r="AH92" s="1" t="s">
        <v>124</v>
      </c>
      <c r="AI92" t="s">
        <v>191</v>
      </c>
      <c r="AJ92" t="str">
        <f>VLOOKUP(AnalizaCzyste[[#This Row],[Jak się nazywa uczelnia którą ukończyłeś? (proszę o wybranie jednej uczelni podlegającej ocenie)]],KategorieUczelni[],2,0)</f>
        <v>Publiczna</v>
      </c>
      <c r="AK92" t="str">
        <f>VLOOKUP(AnalizaCzyste[[#This Row],[Jak się nazywa uczelnia którą ukończyłeś? (proszę o wybranie jednej uczelni podlegającej ocenie)]],KategorieUczelni[],3,0)</f>
        <v>Techniczna</v>
      </c>
      <c r="AL92">
        <f>COUNTIF(AnalizaCzyste[[#This Row],[Czy jesteś absolwentem uczelni wyższej?]],"*"&amp;"Tak"&amp;"*")</f>
        <v>1</v>
      </c>
      <c r="AM92">
        <v>2014</v>
      </c>
      <c r="AN92" t="s">
        <v>126</v>
      </c>
      <c r="AO92" t="s">
        <v>192</v>
      </c>
      <c r="AP92" t="s">
        <v>169</v>
      </c>
      <c r="AQ92">
        <f>VLOOKUP(AnalizaCzyste[[#This Row],[Moja satysfakcja z (efektów) usług edukacyjnych ocenianej uczelni jest wysoka.]],SkalaLikerta[],2,0)</f>
        <v>7</v>
      </c>
      <c r="AR92" t="s">
        <v>169</v>
      </c>
      <c r="AS92" t="s">
        <v>162</v>
      </c>
      <c r="AT92" t="s">
        <v>151</v>
      </c>
      <c r="AU92" t="s">
        <v>151</v>
      </c>
      <c r="AV92" t="s">
        <v>237</v>
      </c>
      <c r="AW92" t="s">
        <v>226</v>
      </c>
      <c r="AX92">
        <f>VLOOKUP(AnalizaCzyste[[#This Row],[w pierwszym roku po ukończeniu studiów : wybierz wartość z listy rozwijanej4]],Zarobki[],2,0)</f>
        <v>4500</v>
      </c>
      <c r="AY92" t="s">
        <v>1428</v>
      </c>
      <c r="AZ92">
        <f>VLOOKUP(AnalizaCzyste[[#This Row],[w 3 lata po ukończeniu studiów : wybierz wartość z listy rozwijanej5]],Zarobki[],2,0)</f>
        <v>6500</v>
      </c>
      <c r="BA92" t="s">
        <v>1677</v>
      </c>
      <c r="BB92" t="s">
        <v>1678</v>
      </c>
      <c r="BC92" t="s">
        <v>1679</v>
      </c>
      <c r="BD92" t="s">
        <v>157</v>
      </c>
      <c r="BF92" s="1" t="s">
        <v>123</v>
      </c>
      <c r="BM92" t="e">
        <f>VLOOKUP(AnalizaCzyste[[#This Row],[Moja satysfakcja z (efektów) usług edukacyjnych ocenianej uczelni jest wysoka.8]],SkalaLikerta[],2,0)</f>
        <v>#N/A</v>
      </c>
      <c r="DA92" s="1" t="s">
        <v>123</v>
      </c>
      <c r="DE92" t="e">
        <f>VLOOKUP(AnalizaCzyste[[#This Row],[Moja satysfakcja z pracy na ocenianej uczelni jest wysoka.]],SkalaLikerta[],2,0)</f>
        <v>#N/A</v>
      </c>
      <c r="DL92" s="1" t="s">
        <v>123</v>
      </c>
      <c r="DP92" t="e">
        <f>VLOOKUP(AnalizaCzyste[[#This Row],[Moja satysfakcja z pracy na ocenianej uczelni jest wysoka.42]],SkalaLikerta[],2,0)</f>
        <v>#N/A</v>
      </c>
      <c r="DW92" s="1" t="s">
        <v>123</v>
      </c>
      <c r="EJ92" t="e">
        <f>VLOOKUP(AnalizaCzyste[[#This Row],[Ogólny poziom mojej satysfakcji z jakości usług edukacyjnych ocenianej uczelni jest wysoki.]],SkalaLikerta[],2,0)</f>
        <v>#N/A</v>
      </c>
      <c r="FA92" s="1" t="s">
        <v>123</v>
      </c>
      <c r="FF92" t="e">
        <f>VLOOKUP(AnalizaCzyste[[#This Row],[Moja satysfakcja z (efektów) usług edukacyjnych na ocenianej uczelni jest wysoka.]],SkalaLikerta[],2,0)</f>
        <v>#N/A</v>
      </c>
      <c r="GB92" s="1" t="s">
        <v>123</v>
      </c>
      <c r="GN92" t="e">
        <f>VLOOKUP(AnalizaCzyste[[#This Row],[Ogólny poziom mojej satysfakcji z jakości usług edukacyjnych ocenianej uczelni jest wysoki.32]],SkalaLikerta[],2,0)</f>
        <v>#N/A</v>
      </c>
      <c r="HK92" t="s">
        <v>532</v>
      </c>
      <c r="HL92" t="s">
        <v>1680</v>
      </c>
      <c r="HM92" t="s">
        <v>1681</v>
      </c>
      <c r="HN92" t="s">
        <v>186</v>
      </c>
      <c r="HO92">
        <v>1984</v>
      </c>
      <c r="HP92" t="str">
        <f>VLOOKUP(AnalizaCzyste[[#This Row],[Rok urodzenia]],KategorieWiekowe[],2,1)</f>
        <v>36–45 lat</v>
      </c>
      <c r="HQ92" t="s">
        <v>398</v>
      </c>
    </row>
    <row r="93" spans="1:229" x14ac:dyDescent="0.45">
      <c r="A93">
        <v>13</v>
      </c>
      <c r="B93">
        <f>_xlfn.IFNA(VLOOKUP(AnalizaCzyste[[#This Row],[Zakończono wypełnianie]],Zakończone[],2,0),"BRAK")</f>
        <v>12</v>
      </c>
      <c r="C93">
        <f t="shared" si="2"/>
        <v>49</v>
      </c>
      <c r="D93" t="s">
        <v>326</v>
      </c>
      <c r="E93" t="s">
        <v>118</v>
      </c>
      <c r="J93" t="s">
        <v>119</v>
      </c>
      <c r="K93" t="s">
        <v>327</v>
      </c>
      <c r="L93" t="s">
        <v>328</v>
      </c>
      <c r="M93">
        <v>1387173</v>
      </c>
      <c r="O93">
        <v>0</v>
      </c>
      <c r="P93" t="s">
        <v>122</v>
      </c>
      <c r="Q93" s="1" t="s">
        <v>123</v>
      </c>
      <c r="V93" t="e">
        <f>VLOOKUP(AnalizaCzyste[[#This Row],[Moja satysfakcja z usług edukacyjnych ocenianej uczelni jest wysoka.]],SkalaLikerta[],2,0)</f>
        <v>#N/A</v>
      </c>
      <c r="AH93" s="1" t="s">
        <v>124</v>
      </c>
      <c r="AI93" t="s">
        <v>191</v>
      </c>
      <c r="AJ93" t="str">
        <f>VLOOKUP(AnalizaCzyste[[#This Row],[Jak się nazywa uczelnia którą ukończyłeś? (proszę o wybranie jednej uczelni podlegającej ocenie)]],KategorieUczelni[],2,0)</f>
        <v>Publiczna</v>
      </c>
      <c r="AK93" t="str">
        <f>VLOOKUP(AnalizaCzyste[[#This Row],[Jak się nazywa uczelnia którą ukończyłeś? (proszę o wybranie jednej uczelni podlegającej ocenie)]],KategorieUczelni[],3,0)</f>
        <v>Techniczna</v>
      </c>
      <c r="AL93">
        <f>COUNTIF(AnalizaCzyste[[#This Row],[Czy jesteś absolwentem uczelni wyższej?]],"*"&amp;"Tak"&amp;"*")</f>
        <v>1</v>
      </c>
      <c r="AM93">
        <v>2011</v>
      </c>
      <c r="AN93" t="s">
        <v>126</v>
      </c>
      <c r="AO93" t="s">
        <v>330</v>
      </c>
      <c r="AP93" t="s">
        <v>169</v>
      </c>
      <c r="AQ93">
        <f>VLOOKUP(AnalizaCzyste[[#This Row],[Moja satysfakcja z (efektów) usług edukacyjnych ocenianej uczelni jest wysoka.]],SkalaLikerta[],2,0)</f>
        <v>7</v>
      </c>
      <c r="AR93" t="s">
        <v>169</v>
      </c>
      <c r="AS93" t="s">
        <v>150</v>
      </c>
      <c r="AT93" t="s">
        <v>162</v>
      </c>
      <c r="AU93" t="s">
        <v>169</v>
      </c>
      <c r="AV93" t="s">
        <v>331</v>
      </c>
      <c r="AW93" t="s">
        <v>302</v>
      </c>
      <c r="AX93">
        <f>VLOOKUP(AnalizaCzyste[[#This Row],[w pierwszym roku po ukończeniu studiów : wybierz wartość z listy rozwijanej4]],Zarobki[],2,0)</f>
        <v>2500</v>
      </c>
      <c r="AY93" t="s">
        <v>226</v>
      </c>
      <c r="AZ93">
        <f>VLOOKUP(AnalizaCzyste[[#This Row],[w 3 lata po ukończeniu studiów : wybierz wartość z listy rozwijanej5]],Zarobki[],2,0)</f>
        <v>4500</v>
      </c>
      <c r="BA93" t="s">
        <v>332</v>
      </c>
      <c r="BB93" t="s">
        <v>333</v>
      </c>
      <c r="BC93" t="s">
        <v>334</v>
      </c>
      <c r="BD93" t="s">
        <v>157</v>
      </c>
      <c r="BE93" t="s">
        <v>335</v>
      </c>
      <c r="BF93" s="1" t="s">
        <v>123</v>
      </c>
      <c r="BM93" t="e">
        <f>VLOOKUP(AnalizaCzyste[[#This Row],[Moja satysfakcja z (efektów) usług edukacyjnych ocenianej uczelni jest wysoka.8]],SkalaLikerta[],2,0)</f>
        <v>#N/A</v>
      </c>
      <c r="DA93" s="1" t="s">
        <v>123</v>
      </c>
      <c r="DE93" t="e">
        <f>VLOOKUP(AnalizaCzyste[[#This Row],[Moja satysfakcja z pracy na ocenianej uczelni jest wysoka.]],SkalaLikerta[],2,0)</f>
        <v>#N/A</v>
      </c>
      <c r="DL93" s="1" t="s">
        <v>123</v>
      </c>
      <c r="DP93" t="e">
        <f>VLOOKUP(AnalizaCzyste[[#This Row],[Moja satysfakcja z pracy na ocenianej uczelni jest wysoka.42]],SkalaLikerta[],2,0)</f>
        <v>#N/A</v>
      </c>
      <c r="DW93" s="1" t="s">
        <v>123</v>
      </c>
      <c r="EJ93" t="e">
        <f>VLOOKUP(AnalizaCzyste[[#This Row],[Ogólny poziom mojej satysfakcji z jakości usług edukacyjnych ocenianej uczelni jest wysoki.]],SkalaLikerta[],2,0)</f>
        <v>#N/A</v>
      </c>
      <c r="FA93" s="1" t="s">
        <v>123</v>
      </c>
      <c r="FF93" t="e">
        <f>VLOOKUP(AnalizaCzyste[[#This Row],[Moja satysfakcja z (efektów) usług edukacyjnych na ocenianej uczelni jest wysoka.]],SkalaLikerta[],2,0)</f>
        <v>#N/A</v>
      </c>
      <c r="GB93" s="1" t="s">
        <v>123</v>
      </c>
      <c r="GC93" t="s">
        <v>132</v>
      </c>
      <c r="GN93" t="e">
        <f>VLOOKUP(AnalizaCzyste[[#This Row],[Ogólny poziom mojej satysfakcji z jakości usług edukacyjnych ocenianej uczelni jest wysoki.32]],SkalaLikerta[],2,0)</f>
        <v>#N/A</v>
      </c>
      <c r="HK93" t="s">
        <v>336</v>
      </c>
      <c r="HL93" t="s">
        <v>337</v>
      </c>
      <c r="HM93" t="s">
        <v>338</v>
      </c>
      <c r="HN93" t="s">
        <v>186</v>
      </c>
      <c r="HO93">
        <v>1987</v>
      </c>
      <c r="HP93" t="str">
        <f>VLOOKUP(AnalizaCzyste[[#This Row],[Rok urodzenia]],KategorieWiekowe[],2,1)</f>
        <v>26–35 lat</v>
      </c>
      <c r="HQ93" t="s">
        <v>246</v>
      </c>
      <c r="HS93" t="s">
        <v>339</v>
      </c>
      <c r="HT93" t="s">
        <v>340</v>
      </c>
    </row>
    <row r="94" spans="1:229" x14ac:dyDescent="0.45">
      <c r="A94">
        <v>159</v>
      </c>
      <c r="B94">
        <f>_xlfn.IFNA(VLOOKUP(AnalizaCzyste[[#This Row],[Zakończono wypełnianie]],Zakończone[],2,0),"BRAK")</f>
        <v>92</v>
      </c>
      <c r="C94">
        <f t="shared" si="2"/>
        <v>47</v>
      </c>
      <c r="D94" t="s">
        <v>1412</v>
      </c>
      <c r="E94" t="s">
        <v>118</v>
      </c>
      <c r="J94" t="s">
        <v>119</v>
      </c>
      <c r="K94" t="s">
        <v>1413</v>
      </c>
      <c r="L94" t="s">
        <v>1414</v>
      </c>
      <c r="M94">
        <v>1007</v>
      </c>
      <c r="O94">
        <v>0</v>
      </c>
      <c r="P94" t="s">
        <v>122</v>
      </c>
      <c r="Q94" s="1" t="s">
        <v>123</v>
      </c>
      <c r="V94" t="e">
        <f>VLOOKUP(AnalizaCzyste[[#This Row],[Moja satysfakcja z usług edukacyjnych ocenianej uczelni jest wysoka.]],SkalaLikerta[],2,0)</f>
        <v>#N/A</v>
      </c>
      <c r="AH94" s="1" t="s">
        <v>124</v>
      </c>
      <c r="AI94" t="s">
        <v>1415</v>
      </c>
      <c r="AJ94" t="str">
        <f>VLOOKUP(AnalizaCzyste[[#This Row],[Jak się nazywa uczelnia którą ukończyłeś? (proszę o wybranie jednej uczelni podlegającej ocenie)]],KategorieUczelni[],2,0)</f>
        <v>Publiczna</v>
      </c>
      <c r="AK94" t="str">
        <f>VLOOKUP(AnalizaCzyste[[#This Row],[Jak się nazywa uczelnia którą ukończyłeś? (proszę o wybranie jednej uczelni podlegającej ocenie)]],KategorieUczelni[],3,0)</f>
        <v>Techniczna</v>
      </c>
      <c r="AL94">
        <f>COUNTIF(AnalizaCzyste[[#This Row],[Czy jesteś absolwentem uczelni wyższej?]],"*"&amp;"Tak"&amp;"*")</f>
        <v>1</v>
      </c>
      <c r="AM94">
        <v>2006</v>
      </c>
      <c r="AN94" t="s">
        <v>148</v>
      </c>
      <c r="AO94" t="s">
        <v>263</v>
      </c>
      <c r="AP94" t="s">
        <v>169</v>
      </c>
      <c r="AQ94">
        <f>VLOOKUP(AnalizaCzyste[[#This Row],[Moja satysfakcja z (efektów) usług edukacyjnych ocenianej uczelni jest wysoka.]],SkalaLikerta[],2,0)</f>
        <v>7</v>
      </c>
      <c r="AR94" t="s">
        <v>169</v>
      </c>
      <c r="AS94" t="s">
        <v>169</v>
      </c>
      <c r="AT94" t="s">
        <v>150</v>
      </c>
      <c r="AU94" t="s">
        <v>169</v>
      </c>
      <c r="AV94" t="s">
        <v>1416</v>
      </c>
      <c r="AW94" t="s">
        <v>131</v>
      </c>
      <c r="AX94">
        <f>VLOOKUP(AnalizaCzyste[[#This Row],[w pierwszym roku po ukończeniu studiów : wybierz wartość z listy rozwijanej4]],Zarobki[],2,0)</f>
        <v>1500</v>
      </c>
      <c r="AY94" t="s">
        <v>153</v>
      </c>
      <c r="AZ94">
        <f>VLOOKUP(AnalizaCzyste[[#This Row],[w 3 lata po ukończeniu studiów : wybierz wartość z listy rozwijanej5]],Zarobki[],2,0)</f>
        <v>3500</v>
      </c>
      <c r="BA94" t="s">
        <v>1417</v>
      </c>
      <c r="BB94" t="s">
        <v>1418</v>
      </c>
      <c r="BC94" t="s">
        <v>1419</v>
      </c>
      <c r="BE94" t="s">
        <v>1420</v>
      </c>
      <c r="BF94" s="1" t="s">
        <v>123</v>
      </c>
      <c r="BM94" t="e">
        <f>VLOOKUP(AnalizaCzyste[[#This Row],[Moja satysfakcja z (efektów) usług edukacyjnych ocenianej uczelni jest wysoka.8]],SkalaLikerta[],2,0)</f>
        <v>#N/A</v>
      </c>
      <c r="DA94" s="1" t="s">
        <v>123</v>
      </c>
      <c r="DE94" t="e">
        <f>VLOOKUP(AnalizaCzyste[[#This Row],[Moja satysfakcja z pracy na ocenianej uczelni jest wysoka.]],SkalaLikerta[],2,0)</f>
        <v>#N/A</v>
      </c>
      <c r="DL94" s="1" t="s">
        <v>123</v>
      </c>
      <c r="DP94" t="e">
        <f>VLOOKUP(AnalizaCzyste[[#This Row],[Moja satysfakcja z pracy na ocenianej uczelni jest wysoka.42]],SkalaLikerta[],2,0)</f>
        <v>#N/A</v>
      </c>
      <c r="DW94" s="1" t="s">
        <v>123</v>
      </c>
      <c r="EJ94" t="e">
        <f>VLOOKUP(AnalizaCzyste[[#This Row],[Ogólny poziom mojej satysfakcji z jakości usług edukacyjnych ocenianej uczelni jest wysoki.]],SkalaLikerta[],2,0)</f>
        <v>#N/A</v>
      </c>
      <c r="FA94" s="1" t="s">
        <v>123</v>
      </c>
      <c r="FF94" t="e">
        <f>VLOOKUP(AnalizaCzyste[[#This Row],[Moja satysfakcja z (efektów) usług edukacyjnych na ocenianej uczelni jest wysoka.]],SkalaLikerta[],2,0)</f>
        <v>#N/A</v>
      </c>
      <c r="GB94" s="1" t="s">
        <v>123</v>
      </c>
      <c r="GN94" t="e">
        <f>VLOOKUP(AnalizaCzyste[[#This Row],[Ogólny poziom mojej satysfakcji z jakości usług edukacyjnych ocenianej uczelni jest wysoki.32]],SkalaLikerta[],2,0)</f>
        <v>#N/A</v>
      </c>
      <c r="HK94" t="s">
        <v>1421</v>
      </c>
      <c r="HL94" t="s">
        <v>1422</v>
      </c>
      <c r="HM94" t="s">
        <v>142</v>
      </c>
      <c r="HN94" t="s">
        <v>140</v>
      </c>
      <c r="HO94">
        <v>1983</v>
      </c>
      <c r="HP94" t="str">
        <f>VLOOKUP(AnalizaCzyste[[#This Row],[Rok urodzenia]],KategorieWiekowe[],2,1)</f>
        <v>36–45 lat</v>
      </c>
      <c r="HQ94" t="s">
        <v>141</v>
      </c>
      <c r="HS94" t="s">
        <v>1423</v>
      </c>
      <c r="HT94" t="s">
        <v>132</v>
      </c>
    </row>
    <row r="95" spans="1:229" x14ac:dyDescent="0.45">
      <c r="A95">
        <v>169</v>
      </c>
      <c r="B95">
        <f>_xlfn.IFNA(VLOOKUP(AnalizaCzyste[[#This Row],[Zakończono wypełnianie]],Zakończone[],2,0),"BRAK")</f>
        <v>97</v>
      </c>
      <c r="C95">
        <f t="shared" si="2"/>
        <v>47</v>
      </c>
      <c r="D95" t="s">
        <v>1352</v>
      </c>
      <c r="E95" t="s">
        <v>118</v>
      </c>
      <c r="J95" t="s">
        <v>119</v>
      </c>
      <c r="K95" t="s">
        <v>1470</v>
      </c>
      <c r="L95" t="s">
        <v>1471</v>
      </c>
      <c r="M95">
        <v>495</v>
      </c>
      <c r="O95">
        <v>0</v>
      </c>
      <c r="P95" t="s">
        <v>122</v>
      </c>
      <c r="Q95" s="1" t="s">
        <v>123</v>
      </c>
      <c r="V95" t="e">
        <f>VLOOKUP(AnalizaCzyste[[#This Row],[Moja satysfakcja z usług edukacyjnych ocenianej uczelni jest wysoka.]],SkalaLikerta[],2,0)</f>
        <v>#N/A</v>
      </c>
      <c r="AH95" s="1" t="s">
        <v>124</v>
      </c>
      <c r="AI95" t="s">
        <v>1472</v>
      </c>
      <c r="AJ95" t="str">
        <f>VLOOKUP(AnalizaCzyste[[#This Row],[Jak się nazywa uczelnia którą ukończyłeś? (proszę o wybranie jednej uczelni podlegającej ocenie)]],KategorieUczelni[],2,0)</f>
        <v>Publiczna</v>
      </c>
      <c r="AK95" t="str">
        <f>VLOOKUP(AnalizaCzyste[[#This Row],[Jak się nazywa uczelnia którą ukończyłeś? (proszę o wybranie jednej uczelni podlegającej ocenie)]],KategorieUczelni[],3,0)</f>
        <v>Nietechniczna</v>
      </c>
      <c r="AL95">
        <f>COUNTIF(AnalizaCzyste[[#This Row],[Czy jesteś absolwentem uczelni wyższej?]],"*"&amp;"Tak"&amp;"*")</f>
        <v>1</v>
      </c>
      <c r="AN95" t="s">
        <v>148</v>
      </c>
      <c r="AO95" t="s">
        <v>1474</v>
      </c>
      <c r="AP95" t="s">
        <v>169</v>
      </c>
      <c r="AQ95">
        <f>VLOOKUP(AnalizaCzyste[[#This Row],[Moja satysfakcja z (efektów) usług edukacyjnych ocenianej uczelni jest wysoka.]],SkalaLikerta[],2,0)</f>
        <v>7</v>
      </c>
      <c r="AR95" t="s">
        <v>169</v>
      </c>
      <c r="AS95" t="s">
        <v>151</v>
      </c>
      <c r="AT95" t="s">
        <v>162</v>
      </c>
      <c r="AU95" t="s">
        <v>162</v>
      </c>
      <c r="AV95" t="s">
        <v>1475</v>
      </c>
      <c r="AW95" t="s">
        <v>132</v>
      </c>
      <c r="AX95" t="str">
        <f>VLOOKUP(AnalizaCzyste[[#This Row],[w pierwszym roku po ukończeniu studiów : wybierz wartość z listy rozwijanej4]],Zarobki[],2,0)</f>
        <v>N/D</v>
      </c>
      <c r="AY95" t="s">
        <v>132</v>
      </c>
      <c r="AZ95" t="str">
        <f>VLOOKUP(AnalizaCzyste[[#This Row],[w 3 lata po ukończeniu studiów : wybierz wartość z listy rozwijanej5]],Zarobki[],2,0)</f>
        <v>N/D</v>
      </c>
      <c r="BA95" t="s">
        <v>1476</v>
      </c>
      <c r="BB95" t="s">
        <v>1477</v>
      </c>
      <c r="BC95" t="s">
        <v>1473</v>
      </c>
      <c r="BD95" t="s">
        <v>157</v>
      </c>
      <c r="BF95" s="1" t="s">
        <v>123</v>
      </c>
      <c r="BM95" t="e">
        <f>VLOOKUP(AnalizaCzyste[[#This Row],[Moja satysfakcja z (efektów) usług edukacyjnych ocenianej uczelni jest wysoka.8]],SkalaLikerta[],2,0)</f>
        <v>#N/A</v>
      </c>
      <c r="DA95" s="1" t="s">
        <v>123</v>
      </c>
      <c r="DE95" t="e">
        <f>VLOOKUP(AnalizaCzyste[[#This Row],[Moja satysfakcja z pracy na ocenianej uczelni jest wysoka.]],SkalaLikerta[],2,0)</f>
        <v>#N/A</v>
      </c>
      <c r="DL95" s="1" t="s">
        <v>123</v>
      </c>
      <c r="DP95" t="e">
        <f>VLOOKUP(AnalizaCzyste[[#This Row],[Moja satysfakcja z pracy na ocenianej uczelni jest wysoka.42]],SkalaLikerta[],2,0)</f>
        <v>#N/A</v>
      </c>
      <c r="DW95" s="1" t="s">
        <v>123</v>
      </c>
      <c r="EJ95" t="e">
        <f>VLOOKUP(AnalizaCzyste[[#This Row],[Ogólny poziom mojej satysfakcji z jakości usług edukacyjnych ocenianej uczelni jest wysoki.]],SkalaLikerta[],2,0)</f>
        <v>#N/A</v>
      </c>
      <c r="FA95" s="1" t="s">
        <v>123</v>
      </c>
      <c r="FF95" t="e">
        <f>VLOOKUP(AnalizaCzyste[[#This Row],[Moja satysfakcja z (efektów) usług edukacyjnych na ocenianej uczelni jest wysoka.]],SkalaLikerta[],2,0)</f>
        <v>#N/A</v>
      </c>
      <c r="GB95" s="1" t="s">
        <v>123</v>
      </c>
      <c r="GN95" t="e">
        <f>VLOOKUP(AnalizaCzyste[[#This Row],[Ogólny poziom mojej satysfakcji z jakości usług edukacyjnych ocenianej uczelni jest wysoki.32]],SkalaLikerta[],2,0)</f>
        <v>#N/A</v>
      </c>
      <c r="HK95" t="s">
        <v>1478</v>
      </c>
      <c r="HL95" t="s">
        <v>1478</v>
      </c>
      <c r="HM95" t="s">
        <v>1473</v>
      </c>
      <c r="HN95" t="s">
        <v>140</v>
      </c>
      <c r="HO95" t="s">
        <v>1473</v>
      </c>
      <c r="HP95" t="e">
        <f>VLOOKUP(AnalizaCzyste[[#This Row],[Rok urodzenia]],KategorieWiekowe[],2,1)</f>
        <v>#N/A</v>
      </c>
      <c r="HQ95" t="s">
        <v>398</v>
      </c>
      <c r="HS95" t="s">
        <v>1479</v>
      </c>
      <c r="HT95" t="s">
        <v>1473</v>
      </c>
      <c r="HU95" t="s">
        <v>1473</v>
      </c>
    </row>
    <row r="96" spans="1:229" x14ac:dyDescent="0.45">
      <c r="A96">
        <v>63</v>
      </c>
      <c r="B96">
        <f>_xlfn.IFNA(VLOOKUP(AnalizaCzyste[[#This Row],[Zakończono wypełnianie]],Zakończone[],2,0),"BRAK")</f>
        <v>37</v>
      </c>
      <c r="C96">
        <f t="shared" si="2"/>
        <v>51</v>
      </c>
      <c r="D96" t="s">
        <v>679</v>
      </c>
      <c r="E96" t="s">
        <v>118</v>
      </c>
      <c r="F96" t="s">
        <v>359</v>
      </c>
      <c r="J96" t="s">
        <v>119</v>
      </c>
      <c r="K96" t="s">
        <v>680</v>
      </c>
      <c r="L96" t="s">
        <v>681</v>
      </c>
      <c r="M96">
        <v>770</v>
      </c>
      <c r="O96">
        <v>0</v>
      </c>
      <c r="P96" t="s">
        <v>122</v>
      </c>
      <c r="Q96" s="1" t="s">
        <v>123</v>
      </c>
      <c r="V96" t="e">
        <f>VLOOKUP(AnalizaCzyste[[#This Row],[Moja satysfakcja z usług edukacyjnych ocenianej uczelni jest wysoka.]],SkalaLikerta[],2,0)</f>
        <v>#N/A</v>
      </c>
      <c r="AH96" s="1" t="s">
        <v>124</v>
      </c>
      <c r="AI96" s="20" t="s">
        <v>445</v>
      </c>
      <c r="AJ96" s="20" t="str">
        <f>VLOOKUP(AnalizaCzyste[[#This Row],[Jak się nazywa uczelnia którą ukończyłeś? (proszę o wybranie jednej uczelni podlegającej ocenie)]],KategorieUczelni[],2,0)</f>
        <v>Publiczna</v>
      </c>
      <c r="AK96" s="20" t="str">
        <f>VLOOKUP(AnalizaCzyste[[#This Row],[Jak się nazywa uczelnia którą ukończyłeś? (proszę o wybranie jednej uczelni podlegającej ocenie)]],KategorieUczelni[],3,0)</f>
        <v>Nietechniczna</v>
      </c>
      <c r="AL96" s="20">
        <f>COUNTIF(AnalizaCzyste[[#This Row],[Czy jesteś absolwentem uczelni wyższej?]],"*"&amp;"Tak"&amp;"*")</f>
        <v>1</v>
      </c>
      <c r="AM96">
        <v>2017</v>
      </c>
      <c r="AN96" t="s">
        <v>148</v>
      </c>
      <c r="AO96" t="s">
        <v>601</v>
      </c>
      <c r="AP96" t="s">
        <v>169</v>
      </c>
      <c r="AQ96">
        <f>VLOOKUP(AnalizaCzyste[[#This Row],[Moja satysfakcja z (efektów) usług edukacyjnych ocenianej uczelni jest wysoka.]],SkalaLikerta[],2,0)</f>
        <v>7</v>
      </c>
      <c r="AR96" t="s">
        <v>169</v>
      </c>
      <c r="AS96" t="s">
        <v>150</v>
      </c>
      <c r="AT96" t="s">
        <v>236</v>
      </c>
      <c r="AU96" t="s">
        <v>169</v>
      </c>
      <c r="AV96" t="s">
        <v>683</v>
      </c>
      <c r="AW96" t="s">
        <v>131</v>
      </c>
      <c r="AX96">
        <f>VLOOKUP(AnalizaCzyste[[#This Row],[w pierwszym roku po ukończeniu studiów : wybierz wartość z listy rozwijanej4]],Zarobki[],2,0)</f>
        <v>1500</v>
      </c>
      <c r="AY96" t="s">
        <v>153</v>
      </c>
      <c r="AZ96">
        <f>VLOOKUP(AnalizaCzyste[[#This Row],[w 3 lata po ukończeniu studiów : wybierz wartość z listy rozwijanej5]],Zarobki[],2,0)</f>
        <v>3500</v>
      </c>
      <c r="BA96" t="s">
        <v>684</v>
      </c>
      <c r="BB96" t="s">
        <v>685</v>
      </c>
      <c r="BC96" t="s">
        <v>686</v>
      </c>
      <c r="BD96" t="s">
        <v>157</v>
      </c>
      <c r="BF96" s="1" t="s">
        <v>123</v>
      </c>
      <c r="BM96" t="e">
        <f>VLOOKUP(AnalizaCzyste[[#This Row],[Moja satysfakcja z (efektów) usług edukacyjnych ocenianej uczelni jest wysoka.8]],SkalaLikerta[],2,0)</f>
        <v>#N/A</v>
      </c>
      <c r="DA96" s="1" t="s">
        <v>123</v>
      </c>
      <c r="DE96" t="e">
        <f>VLOOKUP(AnalizaCzyste[[#This Row],[Moja satysfakcja z pracy na ocenianej uczelni jest wysoka.]],SkalaLikerta[],2,0)</f>
        <v>#N/A</v>
      </c>
      <c r="DL96" s="1" t="s">
        <v>123</v>
      </c>
      <c r="DP96" t="e">
        <f>VLOOKUP(AnalizaCzyste[[#This Row],[Moja satysfakcja z pracy na ocenianej uczelni jest wysoka.42]],SkalaLikerta[],2,0)</f>
        <v>#N/A</v>
      </c>
      <c r="DW96" s="1" t="s">
        <v>123</v>
      </c>
      <c r="EJ96" t="e">
        <f>VLOOKUP(AnalizaCzyste[[#This Row],[Ogólny poziom mojej satysfakcji z jakości usług edukacyjnych ocenianej uczelni jest wysoki.]],SkalaLikerta[],2,0)</f>
        <v>#N/A</v>
      </c>
      <c r="FA96" s="1" t="s">
        <v>123</v>
      </c>
      <c r="FB96" t="s">
        <v>180</v>
      </c>
      <c r="FC96" t="s">
        <v>132</v>
      </c>
      <c r="FF96" t="e">
        <f>VLOOKUP(AnalizaCzyste[[#This Row],[Moja satysfakcja z (efektów) usług edukacyjnych na ocenianej uczelni jest wysoka.]],SkalaLikerta[],2,0)</f>
        <v>#N/A</v>
      </c>
      <c r="GB96" s="1" t="s">
        <v>123</v>
      </c>
      <c r="GC96" t="s">
        <v>132</v>
      </c>
      <c r="GE96" t="s">
        <v>132</v>
      </c>
      <c r="GN96" t="e">
        <f>VLOOKUP(AnalizaCzyste[[#This Row],[Ogólny poziom mojej satysfakcji z jakości usług edukacyjnych ocenianej uczelni jest wysoki.32]],SkalaLikerta[],2,0)</f>
        <v>#N/A</v>
      </c>
      <c r="HK96" t="s">
        <v>687</v>
      </c>
      <c r="HL96" t="s">
        <v>688</v>
      </c>
      <c r="HM96" t="s">
        <v>689</v>
      </c>
      <c r="HN96" t="s">
        <v>140</v>
      </c>
      <c r="HO96">
        <v>1994</v>
      </c>
      <c r="HP96" t="str">
        <f>VLOOKUP(AnalizaCzyste[[#This Row],[Rok urodzenia]],KategorieWiekowe[],2,1)</f>
        <v>26–35 lat</v>
      </c>
      <c r="HQ96" t="s">
        <v>246</v>
      </c>
      <c r="HS96" t="s">
        <v>142</v>
      </c>
      <c r="HT96" t="s">
        <v>142</v>
      </c>
    </row>
    <row r="97" spans="1:229" x14ac:dyDescent="0.45">
      <c r="A97">
        <v>84</v>
      </c>
      <c r="B97">
        <f>_xlfn.IFNA(VLOOKUP(AnalizaCzyste[[#This Row],[Zakończono wypełnianie]],Zakończone[],2,0),"BRAK")</f>
        <v>49</v>
      </c>
      <c r="C97">
        <f t="shared" si="2"/>
        <v>63</v>
      </c>
      <c r="D97" t="s">
        <v>854</v>
      </c>
      <c r="E97" t="s">
        <v>118</v>
      </c>
      <c r="J97" t="s">
        <v>119</v>
      </c>
      <c r="K97" t="s">
        <v>855</v>
      </c>
      <c r="L97" t="s">
        <v>856</v>
      </c>
      <c r="M97">
        <v>1349</v>
      </c>
      <c r="O97">
        <v>0</v>
      </c>
      <c r="P97" t="s">
        <v>122</v>
      </c>
      <c r="Q97" s="1" t="s">
        <v>416</v>
      </c>
      <c r="R97" t="s">
        <v>179</v>
      </c>
      <c r="S97" t="s">
        <v>148</v>
      </c>
      <c r="T97" t="s">
        <v>857</v>
      </c>
      <c r="U97" t="s">
        <v>162</v>
      </c>
      <c r="V97">
        <f>VLOOKUP(AnalizaCzyste[[#This Row],[Moja satysfakcja z usług edukacyjnych ocenianej uczelni jest wysoka.]],SkalaLikerta[],2,0)</f>
        <v>5</v>
      </c>
      <c r="W97" t="s">
        <v>162</v>
      </c>
      <c r="X97" t="s">
        <v>151</v>
      </c>
      <c r="Y97" t="s">
        <v>718</v>
      </c>
      <c r="Z97" t="s">
        <v>152</v>
      </c>
      <c r="AA97" t="s">
        <v>759</v>
      </c>
      <c r="AB97" t="s">
        <v>858</v>
      </c>
      <c r="AC97" t="s">
        <v>859</v>
      </c>
      <c r="AD97" t="s">
        <v>860</v>
      </c>
      <c r="AF97" t="s">
        <v>861</v>
      </c>
      <c r="AG97">
        <v>2</v>
      </c>
      <c r="AH97" s="1" t="s">
        <v>124</v>
      </c>
      <c r="AI97" t="s">
        <v>862</v>
      </c>
      <c r="AJ97" t="str">
        <f>VLOOKUP(AnalizaCzyste[[#This Row],[Jak się nazywa uczelnia którą ukończyłeś? (proszę o wybranie jednej uczelni podlegającej ocenie)]],KategorieUczelni[],2,0)</f>
        <v>Publiczna</v>
      </c>
      <c r="AK97" t="str">
        <f>VLOOKUP(AnalizaCzyste[[#This Row],[Jak się nazywa uczelnia którą ukończyłeś? (proszę o wybranie jednej uczelni podlegającej ocenie)]],KategorieUczelni[],3,0)</f>
        <v>Nietechniczna</v>
      </c>
      <c r="AL97">
        <f>COUNTIF(AnalizaCzyste[[#This Row],[Czy jesteś absolwentem uczelni wyższej?]],"*"&amp;"Tak"&amp;"*")</f>
        <v>1</v>
      </c>
      <c r="AM97">
        <v>2019</v>
      </c>
      <c r="AN97" t="s">
        <v>148</v>
      </c>
      <c r="AO97" t="s">
        <v>863</v>
      </c>
      <c r="AP97" t="s">
        <v>150</v>
      </c>
      <c r="AQ97">
        <f>VLOOKUP(AnalizaCzyste[[#This Row],[Moja satysfakcja z (efektów) usług edukacyjnych ocenianej uczelni jest wysoka.]],SkalaLikerta[],2,0)</f>
        <v>6</v>
      </c>
      <c r="AR97" t="s">
        <v>150</v>
      </c>
      <c r="AS97" t="s">
        <v>169</v>
      </c>
      <c r="AT97" t="s">
        <v>151</v>
      </c>
      <c r="AU97" t="s">
        <v>150</v>
      </c>
      <c r="AV97" t="s">
        <v>864</v>
      </c>
      <c r="AW97" t="s">
        <v>302</v>
      </c>
      <c r="AX97">
        <f>VLOOKUP(AnalizaCzyste[[#This Row],[w pierwszym roku po ukończeniu studiów : wybierz wartość z listy rozwijanej4]],Zarobki[],2,0)</f>
        <v>2500</v>
      </c>
      <c r="AY97" t="s">
        <v>759</v>
      </c>
      <c r="AZ97">
        <f>VLOOKUP(AnalizaCzyste[[#This Row],[w 3 lata po ukończeniu studiów : wybierz wartość z listy rozwijanej5]],Zarobki[],2,0)</f>
        <v>5500</v>
      </c>
      <c r="BA97" t="s">
        <v>865</v>
      </c>
      <c r="BB97" t="s">
        <v>866</v>
      </c>
      <c r="BC97" t="s">
        <v>867</v>
      </c>
      <c r="BD97" t="s">
        <v>157</v>
      </c>
      <c r="BF97" s="1" t="s">
        <v>123</v>
      </c>
      <c r="BM97" t="e">
        <f>VLOOKUP(AnalizaCzyste[[#This Row],[Moja satysfakcja z (efektów) usług edukacyjnych ocenianej uczelni jest wysoka.8]],SkalaLikerta[],2,0)</f>
        <v>#N/A</v>
      </c>
      <c r="DA97" s="1" t="s">
        <v>123</v>
      </c>
      <c r="DE97" t="e">
        <f>VLOOKUP(AnalizaCzyste[[#This Row],[Moja satysfakcja z pracy na ocenianej uczelni jest wysoka.]],SkalaLikerta[],2,0)</f>
        <v>#N/A</v>
      </c>
      <c r="DL97" s="1" t="s">
        <v>123</v>
      </c>
      <c r="DP97" t="e">
        <f>VLOOKUP(AnalizaCzyste[[#This Row],[Moja satysfakcja z pracy na ocenianej uczelni jest wysoka.42]],SkalaLikerta[],2,0)</f>
        <v>#N/A</v>
      </c>
      <c r="DW97" s="1" t="s">
        <v>123</v>
      </c>
      <c r="EJ97" t="e">
        <f>VLOOKUP(AnalizaCzyste[[#This Row],[Ogólny poziom mojej satysfakcji z jakości usług edukacyjnych ocenianej uczelni jest wysoki.]],SkalaLikerta[],2,0)</f>
        <v>#N/A</v>
      </c>
      <c r="FA97" s="1" t="s">
        <v>123</v>
      </c>
      <c r="FF97" t="e">
        <f>VLOOKUP(AnalizaCzyste[[#This Row],[Moja satysfakcja z (efektów) usług edukacyjnych na ocenianej uczelni jest wysoka.]],SkalaLikerta[],2,0)</f>
        <v>#N/A</v>
      </c>
      <c r="GB97" s="1" t="s">
        <v>123</v>
      </c>
      <c r="GC97" t="s">
        <v>132</v>
      </c>
      <c r="GN97" t="e">
        <f>VLOOKUP(AnalizaCzyste[[#This Row],[Ogólny poziom mojej satysfakcji z jakości usług edukacyjnych ocenianej uczelni jest wysoki.32]],SkalaLikerta[],2,0)</f>
        <v>#N/A</v>
      </c>
      <c r="HK97" t="s">
        <v>868</v>
      </c>
      <c r="HL97" t="s">
        <v>869</v>
      </c>
      <c r="HM97" t="s">
        <v>870</v>
      </c>
      <c r="HN97" t="s">
        <v>186</v>
      </c>
      <c r="HO97">
        <v>1991</v>
      </c>
      <c r="HP97" t="str">
        <f>VLOOKUP(AnalizaCzyste[[#This Row],[Rok urodzenia]],KategorieWiekowe[],2,1)</f>
        <v>26–35 lat</v>
      </c>
      <c r="HQ97" t="s">
        <v>220</v>
      </c>
      <c r="HR97" t="s">
        <v>871</v>
      </c>
      <c r="HS97" t="s">
        <v>872</v>
      </c>
      <c r="HT97" t="s">
        <v>386</v>
      </c>
    </row>
    <row r="98" spans="1:229" x14ac:dyDescent="0.45">
      <c r="A98">
        <v>178</v>
      </c>
      <c r="B98">
        <f>_xlfn.IFNA(VLOOKUP(AnalizaCzyste[[#This Row],[Zakończono wypełnianie]],Zakończone[],2,0),"BRAK")</f>
        <v>100</v>
      </c>
      <c r="C98">
        <f t="shared" si="2"/>
        <v>45</v>
      </c>
      <c r="D98" t="s">
        <v>1131</v>
      </c>
      <c r="E98" t="s">
        <v>118</v>
      </c>
      <c r="J98" t="s">
        <v>119</v>
      </c>
      <c r="K98" t="s">
        <v>1501</v>
      </c>
      <c r="L98" t="s">
        <v>1502</v>
      </c>
      <c r="M98">
        <v>1485</v>
      </c>
      <c r="O98">
        <v>0</v>
      </c>
      <c r="P98" t="s">
        <v>122</v>
      </c>
      <c r="Q98" s="1" t="s">
        <v>123</v>
      </c>
      <c r="V98" t="e">
        <f>VLOOKUP(AnalizaCzyste[[#This Row],[Moja satysfakcja z usług edukacyjnych ocenianej uczelni jest wysoka.]],SkalaLikerta[],2,0)</f>
        <v>#N/A</v>
      </c>
      <c r="AH98" s="1" t="s">
        <v>124</v>
      </c>
      <c r="AI98" t="s">
        <v>1503</v>
      </c>
      <c r="AJ98" t="str">
        <f>VLOOKUP(AnalizaCzyste[[#This Row],[Jak się nazywa uczelnia którą ukończyłeś? (proszę o wybranie jednej uczelni podlegającej ocenie)]],KategorieUczelni[],2,0)</f>
        <v>Publiczna</v>
      </c>
      <c r="AK98" t="str">
        <f>VLOOKUP(AnalizaCzyste[[#This Row],[Jak się nazywa uczelnia którą ukończyłeś? (proszę o wybranie jednej uczelni podlegającej ocenie)]],KategorieUczelni[],3,0)</f>
        <v>Techniczna</v>
      </c>
      <c r="AL98">
        <f>COUNTIF(AnalizaCzyste[[#This Row],[Czy jesteś absolwentem uczelni wyższej?]],"*"&amp;"Tak"&amp;"*")</f>
        <v>1</v>
      </c>
      <c r="AM98">
        <v>2016</v>
      </c>
      <c r="AN98" t="s">
        <v>148</v>
      </c>
      <c r="AO98" t="s">
        <v>1504</v>
      </c>
      <c r="AP98" t="s">
        <v>150</v>
      </c>
      <c r="AQ98">
        <f>VLOOKUP(AnalizaCzyste[[#This Row],[Moja satysfakcja z (efektów) usług edukacyjnych ocenianej uczelni jest wysoka.]],SkalaLikerta[],2,0)</f>
        <v>6</v>
      </c>
      <c r="AR98" t="s">
        <v>151</v>
      </c>
      <c r="AS98" t="s">
        <v>162</v>
      </c>
      <c r="AT98" t="s">
        <v>150</v>
      </c>
      <c r="AU98" t="s">
        <v>169</v>
      </c>
      <c r="AV98">
        <v>4</v>
      </c>
      <c r="AW98" t="s">
        <v>302</v>
      </c>
      <c r="AX98">
        <f>VLOOKUP(AnalizaCzyste[[#This Row],[w pierwszym roku po ukończeniu studiów : wybierz wartość z listy rozwijanej4]],Zarobki[],2,0)</f>
        <v>2500</v>
      </c>
      <c r="AY98" t="s">
        <v>153</v>
      </c>
      <c r="AZ98">
        <f>VLOOKUP(AnalizaCzyste[[#This Row],[w 3 lata po ukończeniu studiów : wybierz wartość z listy rozwijanej5]],Zarobki[],2,0)</f>
        <v>3500</v>
      </c>
      <c r="BA98" t="s">
        <v>1505</v>
      </c>
      <c r="BB98" t="s">
        <v>1506</v>
      </c>
      <c r="BC98" t="s">
        <v>1507</v>
      </c>
      <c r="BD98" t="s">
        <v>157</v>
      </c>
      <c r="BF98" s="1" t="s">
        <v>123</v>
      </c>
      <c r="BM98" t="e">
        <f>VLOOKUP(AnalizaCzyste[[#This Row],[Moja satysfakcja z (efektów) usług edukacyjnych ocenianej uczelni jest wysoka.8]],SkalaLikerta[],2,0)</f>
        <v>#N/A</v>
      </c>
      <c r="DA98" s="1" t="s">
        <v>123</v>
      </c>
      <c r="DE98" t="e">
        <f>VLOOKUP(AnalizaCzyste[[#This Row],[Moja satysfakcja z pracy na ocenianej uczelni jest wysoka.]],SkalaLikerta[],2,0)</f>
        <v>#N/A</v>
      </c>
      <c r="DL98" s="1" t="s">
        <v>123</v>
      </c>
      <c r="DP98" t="e">
        <f>VLOOKUP(AnalizaCzyste[[#This Row],[Moja satysfakcja z pracy na ocenianej uczelni jest wysoka.42]],SkalaLikerta[],2,0)</f>
        <v>#N/A</v>
      </c>
      <c r="DW98" s="1" t="s">
        <v>123</v>
      </c>
      <c r="EJ98" t="e">
        <f>VLOOKUP(AnalizaCzyste[[#This Row],[Ogólny poziom mojej satysfakcji z jakości usług edukacyjnych ocenianej uczelni jest wysoki.]],SkalaLikerta[],2,0)</f>
        <v>#N/A</v>
      </c>
      <c r="FA98" s="1" t="s">
        <v>123</v>
      </c>
      <c r="FF98" t="e">
        <f>VLOOKUP(AnalizaCzyste[[#This Row],[Moja satysfakcja z (efektów) usług edukacyjnych na ocenianej uczelni jest wysoka.]],SkalaLikerta[],2,0)</f>
        <v>#N/A</v>
      </c>
      <c r="GB98" s="1" t="s">
        <v>123</v>
      </c>
      <c r="GN98" t="e">
        <f>VLOOKUP(AnalizaCzyste[[#This Row],[Ogólny poziom mojej satysfakcji z jakości usług edukacyjnych ocenianej uczelni jest wysoki.32]],SkalaLikerta[],2,0)</f>
        <v>#N/A</v>
      </c>
      <c r="HK98" t="s">
        <v>1508</v>
      </c>
      <c r="HL98" t="s">
        <v>1509</v>
      </c>
      <c r="HM98" t="s">
        <v>1510</v>
      </c>
      <c r="HN98" t="s">
        <v>186</v>
      </c>
      <c r="HO98">
        <v>1991</v>
      </c>
      <c r="HP98" t="str">
        <f>VLOOKUP(AnalizaCzyste[[#This Row],[Rok urodzenia]],KategorieWiekowe[],2,1)</f>
        <v>26–35 lat</v>
      </c>
      <c r="HQ98" t="s">
        <v>398</v>
      </c>
    </row>
    <row r="99" spans="1:229" x14ac:dyDescent="0.45">
      <c r="A99">
        <v>191</v>
      </c>
      <c r="B99">
        <f>_xlfn.IFNA(VLOOKUP(AnalizaCzyste[[#This Row],[Zakończono wypełnianie]],Zakończone[],2,0),"BRAK")</f>
        <v>109</v>
      </c>
      <c r="C99">
        <f t="shared" ref="C99:C135" si="3">COUNTA(P99:HU99)</f>
        <v>46</v>
      </c>
      <c r="D99" t="s">
        <v>1618</v>
      </c>
      <c r="E99" t="s">
        <v>118</v>
      </c>
      <c r="J99" t="s">
        <v>119</v>
      </c>
      <c r="K99" t="s">
        <v>1619</v>
      </c>
      <c r="L99" t="s">
        <v>1620</v>
      </c>
      <c r="M99">
        <v>1891</v>
      </c>
      <c r="O99">
        <v>0</v>
      </c>
      <c r="P99" t="s">
        <v>122</v>
      </c>
      <c r="Q99" s="1" t="s">
        <v>123</v>
      </c>
      <c r="V99" t="e">
        <f>VLOOKUP(AnalizaCzyste[[#This Row],[Moja satysfakcja z usług edukacyjnych ocenianej uczelni jest wysoka.]],SkalaLikerta[],2,0)</f>
        <v>#N/A</v>
      </c>
      <c r="AH99" s="1" t="s">
        <v>124</v>
      </c>
      <c r="AI99" t="s">
        <v>1503</v>
      </c>
      <c r="AJ99" t="str">
        <f>VLOOKUP(AnalizaCzyste[[#This Row],[Jak się nazywa uczelnia którą ukończyłeś? (proszę o wybranie jednej uczelni podlegającej ocenie)]],KategorieUczelni[],2,0)</f>
        <v>Publiczna</v>
      </c>
      <c r="AK99" t="str">
        <f>VLOOKUP(AnalizaCzyste[[#This Row],[Jak się nazywa uczelnia którą ukończyłeś? (proszę o wybranie jednej uczelni podlegającej ocenie)]],KategorieUczelni[],3,0)</f>
        <v>Techniczna</v>
      </c>
      <c r="AL99">
        <f>COUNTIF(AnalizaCzyste[[#This Row],[Czy jesteś absolwentem uczelni wyższej?]],"*"&amp;"Tak"&amp;"*")</f>
        <v>1</v>
      </c>
      <c r="AM99">
        <v>2000</v>
      </c>
      <c r="AN99" t="s">
        <v>148</v>
      </c>
      <c r="AO99" t="s">
        <v>1622</v>
      </c>
      <c r="AP99" t="s">
        <v>150</v>
      </c>
      <c r="AQ99">
        <f>VLOOKUP(AnalizaCzyste[[#This Row],[Moja satysfakcja z (efektów) usług edukacyjnych ocenianej uczelni jest wysoka.]],SkalaLikerta[],2,0)</f>
        <v>6</v>
      </c>
      <c r="AR99" t="s">
        <v>150</v>
      </c>
      <c r="AS99" t="s">
        <v>150</v>
      </c>
      <c r="AT99" t="s">
        <v>236</v>
      </c>
      <c r="AU99" t="s">
        <v>162</v>
      </c>
      <c r="AV99" t="s">
        <v>1623</v>
      </c>
      <c r="AW99" t="s">
        <v>132</v>
      </c>
      <c r="AX99" t="str">
        <f>VLOOKUP(AnalizaCzyste[[#This Row],[w pierwszym roku po ukończeniu studiów : wybierz wartość z listy rozwijanej4]],Zarobki[],2,0)</f>
        <v>N/D</v>
      </c>
      <c r="AY99" t="s">
        <v>302</v>
      </c>
      <c r="AZ99">
        <f>VLOOKUP(AnalizaCzyste[[#This Row],[w 3 lata po ukończeniu studiów : wybierz wartość z listy rozwijanej5]],Zarobki[],2,0)</f>
        <v>2500</v>
      </c>
      <c r="BA99" t="s">
        <v>1624</v>
      </c>
      <c r="BB99" t="s">
        <v>1625</v>
      </c>
      <c r="BC99" t="s">
        <v>1626</v>
      </c>
      <c r="BD99" t="s">
        <v>172</v>
      </c>
      <c r="BF99" s="1" t="s">
        <v>123</v>
      </c>
      <c r="BM99" t="e">
        <f>VLOOKUP(AnalizaCzyste[[#This Row],[Moja satysfakcja z (efektów) usług edukacyjnych ocenianej uczelni jest wysoka.8]],SkalaLikerta[],2,0)</f>
        <v>#N/A</v>
      </c>
      <c r="DA99" s="1" t="s">
        <v>123</v>
      </c>
      <c r="DE99" t="e">
        <f>VLOOKUP(AnalizaCzyste[[#This Row],[Moja satysfakcja z pracy na ocenianej uczelni jest wysoka.]],SkalaLikerta[],2,0)</f>
        <v>#N/A</v>
      </c>
      <c r="DL99" s="1" t="s">
        <v>123</v>
      </c>
      <c r="DP99" t="e">
        <f>VLOOKUP(AnalizaCzyste[[#This Row],[Moja satysfakcja z pracy na ocenianej uczelni jest wysoka.42]],SkalaLikerta[],2,0)</f>
        <v>#N/A</v>
      </c>
      <c r="DW99" s="1" t="s">
        <v>123</v>
      </c>
      <c r="EJ99" t="e">
        <f>VLOOKUP(AnalizaCzyste[[#This Row],[Ogólny poziom mojej satysfakcji z jakości usług edukacyjnych ocenianej uczelni jest wysoki.]],SkalaLikerta[],2,0)</f>
        <v>#N/A</v>
      </c>
      <c r="FA99" s="1" t="s">
        <v>123</v>
      </c>
      <c r="FF99" t="e">
        <f>VLOOKUP(AnalizaCzyste[[#This Row],[Moja satysfakcja z (efektów) usług edukacyjnych na ocenianej uczelni jest wysoka.]],SkalaLikerta[],2,0)</f>
        <v>#N/A</v>
      </c>
      <c r="GB99" s="1" t="s">
        <v>123</v>
      </c>
      <c r="GN99" t="e">
        <f>VLOOKUP(AnalizaCzyste[[#This Row],[Ogólny poziom mojej satysfakcji z jakości usług edukacyjnych ocenianej uczelni jest wysoki.32]],SkalaLikerta[],2,0)</f>
        <v>#N/A</v>
      </c>
      <c r="HK99" t="s">
        <v>1627</v>
      </c>
      <c r="HL99" t="s">
        <v>1628</v>
      </c>
      <c r="HM99" t="s">
        <v>1629</v>
      </c>
      <c r="HN99" t="s">
        <v>186</v>
      </c>
      <c r="HO99">
        <v>1948</v>
      </c>
      <c r="HP99" t="str">
        <f>VLOOKUP(AnalizaCzyste[[#This Row],[Rok urodzenia]],KategorieWiekowe[],2,1)</f>
        <v>powyżej 65 lat</v>
      </c>
      <c r="HQ99" t="s">
        <v>1630</v>
      </c>
      <c r="HT99" t="s">
        <v>1631</v>
      </c>
    </row>
    <row r="100" spans="1:229" x14ac:dyDescent="0.45">
      <c r="A100">
        <v>129</v>
      </c>
      <c r="B100">
        <f>_xlfn.IFNA(VLOOKUP(AnalizaCzyste[[#This Row],[Zakończono wypełnianie]],Zakończone[],2,0),"BRAK")</f>
        <v>78</v>
      </c>
      <c r="C100">
        <f t="shared" si="3"/>
        <v>45</v>
      </c>
      <c r="D100" t="s">
        <v>1211</v>
      </c>
      <c r="E100" t="s">
        <v>118</v>
      </c>
      <c r="F100" t="s">
        <v>1152</v>
      </c>
      <c r="J100" t="s">
        <v>119</v>
      </c>
      <c r="K100" t="s">
        <v>1212</v>
      </c>
      <c r="L100" t="s">
        <v>1213</v>
      </c>
      <c r="M100">
        <v>808</v>
      </c>
      <c r="O100">
        <v>0</v>
      </c>
      <c r="P100" t="s">
        <v>122</v>
      </c>
      <c r="Q100" s="1" t="s">
        <v>123</v>
      </c>
      <c r="V100" t="e">
        <f>VLOOKUP(AnalizaCzyste[[#This Row],[Moja satysfakcja z usług edukacyjnych ocenianej uczelni jest wysoka.]],SkalaLikerta[],2,0)</f>
        <v>#N/A</v>
      </c>
      <c r="AH100" s="1" t="s">
        <v>124</v>
      </c>
      <c r="AI100" t="s">
        <v>428</v>
      </c>
      <c r="AJ100" t="str">
        <f>VLOOKUP(AnalizaCzyste[[#This Row],[Jak się nazywa uczelnia którą ukończyłeś? (proszę o wybranie jednej uczelni podlegającej ocenie)]],KategorieUczelni[],2,0)</f>
        <v>Publiczna</v>
      </c>
      <c r="AK100" t="str">
        <f>VLOOKUP(AnalizaCzyste[[#This Row],[Jak się nazywa uczelnia którą ukończyłeś? (proszę o wybranie jednej uczelni podlegającej ocenie)]],KategorieUczelni[],3,0)</f>
        <v>Nietechniczna</v>
      </c>
      <c r="AL100">
        <f>COUNTIF(AnalizaCzyste[[#This Row],[Czy jesteś absolwentem uczelni wyższej?]],"*"&amp;"Tak"&amp;"*")</f>
        <v>1</v>
      </c>
      <c r="AM100">
        <v>1998</v>
      </c>
      <c r="AN100" t="s">
        <v>148</v>
      </c>
      <c r="AO100" t="s">
        <v>1215</v>
      </c>
      <c r="AP100" t="s">
        <v>150</v>
      </c>
      <c r="AQ100">
        <f>VLOOKUP(AnalizaCzyste[[#This Row],[Moja satysfakcja z (efektów) usług edukacyjnych ocenianej uczelni jest wysoka.]],SkalaLikerta[],2,0)</f>
        <v>6</v>
      </c>
      <c r="AR100" t="s">
        <v>150</v>
      </c>
      <c r="AS100" t="s">
        <v>151</v>
      </c>
      <c r="AT100" t="s">
        <v>129</v>
      </c>
      <c r="AU100" t="s">
        <v>128</v>
      </c>
      <c r="AV100" t="s">
        <v>1216</v>
      </c>
      <c r="AW100" t="s">
        <v>131</v>
      </c>
      <c r="AX100">
        <f>VLOOKUP(AnalizaCzyste[[#This Row],[w pierwszym roku po ukończeniu studiów : wybierz wartość z listy rozwijanej4]],Zarobki[],2,0)</f>
        <v>1500</v>
      </c>
      <c r="AY100" t="s">
        <v>131</v>
      </c>
      <c r="AZ100">
        <f>VLOOKUP(AnalizaCzyste[[#This Row],[w 3 lata po ukończeniu studiów : wybierz wartość z listy rozwijanej5]],Zarobki[],2,0)</f>
        <v>1500</v>
      </c>
      <c r="BA100" t="s">
        <v>1217</v>
      </c>
      <c r="BB100" t="s">
        <v>1218</v>
      </c>
      <c r="BC100" t="s">
        <v>1219</v>
      </c>
      <c r="BE100" t="s">
        <v>1220</v>
      </c>
      <c r="BF100" s="1" t="s">
        <v>123</v>
      </c>
      <c r="BM100" t="e">
        <f>VLOOKUP(AnalizaCzyste[[#This Row],[Moja satysfakcja z (efektów) usług edukacyjnych ocenianej uczelni jest wysoka.8]],SkalaLikerta[],2,0)</f>
        <v>#N/A</v>
      </c>
      <c r="DA100" s="1" t="s">
        <v>123</v>
      </c>
      <c r="DE100" t="e">
        <f>VLOOKUP(AnalizaCzyste[[#This Row],[Moja satysfakcja z pracy na ocenianej uczelni jest wysoka.]],SkalaLikerta[],2,0)</f>
        <v>#N/A</v>
      </c>
      <c r="DL100" s="1" t="s">
        <v>123</v>
      </c>
      <c r="DP100" t="e">
        <f>VLOOKUP(AnalizaCzyste[[#This Row],[Moja satysfakcja z pracy na ocenianej uczelni jest wysoka.42]],SkalaLikerta[],2,0)</f>
        <v>#N/A</v>
      </c>
      <c r="DW100" s="1" t="s">
        <v>123</v>
      </c>
      <c r="EJ100" t="e">
        <f>VLOOKUP(AnalizaCzyste[[#This Row],[Ogólny poziom mojej satysfakcji z jakości usług edukacyjnych ocenianej uczelni jest wysoki.]],SkalaLikerta[],2,0)</f>
        <v>#N/A</v>
      </c>
      <c r="FA100" s="1" t="s">
        <v>123</v>
      </c>
      <c r="FF100" t="e">
        <f>VLOOKUP(AnalizaCzyste[[#This Row],[Moja satysfakcja z (efektów) usług edukacyjnych na ocenianej uczelni jest wysoka.]],SkalaLikerta[],2,0)</f>
        <v>#N/A</v>
      </c>
      <c r="GB100" s="1" t="s">
        <v>123</v>
      </c>
      <c r="GN100" t="e">
        <f>VLOOKUP(AnalizaCzyste[[#This Row],[Ogólny poziom mojej satysfakcji z jakości usług edukacyjnych ocenianej uczelni jest wysoki.32]],SkalaLikerta[],2,0)</f>
        <v>#N/A</v>
      </c>
      <c r="HK100" t="s">
        <v>1221</v>
      </c>
      <c r="HL100" t="s">
        <v>1222</v>
      </c>
      <c r="HM100" t="s">
        <v>1223</v>
      </c>
      <c r="HN100" t="s">
        <v>186</v>
      </c>
      <c r="HO100">
        <v>1973</v>
      </c>
      <c r="HP100" t="str">
        <f>VLOOKUP(AnalizaCzyste[[#This Row],[Rok urodzenia]],KategorieWiekowe[],2,1)</f>
        <v>46–55 lat</v>
      </c>
      <c r="HQ100" t="s">
        <v>141</v>
      </c>
    </row>
    <row r="101" spans="1:229" x14ac:dyDescent="0.45">
      <c r="A101">
        <v>10</v>
      </c>
      <c r="B101">
        <f>_xlfn.IFNA(VLOOKUP(AnalizaCzyste[[#This Row],[Zakończono wypełnianie]],Zakończone[],2,0),"BRAK")</f>
        <v>9</v>
      </c>
      <c r="C101">
        <f t="shared" si="3"/>
        <v>47</v>
      </c>
      <c r="D101" t="s">
        <v>288</v>
      </c>
      <c r="E101" t="s">
        <v>118</v>
      </c>
      <c r="J101" t="s">
        <v>119</v>
      </c>
      <c r="K101" t="s">
        <v>289</v>
      </c>
      <c r="L101" t="s">
        <v>290</v>
      </c>
      <c r="M101">
        <v>4259</v>
      </c>
      <c r="O101">
        <v>0</v>
      </c>
      <c r="P101" t="s">
        <v>122</v>
      </c>
      <c r="Q101" s="1" t="s">
        <v>123</v>
      </c>
      <c r="V101" t="e">
        <f>VLOOKUP(AnalizaCzyste[[#This Row],[Moja satysfakcja z usług edukacyjnych ocenianej uczelni jest wysoka.]],SkalaLikerta[],2,0)</f>
        <v>#N/A</v>
      </c>
      <c r="AH101" s="1" t="s">
        <v>124</v>
      </c>
      <c r="AI101" t="s">
        <v>191</v>
      </c>
      <c r="AJ101" t="str">
        <f>VLOOKUP(AnalizaCzyste[[#This Row],[Jak się nazywa uczelnia którą ukończyłeś? (proszę o wybranie jednej uczelni podlegającej ocenie)]],KategorieUczelni[],2,0)</f>
        <v>Publiczna</v>
      </c>
      <c r="AK101" t="str">
        <f>VLOOKUP(AnalizaCzyste[[#This Row],[Jak się nazywa uczelnia którą ukończyłeś? (proszę o wybranie jednej uczelni podlegającej ocenie)]],KategorieUczelni[],3,0)</f>
        <v>Techniczna</v>
      </c>
      <c r="AL101">
        <f>COUNTIF(AnalizaCzyste[[#This Row],[Czy jesteś absolwentem uczelni wyższej?]],"*"&amp;"Tak"&amp;"*")</f>
        <v>1</v>
      </c>
      <c r="AM101">
        <v>2013</v>
      </c>
      <c r="AN101" t="s">
        <v>126</v>
      </c>
      <c r="AO101" t="s">
        <v>291</v>
      </c>
      <c r="AP101" t="s">
        <v>150</v>
      </c>
      <c r="AQ101">
        <f>VLOOKUP(AnalizaCzyste[[#This Row],[Moja satysfakcja z (efektów) usług edukacyjnych ocenianej uczelni jest wysoka.]],SkalaLikerta[],2,0)</f>
        <v>6</v>
      </c>
      <c r="AR101" t="s">
        <v>150</v>
      </c>
      <c r="AS101" t="s">
        <v>169</v>
      </c>
      <c r="AT101" t="s">
        <v>151</v>
      </c>
      <c r="AU101" t="s">
        <v>162</v>
      </c>
      <c r="AV101">
        <v>1</v>
      </c>
      <c r="AW101" t="s">
        <v>131</v>
      </c>
      <c r="AX101">
        <f>VLOOKUP(AnalizaCzyste[[#This Row],[w pierwszym roku po ukończeniu studiów : wybierz wartość z listy rozwijanej4]],Zarobki[],2,0)</f>
        <v>1500</v>
      </c>
      <c r="AY101" t="s">
        <v>153</v>
      </c>
      <c r="AZ101">
        <f>VLOOKUP(AnalizaCzyste[[#This Row],[w 3 lata po ukończeniu studiów : wybierz wartość z listy rozwijanej5]],Zarobki[],2,0)</f>
        <v>3500</v>
      </c>
      <c r="BA101" t="s">
        <v>292</v>
      </c>
      <c r="BB101" t="s">
        <v>293</v>
      </c>
      <c r="BC101" t="s">
        <v>294</v>
      </c>
      <c r="BD101" t="s">
        <v>157</v>
      </c>
      <c r="BF101" s="1" t="s">
        <v>123</v>
      </c>
      <c r="BM101" t="e">
        <f>VLOOKUP(AnalizaCzyste[[#This Row],[Moja satysfakcja z (efektów) usług edukacyjnych ocenianej uczelni jest wysoka.8]],SkalaLikerta[],2,0)</f>
        <v>#N/A</v>
      </c>
      <c r="DA101" s="1" t="s">
        <v>123</v>
      </c>
      <c r="DE101" t="e">
        <f>VLOOKUP(AnalizaCzyste[[#This Row],[Moja satysfakcja z pracy na ocenianej uczelni jest wysoka.]],SkalaLikerta[],2,0)</f>
        <v>#N/A</v>
      </c>
      <c r="DL101" s="1" t="s">
        <v>123</v>
      </c>
      <c r="DP101" t="e">
        <f>VLOOKUP(AnalizaCzyste[[#This Row],[Moja satysfakcja z pracy na ocenianej uczelni jest wysoka.42]],SkalaLikerta[],2,0)</f>
        <v>#N/A</v>
      </c>
      <c r="DW101" s="1" t="s">
        <v>123</v>
      </c>
      <c r="EJ101" t="e">
        <f>VLOOKUP(AnalizaCzyste[[#This Row],[Ogólny poziom mojej satysfakcji z jakości usług edukacyjnych ocenianej uczelni jest wysoki.]],SkalaLikerta[],2,0)</f>
        <v>#N/A</v>
      </c>
      <c r="FA101" s="1" t="s">
        <v>123</v>
      </c>
      <c r="FF101" t="e">
        <f>VLOOKUP(AnalizaCzyste[[#This Row],[Moja satysfakcja z (efektów) usług edukacyjnych na ocenianej uczelni jest wysoka.]],SkalaLikerta[],2,0)</f>
        <v>#N/A</v>
      </c>
      <c r="GB101" s="1" t="s">
        <v>123</v>
      </c>
      <c r="GC101" t="s">
        <v>132</v>
      </c>
      <c r="GE101" t="s">
        <v>132</v>
      </c>
      <c r="GN101" t="e">
        <f>VLOOKUP(AnalizaCzyste[[#This Row],[Ogólny poziom mojej satysfakcji z jakości usług edukacyjnych ocenianej uczelni jest wysoki.32]],SkalaLikerta[],2,0)</f>
        <v>#N/A</v>
      </c>
      <c r="HK101" t="s">
        <v>295</v>
      </c>
      <c r="HL101" t="s">
        <v>296</v>
      </c>
      <c r="HM101" t="s">
        <v>297</v>
      </c>
      <c r="HN101" t="s">
        <v>186</v>
      </c>
      <c r="HO101">
        <v>1988</v>
      </c>
      <c r="HP101" t="str">
        <f>VLOOKUP(AnalizaCzyste[[#This Row],[Rok urodzenia]],KategorieWiekowe[],2,1)</f>
        <v>26–35 lat</v>
      </c>
      <c r="HQ101" t="s">
        <v>141</v>
      </c>
    </row>
    <row r="102" spans="1:229" x14ac:dyDescent="0.45">
      <c r="A102">
        <v>141</v>
      </c>
      <c r="B102">
        <f>_xlfn.IFNA(VLOOKUP(AnalizaCzyste[[#This Row],[Zakończono wypełnianie]],Zakończone[],2,0),"BRAK")</f>
        <v>85</v>
      </c>
      <c r="C102">
        <f t="shared" si="3"/>
        <v>48</v>
      </c>
      <c r="D102" t="s">
        <v>1322</v>
      </c>
      <c r="E102" t="s">
        <v>118</v>
      </c>
      <c r="J102" t="s">
        <v>119</v>
      </c>
      <c r="K102" t="s">
        <v>1323</v>
      </c>
      <c r="L102" t="s">
        <v>1324</v>
      </c>
      <c r="M102">
        <v>767</v>
      </c>
      <c r="O102">
        <v>0</v>
      </c>
      <c r="P102" t="s">
        <v>122</v>
      </c>
      <c r="Q102" s="1" t="s">
        <v>123</v>
      </c>
      <c r="V102" t="e">
        <f>VLOOKUP(AnalizaCzyste[[#This Row],[Moja satysfakcja z usług edukacyjnych ocenianej uczelni jest wysoka.]],SkalaLikerta[],2,0)</f>
        <v>#N/A</v>
      </c>
      <c r="AH102" s="1" t="s">
        <v>124</v>
      </c>
      <c r="AI102" t="s">
        <v>191</v>
      </c>
      <c r="AJ102" t="str">
        <f>VLOOKUP(AnalizaCzyste[[#This Row],[Jak się nazywa uczelnia którą ukończyłeś? (proszę o wybranie jednej uczelni podlegającej ocenie)]],KategorieUczelni[],2,0)</f>
        <v>Publiczna</v>
      </c>
      <c r="AK102" t="str">
        <f>VLOOKUP(AnalizaCzyste[[#This Row],[Jak się nazywa uczelnia którą ukończyłeś? (proszę o wybranie jednej uczelni podlegającej ocenie)]],KategorieUczelni[],3,0)</f>
        <v>Techniczna</v>
      </c>
      <c r="AL102">
        <f>COUNTIF(AnalizaCzyste[[#This Row],[Czy jesteś absolwentem uczelni wyższej?]],"*"&amp;"Tak"&amp;"*")</f>
        <v>1</v>
      </c>
      <c r="AM102">
        <v>2018</v>
      </c>
      <c r="AN102" t="s">
        <v>126</v>
      </c>
      <c r="AO102" t="s">
        <v>1325</v>
      </c>
      <c r="AP102" t="s">
        <v>150</v>
      </c>
      <c r="AQ102">
        <f>VLOOKUP(AnalizaCzyste[[#This Row],[Moja satysfakcja z (efektów) usług edukacyjnych ocenianej uczelni jest wysoka.]],SkalaLikerta[],2,0)</f>
        <v>6</v>
      </c>
      <c r="AR102" t="s">
        <v>150</v>
      </c>
      <c r="AS102" t="s">
        <v>128</v>
      </c>
      <c r="AT102" t="s">
        <v>236</v>
      </c>
      <c r="AU102" t="s">
        <v>128</v>
      </c>
      <c r="AV102">
        <v>1</v>
      </c>
      <c r="AW102" t="s">
        <v>302</v>
      </c>
      <c r="AX102">
        <f>VLOOKUP(AnalizaCzyste[[#This Row],[w pierwszym roku po ukończeniu studiów : wybierz wartość z listy rozwijanej4]],Zarobki[],2,0)</f>
        <v>2500</v>
      </c>
      <c r="AY102" t="s">
        <v>226</v>
      </c>
      <c r="AZ102">
        <f>VLOOKUP(AnalizaCzyste[[#This Row],[w 3 lata po ukończeniu studiów : wybierz wartość z listy rozwijanej5]],Zarobki[],2,0)</f>
        <v>4500</v>
      </c>
      <c r="BA102" t="s">
        <v>1326</v>
      </c>
      <c r="BB102" t="s">
        <v>1327</v>
      </c>
      <c r="BC102" t="s">
        <v>1328</v>
      </c>
      <c r="BD102" t="s">
        <v>157</v>
      </c>
      <c r="BF102" s="1" t="s">
        <v>123</v>
      </c>
      <c r="BM102" t="e">
        <f>VLOOKUP(AnalizaCzyste[[#This Row],[Moja satysfakcja z (efektów) usług edukacyjnych ocenianej uczelni jest wysoka.8]],SkalaLikerta[],2,0)</f>
        <v>#N/A</v>
      </c>
      <c r="DA102" s="1" t="s">
        <v>123</v>
      </c>
      <c r="DE102" t="e">
        <f>VLOOKUP(AnalizaCzyste[[#This Row],[Moja satysfakcja z pracy na ocenianej uczelni jest wysoka.]],SkalaLikerta[],2,0)</f>
        <v>#N/A</v>
      </c>
      <c r="DL102" s="1" t="s">
        <v>123</v>
      </c>
      <c r="DP102" t="e">
        <f>VLOOKUP(AnalizaCzyste[[#This Row],[Moja satysfakcja z pracy na ocenianej uczelni jest wysoka.42]],SkalaLikerta[],2,0)</f>
        <v>#N/A</v>
      </c>
      <c r="DW102" s="1" t="s">
        <v>123</v>
      </c>
      <c r="EJ102" t="e">
        <f>VLOOKUP(AnalizaCzyste[[#This Row],[Ogólny poziom mojej satysfakcji z jakości usług edukacyjnych ocenianej uczelni jest wysoki.]],SkalaLikerta[],2,0)</f>
        <v>#N/A</v>
      </c>
      <c r="FA102" s="1" t="s">
        <v>123</v>
      </c>
      <c r="FB102" t="s">
        <v>180</v>
      </c>
      <c r="FF102" t="e">
        <f>VLOOKUP(AnalizaCzyste[[#This Row],[Moja satysfakcja z (efektów) usług edukacyjnych na ocenianej uczelni jest wysoka.]],SkalaLikerta[],2,0)</f>
        <v>#N/A</v>
      </c>
      <c r="GB102" s="1" t="s">
        <v>123</v>
      </c>
      <c r="GN102" t="e">
        <f>VLOOKUP(AnalizaCzyste[[#This Row],[Ogólny poziom mojej satysfakcji z jakości usług edukacyjnych ocenianej uczelni jest wysoki.32]],SkalaLikerta[],2,0)</f>
        <v>#N/A</v>
      </c>
      <c r="HK102" t="s">
        <v>1329</v>
      </c>
      <c r="HL102" t="s">
        <v>1329</v>
      </c>
      <c r="HM102" t="s">
        <v>132</v>
      </c>
      <c r="HN102" t="s">
        <v>186</v>
      </c>
      <c r="HO102">
        <v>1991</v>
      </c>
      <c r="HP102" t="str">
        <f>VLOOKUP(AnalizaCzyste[[#This Row],[Rok urodzenia]],KategorieWiekowe[],2,1)</f>
        <v>26–35 lat</v>
      </c>
      <c r="HQ102" t="s">
        <v>220</v>
      </c>
      <c r="HS102" t="s">
        <v>1330</v>
      </c>
      <c r="HT102" t="s">
        <v>532</v>
      </c>
    </row>
    <row r="103" spans="1:229" x14ac:dyDescent="0.45">
      <c r="A103">
        <v>3</v>
      </c>
      <c r="B103">
        <f>_xlfn.IFNA(VLOOKUP(AnalizaCzyste[[#This Row],[Zakończono wypełnianie]],Zakończone[],2,0),"BRAK")</f>
        <v>3</v>
      </c>
      <c r="C103">
        <f t="shared" si="3"/>
        <v>47</v>
      </c>
      <c r="D103" t="s">
        <v>188</v>
      </c>
      <c r="E103" t="s">
        <v>118</v>
      </c>
      <c r="J103" t="s">
        <v>119</v>
      </c>
      <c r="K103" t="s">
        <v>189</v>
      </c>
      <c r="L103" t="s">
        <v>190</v>
      </c>
      <c r="M103">
        <v>853</v>
      </c>
      <c r="O103">
        <v>0</v>
      </c>
      <c r="P103" t="s">
        <v>122</v>
      </c>
      <c r="Q103" s="1" t="s">
        <v>123</v>
      </c>
      <c r="V103" t="e">
        <f>VLOOKUP(AnalizaCzyste[[#This Row],[Moja satysfakcja z usług edukacyjnych ocenianej uczelni jest wysoka.]],SkalaLikerta[],2,0)</f>
        <v>#N/A</v>
      </c>
      <c r="AH103" s="1" t="s">
        <v>124</v>
      </c>
      <c r="AI103" t="s">
        <v>191</v>
      </c>
      <c r="AJ103" t="str">
        <f>VLOOKUP(AnalizaCzyste[[#This Row],[Jak się nazywa uczelnia którą ukończyłeś? (proszę o wybranie jednej uczelni podlegającej ocenie)]],KategorieUczelni[],2,0)</f>
        <v>Publiczna</v>
      </c>
      <c r="AK103" t="str">
        <f>VLOOKUP(AnalizaCzyste[[#This Row],[Jak się nazywa uczelnia którą ukończyłeś? (proszę o wybranie jednej uczelni podlegającej ocenie)]],KategorieUczelni[],3,0)</f>
        <v>Techniczna</v>
      </c>
      <c r="AL103">
        <f>COUNTIF(AnalizaCzyste[[#This Row],[Czy jesteś absolwentem uczelni wyższej?]],"*"&amp;"Tak"&amp;"*")</f>
        <v>1</v>
      </c>
      <c r="AM103">
        <v>2017</v>
      </c>
      <c r="AN103" t="s">
        <v>126</v>
      </c>
      <c r="AO103" t="s">
        <v>192</v>
      </c>
      <c r="AP103" t="s">
        <v>150</v>
      </c>
      <c r="AQ103">
        <f>VLOOKUP(AnalizaCzyste[[#This Row],[Moja satysfakcja z (efektów) usług edukacyjnych ocenianej uczelni jest wysoka.]],SkalaLikerta[],2,0)</f>
        <v>6</v>
      </c>
      <c r="AR103" t="s">
        <v>150</v>
      </c>
      <c r="AS103" t="s">
        <v>162</v>
      </c>
      <c r="AT103" t="s">
        <v>169</v>
      </c>
      <c r="AU103" t="s">
        <v>169</v>
      </c>
      <c r="AV103" t="s">
        <v>193</v>
      </c>
      <c r="AW103" t="s">
        <v>194</v>
      </c>
      <c r="AX103">
        <f>VLOOKUP(AnalizaCzyste[[#This Row],[w pierwszym roku po ukończeniu studiów : wybierz wartość z listy rozwijanej4]],Zarobki[],2,0)</f>
        <v>10500</v>
      </c>
      <c r="AY103" t="s">
        <v>194</v>
      </c>
      <c r="AZ103">
        <f>VLOOKUP(AnalizaCzyste[[#This Row],[w 3 lata po ukończeniu studiów : wybierz wartość z listy rozwijanej5]],Zarobki[],2,0)</f>
        <v>10500</v>
      </c>
      <c r="BA103" t="s">
        <v>195</v>
      </c>
      <c r="BB103" t="s">
        <v>196</v>
      </c>
      <c r="BC103" t="s">
        <v>197</v>
      </c>
      <c r="BD103" t="s">
        <v>157</v>
      </c>
      <c r="BF103" s="1" t="s">
        <v>123</v>
      </c>
      <c r="BM103" t="e">
        <f>VLOOKUP(AnalizaCzyste[[#This Row],[Moja satysfakcja z (efektów) usług edukacyjnych ocenianej uczelni jest wysoka.8]],SkalaLikerta[],2,0)</f>
        <v>#N/A</v>
      </c>
      <c r="DA103" s="1" t="s">
        <v>123</v>
      </c>
      <c r="DE103" t="e">
        <f>VLOOKUP(AnalizaCzyste[[#This Row],[Moja satysfakcja z pracy na ocenianej uczelni jest wysoka.]],SkalaLikerta[],2,0)</f>
        <v>#N/A</v>
      </c>
      <c r="DL103" s="1" t="s">
        <v>123</v>
      </c>
      <c r="DP103" t="e">
        <f>VLOOKUP(AnalizaCzyste[[#This Row],[Moja satysfakcja z pracy na ocenianej uczelni jest wysoka.42]],SkalaLikerta[],2,0)</f>
        <v>#N/A</v>
      </c>
      <c r="DW103" s="1" t="s">
        <v>123</v>
      </c>
      <c r="EJ103" t="e">
        <f>VLOOKUP(AnalizaCzyste[[#This Row],[Ogólny poziom mojej satysfakcji z jakości usług edukacyjnych ocenianej uczelni jest wysoki.]],SkalaLikerta[],2,0)</f>
        <v>#N/A</v>
      </c>
      <c r="FA103" s="1" t="s">
        <v>123</v>
      </c>
      <c r="FF103" t="e">
        <f>VLOOKUP(AnalizaCzyste[[#This Row],[Moja satysfakcja z (efektów) usług edukacyjnych na ocenianej uczelni jest wysoka.]],SkalaLikerta[],2,0)</f>
        <v>#N/A</v>
      </c>
      <c r="GB103" s="1" t="s">
        <v>123</v>
      </c>
      <c r="GC103" t="s">
        <v>132</v>
      </c>
      <c r="GN103" t="e">
        <f>VLOOKUP(AnalizaCzyste[[#This Row],[Ogólny poziom mojej satysfakcji z jakości usług edukacyjnych ocenianej uczelni jest wysoki.32]],SkalaLikerta[],2,0)</f>
        <v>#N/A</v>
      </c>
      <c r="HK103" t="s">
        <v>198</v>
      </c>
      <c r="HL103" t="s">
        <v>199</v>
      </c>
      <c r="HM103" t="s">
        <v>200</v>
      </c>
      <c r="HN103" t="s">
        <v>186</v>
      </c>
      <c r="HO103">
        <v>1991</v>
      </c>
      <c r="HP103" t="str">
        <f>VLOOKUP(AnalizaCzyste[[#This Row],[Rok urodzenia]],KategorieWiekowe[],2,1)</f>
        <v>26–35 lat</v>
      </c>
      <c r="HQ103" t="s">
        <v>141</v>
      </c>
      <c r="HS103" t="s">
        <v>201</v>
      </c>
    </row>
    <row r="104" spans="1:229" x14ac:dyDescent="0.45">
      <c r="A104">
        <v>184</v>
      </c>
      <c r="B104">
        <f>_xlfn.IFNA(VLOOKUP(AnalizaCzyste[[#This Row],[Zakończono wypełnianie]],Zakończone[],2,0),"BRAK")</f>
        <v>105</v>
      </c>
      <c r="C104">
        <f t="shared" si="3"/>
        <v>47</v>
      </c>
      <c r="D104" t="s">
        <v>1555</v>
      </c>
      <c r="E104" t="s">
        <v>118</v>
      </c>
      <c r="J104" t="s">
        <v>119</v>
      </c>
      <c r="K104" t="s">
        <v>1556</v>
      </c>
      <c r="L104" t="s">
        <v>1557</v>
      </c>
      <c r="M104">
        <v>1119</v>
      </c>
      <c r="O104">
        <v>0</v>
      </c>
      <c r="P104" t="s">
        <v>122</v>
      </c>
      <c r="Q104" s="1" t="s">
        <v>123</v>
      </c>
      <c r="V104" t="e">
        <f>VLOOKUP(AnalizaCzyste[[#This Row],[Moja satysfakcja z usług edukacyjnych ocenianej uczelni jest wysoka.]],SkalaLikerta[],2,0)</f>
        <v>#N/A</v>
      </c>
      <c r="AH104" s="1" t="s">
        <v>124</v>
      </c>
      <c r="AI104" t="s">
        <v>191</v>
      </c>
      <c r="AJ104" t="str">
        <f>VLOOKUP(AnalizaCzyste[[#This Row],[Jak się nazywa uczelnia którą ukończyłeś? (proszę o wybranie jednej uczelni podlegającej ocenie)]],KategorieUczelni[],2,0)</f>
        <v>Publiczna</v>
      </c>
      <c r="AK104" t="str">
        <f>VLOOKUP(AnalizaCzyste[[#This Row],[Jak się nazywa uczelnia którą ukończyłeś? (proszę o wybranie jednej uczelni podlegającej ocenie)]],KategorieUczelni[],3,0)</f>
        <v>Techniczna</v>
      </c>
      <c r="AL104">
        <f>COUNTIF(AnalizaCzyste[[#This Row],[Czy jesteś absolwentem uczelni wyższej?]],"*"&amp;"Tak"&amp;"*")</f>
        <v>1</v>
      </c>
      <c r="AM104">
        <v>1997</v>
      </c>
      <c r="AN104" t="s">
        <v>126</v>
      </c>
      <c r="AO104" t="s">
        <v>1558</v>
      </c>
      <c r="AP104" t="s">
        <v>150</v>
      </c>
      <c r="AQ104">
        <f>VLOOKUP(AnalizaCzyste[[#This Row],[Moja satysfakcja z (efektów) usług edukacyjnych ocenianej uczelni jest wysoka.]],SkalaLikerta[],2,0)</f>
        <v>6</v>
      </c>
      <c r="AR104" t="s">
        <v>150</v>
      </c>
      <c r="AS104" t="s">
        <v>150</v>
      </c>
      <c r="AT104" t="s">
        <v>150</v>
      </c>
      <c r="AU104" t="s">
        <v>150</v>
      </c>
      <c r="AV104" t="s">
        <v>1559</v>
      </c>
      <c r="AW104" t="s">
        <v>132</v>
      </c>
      <c r="AX104" t="str">
        <f>VLOOKUP(AnalizaCzyste[[#This Row],[w pierwszym roku po ukończeniu studiów : wybierz wartość z listy rozwijanej4]],Zarobki[],2,0)</f>
        <v>N/D</v>
      </c>
      <c r="AY104" t="s">
        <v>132</v>
      </c>
      <c r="AZ104" t="str">
        <f>VLOOKUP(AnalizaCzyste[[#This Row],[w 3 lata po ukończeniu studiów : wybierz wartość z listy rozwijanej5]],Zarobki[],2,0)</f>
        <v>N/D</v>
      </c>
      <c r="BA104" t="s">
        <v>1560</v>
      </c>
      <c r="BB104" t="s">
        <v>1561</v>
      </c>
      <c r="BC104" t="s">
        <v>1562</v>
      </c>
      <c r="BD104" t="s">
        <v>172</v>
      </c>
      <c r="BF104" s="1" t="s">
        <v>123</v>
      </c>
      <c r="BM104" t="e">
        <f>VLOOKUP(AnalizaCzyste[[#This Row],[Moja satysfakcja z (efektów) usług edukacyjnych ocenianej uczelni jest wysoka.8]],SkalaLikerta[],2,0)</f>
        <v>#N/A</v>
      </c>
      <c r="DA104" s="1" t="s">
        <v>123</v>
      </c>
      <c r="DE104" t="e">
        <f>VLOOKUP(AnalizaCzyste[[#This Row],[Moja satysfakcja z pracy na ocenianej uczelni jest wysoka.]],SkalaLikerta[],2,0)</f>
        <v>#N/A</v>
      </c>
      <c r="DL104" s="1" t="s">
        <v>123</v>
      </c>
      <c r="DP104" t="e">
        <f>VLOOKUP(AnalizaCzyste[[#This Row],[Moja satysfakcja z pracy na ocenianej uczelni jest wysoka.42]],SkalaLikerta[],2,0)</f>
        <v>#N/A</v>
      </c>
      <c r="DW104" s="1" t="s">
        <v>123</v>
      </c>
      <c r="EJ104" t="e">
        <f>VLOOKUP(AnalizaCzyste[[#This Row],[Ogólny poziom mojej satysfakcji z jakości usług edukacyjnych ocenianej uczelni jest wysoki.]],SkalaLikerta[],2,0)</f>
        <v>#N/A</v>
      </c>
      <c r="FA104" s="1" t="s">
        <v>123</v>
      </c>
      <c r="FF104" t="e">
        <f>VLOOKUP(AnalizaCzyste[[#This Row],[Moja satysfakcja z (efektów) usług edukacyjnych na ocenianej uczelni jest wysoka.]],SkalaLikerta[],2,0)</f>
        <v>#N/A</v>
      </c>
      <c r="GB104" s="1" t="s">
        <v>123</v>
      </c>
      <c r="GN104" t="e">
        <f>VLOOKUP(AnalizaCzyste[[#This Row],[Ogólny poziom mojej satysfakcji z jakości usług edukacyjnych ocenianej uczelni jest wysoki.32]],SkalaLikerta[],2,0)</f>
        <v>#N/A</v>
      </c>
      <c r="HK104" t="s">
        <v>1563</v>
      </c>
      <c r="HL104" t="s">
        <v>1564</v>
      </c>
      <c r="HM104" t="s">
        <v>1565</v>
      </c>
      <c r="HN104" t="s">
        <v>186</v>
      </c>
      <c r="HO104">
        <v>1972</v>
      </c>
      <c r="HP104" t="str">
        <f>VLOOKUP(AnalizaCzyste[[#This Row],[Rok urodzenia]],KategorieWiekowe[],2,1)</f>
        <v>46–55 lat</v>
      </c>
      <c r="HQ104" t="s">
        <v>483</v>
      </c>
      <c r="HS104" t="s">
        <v>1566</v>
      </c>
      <c r="HT104" t="s">
        <v>142</v>
      </c>
    </row>
    <row r="105" spans="1:229" x14ac:dyDescent="0.45">
      <c r="A105">
        <v>211</v>
      </c>
      <c r="B105">
        <f>_xlfn.IFNA(VLOOKUP(AnalizaCzyste[[#This Row],[Zakończono wypełnianie]],Zakończone[],2,0),"BRAK")</f>
        <v>115</v>
      </c>
      <c r="C105">
        <f t="shared" si="3"/>
        <v>49</v>
      </c>
      <c r="D105" t="s">
        <v>1572</v>
      </c>
      <c r="E105" t="s">
        <v>118</v>
      </c>
      <c r="J105" t="s">
        <v>119</v>
      </c>
      <c r="K105" t="s">
        <v>1738</v>
      </c>
      <c r="L105" t="s">
        <v>1739</v>
      </c>
      <c r="M105">
        <v>1112</v>
      </c>
      <c r="O105">
        <v>0</v>
      </c>
      <c r="P105" t="s">
        <v>122</v>
      </c>
      <c r="Q105" s="1" t="s">
        <v>123</v>
      </c>
      <c r="V105" t="e">
        <f>VLOOKUP(AnalizaCzyste[[#This Row],[Moja satysfakcja z usług edukacyjnych ocenianej uczelni jest wysoka.]],SkalaLikerta[],2,0)</f>
        <v>#N/A</v>
      </c>
      <c r="AH105" s="1" t="s">
        <v>124</v>
      </c>
      <c r="AI105" t="s">
        <v>191</v>
      </c>
      <c r="AJ105" s="20" t="str">
        <f>VLOOKUP(AnalizaCzyste[[#This Row],[Jak się nazywa uczelnia którą ukończyłeś? (proszę o wybranie jednej uczelni podlegającej ocenie)]],KategorieUczelni[],2,0)</f>
        <v>Publiczna</v>
      </c>
      <c r="AK105" s="20" t="str">
        <f>VLOOKUP(AnalizaCzyste[[#This Row],[Jak się nazywa uczelnia którą ukończyłeś? (proszę o wybranie jednej uczelni podlegającej ocenie)]],KategorieUczelni[],3,0)</f>
        <v>Techniczna</v>
      </c>
      <c r="AL105" s="20">
        <f>COUNTIF(AnalizaCzyste[[#This Row],[Czy jesteś absolwentem uczelni wyższej?]],"*"&amp;"Tak"&amp;"*")</f>
        <v>1</v>
      </c>
      <c r="AM105">
        <v>2001</v>
      </c>
      <c r="AN105" t="s">
        <v>126</v>
      </c>
      <c r="AO105" t="s">
        <v>1339</v>
      </c>
      <c r="AP105" t="s">
        <v>150</v>
      </c>
      <c r="AQ105">
        <f>VLOOKUP(AnalizaCzyste[[#This Row],[Moja satysfakcja z (efektów) usług edukacyjnych ocenianej uczelni jest wysoka.]],SkalaLikerta[],2,0)</f>
        <v>6</v>
      </c>
      <c r="AR105" t="s">
        <v>150</v>
      </c>
      <c r="AS105" t="s">
        <v>150</v>
      </c>
      <c r="AT105" t="s">
        <v>162</v>
      </c>
      <c r="AU105" t="s">
        <v>162</v>
      </c>
      <c r="AV105" t="s">
        <v>1740</v>
      </c>
      <c r="AW105" t="s">
        <v>131</v>
      </c>
      <c r="AX105">
        <f>VLOOKUP(AnalizaCzyste[[#This Row],[w pierwszym roku po ukończeniu studiów : wybierz wartość z listy rozwijanej4]],Zarobki[],2,0)</f>
        <v>1500</v>
      </c>
      <c r="AY105" t="s">
        <v>302</v>
      </c>
      <c r="AZ105">
        <f>VLOOKUP(AnalizaCzyste[[#This Row],[w 3 lata po ukończeniu studiów : wybierz wartość z listy rozwijanej5]],Zarobki[],2,0)</f>
        <v>2500</v>
      </c>
      <c r="BA105" t="s">
        <v>1741</v>
      </c>
      <c r="BB105" t="s">
        <v>1742</v>
      </c>
      <c r="BC105" t="s">
        <v>1743</v>
      </c>
      <c r="BD105" t="s">
        <v>157</v>
      </c>
      <c r="BE105" t="s">
        <v>1744</v>
      </c>
      <c r="BF105" s="1" t="s">
        <v>123</v>
      </c>
      <c r="BM105" t="e">
        <f>VLOOKUP(AnalizaCzyste[[#This Row],[Moja satysfakcja z (efektów) usług edukacyjnych ocenianej uczelni jest wysoka.8]],SkalaLikerta[],2,0)</f>
        <v>#N/A</v>
      </c>
      <c r="DA105" s="1" t="s">
        <v>123</v>
      </c>
      <c r="DE105" t="e">
        <f>VLOOKUP(AnalizaCzyste[[#This Row],[Moja satysfakcja z pracy na ocenianej uczelni jest wysoka.]],SkalaLikerta[],2,0)</f>
        <v>#N/A</v>
      </c>
      <c r="DL105" s="1" t="s">
        <v>123</v>
      </c>
      <c r="DP105" t="e">
        <f>VLOOKUP(AnalizaCzyste[[#This Row],[Moja satysfakcja z pracy na ocenianej uczelni jest wysoka.42]],SkalaLikerta[],2,0)</f>
        <v>#N/A</v>
      </c>
      <c r="DW105" s="1" t="s">
        <v>123</v>
      </c>
      <c r="EJ105" t="e">
        <f>VLOOKUP(AnalizaCzyste[[#This Row],[Ogólny poziom mojej satysfakcji z jakości usług edukacyjnych ocenianej uczelni jest wysoki.]],SkalaLikerta[],2,0)</f>
        <v>#N/A</v>
      </c>
      <c r="FA105" s="1" t="s">
        <v>123</v>
      </c>
      <c r="FF105" t="e">
        <f>VLOOKUP(AnalizaCzyste[[#This Row],[Moja satysfakcja z (efektów) usług edukacyjnych na ocenianej uczelni jest wysoka.]],SkalaLikerta[],2,0)</f>
        <v>#N/A</v>
      </c>
      <c r="GB105" s="1" t="s">
        <v>123</v>
      </c>
      <c r="GN105" t="e">
        <f>VLOOKUP(AnalizaCzyste[[#This Row],[Ogólny poziom mojej satysfakcji z jakości usług edukacyjnych ocenianej uczelni jest wysoki.32]],SkalaLikerta[],2,0)</f>
        <v>#N/A</v>
      </c>
      <c r="HK105" t="s">
        <v>1745</v>
      </c>
      <c r="HL105" t="s">
        <v>1746</v>
      </c>
      <c r="HM105" t="s">
        <v>1747</v>
      </c>
      <c r="HN105" t="s">
        <v>186</v>
      </c>
      <c r="HO105">
        <v>1976</v>
      </c>
      <c r="HP105" t="str">
        <f>VLOOKUP(AnalizaCzyste[[#This Row],[Rok urodzenia]],KategorieWiekowe[],2,1)</f>
        <v>36–45 lat</v>
      </c>
      <c r="HQ105" t="s">
        <v>141</v>
      </c>
      <c r="HS105" t="s">
        <v>1748</v>
      </c>
      <c r="HT105" t="s">
        <v>1749</v>
      </c>
      <c r="HU105" t="s">
        <v>1750</v>
      </c>
    </row>
    <row r="106" spans="1:229" x14ac:dyDescent="0.45">
      <c r="A106">
        <v>124</v>
      </c>
      <c r="B106">
        <f>_xlfn.IFNA(VLOOKUP(AnalizaCzyste[[#This Row],[Zakończono wypełnianie]],Zakończone[],2,0),"BRAK")</f>
        <v>73</v>
      </c>
      <c r="C106">
        <f t="shared" si="3"/>
        <v>48</v>
      </c>
      <c r="D106" t="s">
        <v>1151</v>
      </c>
      <c r="E106" t="s">
        <v>118</v>
      </c>
      <c r="F106" t="s">
        <v>1152</v>
      </c>
      <c r="J106" t="s">
        <v>119</v>
      </c>
      <c r="K106" t="s">
        <v>1153</v>
      </c>
      <c r="L106" t="s">
        <v>1154</v>
      </c>
      <c r="M106">
        <v>1159</v>
      </c>
      <c r="O106">
        <v>0</v>
      </c>
      <c r="P106" t="s">
        <v>122</v>
      </c>
      <c r="Q106" s="1" t="s">
        <v>123</v>
      </c>
      <c r="V106" t="e">
        <f>VLOOKUP(AnalizaCzyste[[#This Row],[Moja satysfakcja z usług edukacyjnych ocenianej uczelni jest wysoka.]],SkalaLikerta[],2,0)</f>
        <v>#N/A</v>
      </c>
      <c r="AH106" s="1" t="s">
        <v>124</v>
      </c>
      <c r="AI106" t="s">
        <v>191</v>
      </c>
      <c r="AJ106" t="str">
        <f>VLOOKUP(AnalizaCzyste[[#This Row],[Jak się nazywa uczelnia którą ukończyłeś? (proszę o wybranie jednej uczelni podlegającej ocenie)]],KategorieUczelni[],2,0)</f>
        <v>Publiczna</v>
      </c>
      <c r="AK106" t="str">
        <f>VLOOKUP(AnalizaCzyste[[#This Row],[Jak się nazywa uczelnia którą ukończyłeś? (proszę o wybranie jednej uczelni podlegającej ocenie)]],KategorieUczelni[],3,0)</f>
        <v>Techniczna</v>
      </c>
      <c r="AL106">
        <f>COUNTIF(AnalizaCzyste[[#This Row],[Czy jesteś absolwentem uczelni wyższej?]],"*"&amp;"Tak"&amp;"*")</f>
        <v>1</v>
      </c>
      <c r="AM106">
        <v>2018</v>
      </c>
      <c r="AN106" t="s">
        <v>126</v>
      </c>
      <c r="AO106" t="s">
        <v>969</v>
      </c>
      <c r="AP106" t="s">
        <v>150</v>
      </c>
      <c r="AQ106">
        <f>VLOOKUP(AnalizaCzyste[[#This Row],[Moja satysfakcja z (efektów) usług edukacyjnych ocenianej uczelni jest wysoka.]],SkalaLikerta[],2,0)</f>
        <v>6</v>
      </c>
      <c r="AR106" t="s">
        <v>150</v>
      </c>
      <c r="AS106" t="s">
        <v>162</v>
      </c>
      <c r="AT106" t="s">
        <v>128</v>
      </c>
      <c r="AU106" t="s">
        <v>151</v>
      </c>
      <c r="AV106" t="s">
        <v>530</v>
      </c>
      <c r="AW106" t="s">
        <v>131</v>
      </c>
      <c r="AX106">
        <f>VLOOKUP(AnalizaCzyste[[#This Row],[w pierwszym roku po ukończeniu studiów : wybierz wartość z listy rozwijanej4]],Zarobki[],2,0)</f>
        <v>1500</v>
      </c>
      <c r="AY106" t="s">
        <v>302</v>
      </c>
      <c r="AZ106">
        <f>VLOOKUP(AnalizaCzyste[[#This Row],[w 3 lata po ukończeniu studiów : wybierz wartość z listy rozwijanej5]],Zarobki[],2,0)</f>
        <v>2500</v>
      </c>
      <c r="BA106" t="s">
        <v>1155</v>
      </c>
      <c r="BB106" t="s">
        <v>1156</v>
      </c>
      <c r="BC106" t="s">
        <v>1157</v>
      </c>
      <c r="BD106" t="s">
        <v>230</v>
      </c>
      <c r="BE106" t="s">
        <v>1158</v>
      </c>
      <c r="BF106" s="1" t="s">
        <v>123</v>
      </c>
      <c r="BM106" t="e">
        <f>VLOOKUP(AnalizaCzyste[[#This Row],[Moja satysfakcja z (efektów) usług edukacyjnych ocenianej uczelni jest wysoka.8]],SkalaLikerta[],2,0)</f>
        <v>#N/A</v>
      </c>
      <c r="DA106" s="1" t="s">
        <v>123</v>
      </c>
      <c r="DE106" t="e">
        <f>VLOOKUP(AnalizaCzyste[[#This Row],[Moja satysfakcja z pracy na ocenianej uczelni jest wysoka.]],SkalaLikerta[],2,0)</f>
        <v>#N/A</v>
      </c>
      <c r="DL106" s="1" t="s">
        <v>123</v>
      </c>
      <c r="DP106" t="e">
        <f>VLOOKUP(AnalizaCzyste[[#This Row],[Moja satysfakcja z pracy na ocenianej uczelni jest wysoka.42]],SkalaLikerta[],2,0)</f>
        <v>#N/A</v>
      </c>
      <c r="DW106" s="1" t="s">
        <v>123</v>
      </c>
      <c r="EJ106" t="e">
        <f>VLOOKUP(AnalizaCzyste[[#This Row],[Ogólny poziom mojej satysfakcji z jakości usług edukacyjnych ocenianej uczelni jest wysoki.]],SkalaLikerta[],2,0)</f>
        <v>#N/A</v>
      </c>
      <c r="FA106" s="1" t="s">
        <v>123</v>
      </c>
      <c r="FF106" t="e">
        <f>VLOOKUP(AnalizaCzyste[[#This Row],[Moja satysfakcja z (efektów) usług edukacyjnych na ocenianej uczelni jest wysoka.]],SkalaLikerta[],2,0)</f>
        <v>#N/A</v>
      </c>
      <c r="GB106" s="1" t="s">
        <v>123</v>
      </c>
      <c r="GN106" t="e">
        <f>VLOOKUP(AnalizaCzyste[[#This Row],[Ogólny poziom mojej satysfakcji z jakości usług edukacyjnych ocenianej uczelni jest wysoki.32]],SkalaLikerta[],2,0)</f>
        <v>#N/A</v>
      </c>
      <c r="HK106" t="s">
        <v>1159</v>
      </c>
      <c r="HL106" t="s">
        <v>1160</v>
      </c>
      <c r="HM106" t="s">
        <v>1161</v>
      </c>
      <c r="HN106" t="s">
        <v>140</v>
      </c>
      <c r="HO106">
        <v>1991</v>
      </c>
      <c r="HP106" t="str">
        <f>VLOOKUP(AnalizaCzyste[[#This Row],[Rok urodzenia]],KategorieWiekowe[],2,1)</f>
        <v>26–35 lat</v>
      </c>
      <c r="HQ106" t="s">
        <v>483</v>
      </c>
      <c r="HS106" t="s">
        <v>1162</v>
      </c>
      <c r="HT106" t="s">
        <v>142</v>
      </c>
    </row>
    <row r="107" spans="1:229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46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O107">
        <v>0</v>
      </c>
      <c r="P107" t="s">
        <v>122</v>
      </c>
      <c r="Q107" s="1" t="s">
        <v>123</v>
      </c>
      <c r="V107" t="e">
        <f>VLOOKUP(AnalizaCzyste[[#This Row],[Moja satysfakcja z usług edukacyjnych ocenianej uczelni jest wysoka.]],SkalaLikerta[],2,0)</f>
        <v>#N/A</v>
      </c>
      <c r="AH107" s="1" t="s">
        <v>124</v>
      </c>
      <c r="AI107" t="s">
        <v>191</v>
      </c>
      <c r="AJ107" t="str">
        <f>VLOOKUP(AnalizaCzyste[[#This Row],[Jak się nazywa uczelnia którą ukończyłeś? (proszę o wybranie jednej uczelni podlegającej ocenie)]],KategorieUczelni[],2,0)</f>
        <v>Publiczna</v>
      </c>
      <c r="AK107" t="str">
        <f>VLOOKUP(AnalizaCzyste[[#This Row],[Jak się nazywa uczelnia którą ukończyłeś? (proszę o wybranie jednej uczelni podlegającej ocenie)]],KategorieUczelni[],3,0)</f>
        <v>Techniczna</v>
      </c>
      <c r="AL107">
        <f>COUNTIF(AnalizaCzyste[[#This Row],[Czy jesteś absolwentem uczelni wyższej?]],"*"&amp;"Tak"&amp;"*")</f>
        <v>1</v>
      </c>
      <c r="AM107">
        <v>2018</v>
      </c>
      <c r="AN107" t="s">
        <v>126</v>
      </c>
      <c r="AO107" t="s">
        <v>192</v>
      </c>
      <c r="AP107" t="s">
        <v>150</v>
      </c>
      <c r="AQ107">
        <f>VLOOKUP(AnalizaCzyste[[#This Row],[Moja satysfakcja z (efektów) usług edukacyjnych ocenianej uczelni jest wysoka.]],SkalaLikerta[],2,0)</f>
        <v>6</v>
      </c>
      <c r="AR107" t="s">
        <v>162</v>
      </c>
      <c r="AS107" t="s">
        <v>150</v>
      </c>
      <c r="AT107" t="s">
        <v>162</v>
      </c>
      <c r="AU107" t="s">
        <v>169</v>
      </c>
      <c r="AV107" t="s">
        <v>237</v>
      </c>
      <c r="AW107" t="s">
        <v>153</v>
      </c>
      <c r="AX107">
        <f>VLOOKUP(AnalizaCzyste[[#This Row],[w pierwszym roku po ukończeniu studiów : wybierz wartość z listy rozwijanej4]],Zarobki[],2,0)</f>
        <v>3500</v>
      </c>
      <c r="AY107" t="s">
        <v>209</v>
      </c>
      <c r="AZ107">
        <f>VLOOKUP(AnalizaCzyste[[#This Row],[w 3 lata po ukończeniu studiów : wybierz wartość z listy rozwijanej5]],Zarobki[],2,0)</f>
        <v>7500</v>
      </c>
      <c r="BA107" t="s">
        <v>1548</v>
      </c>
      <c r="BB107" t="s">
        <v>1549</v>
      </c>
      <c r="BC107" t="s">
        <v>1550</v>
      </c>
      <c r="BD107" t="s">
        <v>230</v>
      </c>
      <c r="BF107" s="1" t="s">
        <v>123</v>
      </c>
      <c r="BM107" t="e">
        <f>VLOOKUP(AnalizaCzyste[[#This Row],[Moja satysfakcja z (efektów) usług edukacyjnych ocenianej uczelni jest wysoka.8]],SkalaLikerta[],2,0)</f>
        <v>#N/A</v>
      </c>
      <c r="DA107" s="1" t="s">
        <v>123</v>
      </c>
      <c r="DE107" t="e">
        <f>VLOOKUP(AnalizaCzyste[[#This Row],[Moja satysfakcja z pracy na ocenianej uczelni jest wysoka.]],SkalaLikerta[],2,0)</f>
        <v>#N/A</v>
      </c>
      <c r="DL107" s="1" t="s">
        <v>123</v>
      </c>
      <c r="DP107" t="e">
        <f>VLOOKUP(AnalizaCzyste[[#This Row],[Moja satysfakcja z pracy na ocenianej uczelni jest wysoka.42]],SkalaLikerta[],2,0)</f>
        <v>#N/A</v>
      </c>
      <c r="DW107" s="1" t="s">
        <v>123</v>
      </c>
      <c r="EJ107" t="e">
        <f>VLOOKUP(AnalizaCzyste[[#This Row],[Ogólny poziom mojej satysfakcji z jakości usług edukacyjnych ocenianej uczelni jest wysoki.]],SkalaLikerta[],2,0)</f>
        <v>#N/A</v>
      </c>
      <c r="FA107" s="1" t="s">
        <v>123</v>
      </c>
      <c r="FF107" t="e">
        <f>VLOOKUP(AnalizaCzyste[[#This Row],[Moja satysfakcja z (efektów) usług edukacyjnych na ocenianej uczelni jest wysoka.]],SkalaLikerta[],2,0)</f>
        <v>#N/A</v>
      </c>
      <c r="GB107" s="1" t="s">
        <v>123</v>
      </c>
      <c r="GN107" t="e">
        <f>VLOOKUP(AnalizaCzyste[[#This Row],[Ogólny poziom mojej satysfakcji z jakości usług edukacyjnych ocenianej uczelni jest wysoki.32]],SkalaLikerta[],2,0)</f>
        <v>#N/A</v>
      </c>
      <c r="HK107" t="s">
        <v>1551</v>
      </c>
      <c r="HL107" t="s">
        <v>1552</v>
      </c>
      <c r="HM107" t="s">
        <v>1553</v>
      </c>
      <c r="HN107" t="s">
        <v>186</v>
      </c>
      <c r="HO107">
        <v>1994</v>
      </c>
      <c r="HP107" t="str">
        <f>VLOOKUP(AnalizaCzyste[[#This Row],[Rok urodzenia]],KategorieWiekowe[],2,1)</f>
        <v>26–35 lat</v>
      </c>
      <c r="HQ107" t="s">
        <v>483</v>
      </c>
      <c r="HS107" t="s">
        <v>1554</v>
      </c>
    </row>
    <row r="108" spans="1:229" x14ac:dyDescent="0.45">
      <c r="A108">
        <v>234</v>
      </c>
      <c r="B108">
        <f>_xlfn.IFNA(VLOOKUP(AnalizaCzyste[[#This Row],[Zakończono wypełnianie]],Zakończone[],2,0),"BRAK")</f>
        <v>126</v>
      </c>
      <c r="C108">
        <f t="shared" si="3"/>
        <v>44</v>
      </c>
      <c r="D108" t="s">
        <v>1890</v>
      </c>
      <c r="E108" t="s">
        <v>118</v>
      </c>
      <c r="J108" t="s">
        <v>119</v>
      </c>
      <c r="K108" t="s">
        <v>1891</v>
      </c>
      <c r="L108" t="s">
        <v>1892</v>
      </c>
      <c r="M108">
        <v>680</v>
      </c>
      <c r="O108">
        <v>0</v>
      </c>
      <c r="P108" t="s">
        <v>122</v>
      </c>
      <c r="Q108" s="1" t="s">
        <v>123</v>
      </c>
      <c r="V108" t="e">
        <f>VLOOKUP(AnalizaCzyste[[#This Row],[Moja satysfakcja z usług edukacyjnych ocenianej uczelni jest wysoka.]],SkalaLikerta[],2,0)</f>
        <v>#N/A</v>
      </c>
      <c r="AH108" s="1" t="s">
        <v>124</v>
      </c>
      <c r="AI108" t="s">
        <v>191</v>
      </c>
      <c r="AJ108" t="str">
        <f>VLOOKUP(AnalizaCzyste[[#This Row],[Jak się nazywa uczelnia którą ukończyłeś? (proszę o wybranie jednej uczelni podlegającej ocenie)]],KategorieUczelni[],2,0)</f>
        <v>Publiczna</v>
      </c>
      <c r="AK108" t="str">
        <f>VLOOKUP(AnalizaCzyste[[#This Row],[Jak się nazywa uczelnia którą ukończyłeś? (proszę o wybranie jednej uczelni podlegającej ocenie)]],KategorieUczelni[],3,0)</f>
        <v>Techniczna</v>
      </c>
      <c r="AL108">
        <f>COUNTIF(AnalizaCzyste[[#This Row],[Czy jesteś absolwentem uczelni wyższej?]],"*"&amp;"Tak"&amp;"*")</f>
        <v>1</v>
      </c>
      <c r="AM108">
        <v>2016</v>
      </c>
      <c r="AN108" t="s">
        <v>126</v>
      </c>
      <c r="AO108" t="s">
        <v>1893</v>
      </c>
      <c r="AP108" t="s">
        <v>150</v>
      </c>
      <c r="AQ108">
        <f>VLOOKUP(AnalizaCzyste[[#This Row],[Moja satysfakcja z (efektów) usług edukacyjnych ocenianej uczelni jest wysoka.]],SkalaLikerta[],2,0)</f>
        <v>6</v>
      </c>
      <c r="AR108" t="s">
        <v>150</v>
      </c>
      <c r="AS108" t="s">
        <v>150</v>
      </c>
      <c r="AT108" t="s">
        <v>128</v>
      </c>
      <c r="AU108" t="s">
        <v>150</v>
      </c>
      <c r="AV108" t="s">
        <v>530</v>
      </c>
      <c r="AW108" t="s">
        <v>302</v>
      </c>
      <c r="AX108">
        <f>VLOOKUP(AnalizaCzyste[[#This Row],[w pierwszym roku po ukończeniu studiów : wybierz wartość z listy rozwijanej4]],Zarobki[],2,0)</f>
        <v>2500</v>
      </c>
      <c r="AY108" t="s">
        <v>226</v>
      </c>
      <c r="AZ108">
        <f>VLOOKUP(AnalizaCzyste[[#This Row],[w 3 lata po ukończeniu studiów : wybierz wartość z listy rozwijanej5]],Zarobki[],2,0)</f>
        <v>4500</v>
      </c>
      <c r="BB108" t="s">
        <v>1894</v>
      </c>
      <c r="BC108" t="s">
        <v>1895</v>
      </c>
      <c r="BD108" t="s">
        <v>157</v>
      </c>
      <c r="BF108" s="1" t="s">
        <v>123</v>
      </c>
      <c r="BM108" t="e">
        <f>VLOOKUP(AnalizaCzyste[[#This Row],[Moja satysfakcja z (efektów) usług edukacyjnych ocenianej uczelni jest wysoka.8]],SkalaLikerta[],2,0)</f>
        <v>#N/A</v>
      </c>
      <c r="DA108" s="1" t="s">
        <v>123</v>
      </c>
      <c r="DE108" t="e">
        <f>VLOOKUP(AnalizaCzyste[[#This Row],[Moja satysfakcja z pracy na ocenianej uczelni jest wysoka.]],SkalaLikerta[],2,0)</f>
        <v>#N/A</v>
      </c>
      <c r="DL108" s="1" t="s">
        <v>123</v>
      </c>
      <c r="DP108" t="e">
        <f>VLOOKUP(AnalizaCzyste[[#This Row],[Moja satysfakcja z pracy na ocenianej uczelni jest wysoka.42]],SkalaLikerta[],2,0)</f>
        <v>#N/A</v>
      </c>
      <c r="DW108" s="1" t="s">
        <v>123</v>
      </c>
      <c r="EJ108" t="e">
        <f>VLOOKUP(AnalizaCzyste[[#This Row],[Ogólny poziom mojej satysfakcji z jakości usług edukacyjnych ocenianej uczelni jest wysoki.]],SkalaLikerta[],2,0)</f>
        <v>#N/A</v>
      </c>
      <c r="FA108" s="1" t="s">
        <v>123</v>
      </c>
      <c r="FF108" t="e">
        <f>VLOOKUP(AnalizaCzyste[[#This Row],[Moja satysfakcja z (efektów) usług edukacyjnych na ocenianej uczelni jest wysoka.]],SkalaLikerta[],2,0)</f>
        <v>#N/A</v>
      </c>
      <c r="GB108" s="1" t="s">
        <v>123</v>
      </c>
      <c r="GN108" t="e">
        <f>VLOOKUP(AnalizaCzyste[[#This Row],[Ogólny poziom mojej satysfakcji z jakości usług edukacyjnych ocenianej uczelni jest wysoki.32]],SkalaLikerta[],2,0)</f>
        <v>#N/A</v>
      </c>
      <c r="HK108" t="s">
        <v>1896</v>
      </c>
      <c r="HL108" t="s">
        <v>1897</v>
      </c>
      <c r="HM108" t="s">
        <v>1898</v>
      </c>
      <c r="HN108" t="s">
        <v>140</v>
      </c>
      <c r="HO108">
        <v>1991</v>
      </c>
      <c r="HP108" t="str">
        <f>VLOOKUP(AnalizaCzyste[[#This Row],[Rok urodzenia]],KategorieWiekowe[],2,1)</f>
        <v>26–35 lat</v>
      </c>
      <c r="HQ108" t="s">
        <v>398</v>
      </c>
    </row>
    <row r="109" spans="1:229" x14ac:dyDescent="0.45">
      <c r="A109">
        <v>245</v>
      </c>
      <c r="B109">
        <f>_xlfn.IFNA(VLOOKUP(AnalizaCzyste[[#This Row],[Zakończono wypełnianie]],Zakończone[],2,0),"BRAK")</f>
        <v>131</v>
      </c>
      <c r="C109">
        <f t="shared" si="3"/>
        <v>46</v>
      </c>
      <c r="D109" t="s">
        <v>1965</v>
      </c>
      <c r="E109" t="s">
        <v>118</v>
      </c>
      <c r="F109" t="s">
        <v>1966</v>
      </c>
      <c r="J109" t="s">
        <v>119</v>
      </c>
      <c r="K109" t="s">
        <v>1967</v>
      </c>
      <c r="L109" t="s">
        <v>1968</v>
      </c>
      <c r="M109">
        <v>504</v>
      </c>
      <c r="O109">
        <v>0</v>
      </c>
      <c r="P109" t="s">
        <v>122</v>
      </c>
      <c r="Q109" s="1" t="s">
        <v>123</v>
      </c>
      <c r="V109" t="e">
        <f>VLOOKUP(AnalizaCzyste[[#This Row],[Moja satysfakcja z usług edukacyjnych ocenianej uczelni jest wysoka.]],SkalaLikerta[],2,0)</f>
        <v>#N/A</v>
      </c>
      <c r="AH109" s="1" t="s">
        <v>124</v>
      </c>
      <c r="AI109" t="s">
        <v>191</v>
      </c>
      <c r="AJ109" t="str">
        <f>VLOOKUP(AnalizaCzyste[[#This Row],[Jak się nazywa uczelnia którą ukończyłeś? (proszę o wybranie jednej uczelni podlegającej ocenie)]],KategorieUczelni[],2,0)</f>
        <v>Publiczna</v>
      </c>
      <c r="AK109" t="str">
        <f>VLOOKUP(AnalizaCzyste[[#This Row],[Jak się nazywa uczelnia którą ukończyłeś? (proszę o wybranie jednej uczelni podlegającej ocenie)]],KategorieUczelni[],3,0)</f>
        <v>Techniczna</v>
      </c>
      <c r="AL109">
        <f>COUNTIF(AnalizaCzyste[[#This Row],[Czy jesteś absolwentem uczelni wyższej?]],"*"&amp;"Tak"&amp;"*")</f>
        <v>1</v>
      </c>
      <c r="AM109">
        <v>2003</v>
      </c>
      <c r="AN109" t="s">
        <v>126</v>
      </c>
      <c r="AO109" t="s">
        <v>127</v>
      </c>
      <c r="AP109" t="s">
        <v>150</v>
      </c>
      <c r="AQ109">
        <f>VLOOKUP(AnalizaCzyste[[#This Row],[Moja satysfakcja z (efektów) usług edukacyjnych ocenianej uczelni jest wysoka.]],SkalaLikerta[],2,0)</f>
        <v>6</v>
      </c>
      <c r="AR109" t="s">
        <v>150</v>
      </c>
      <c r="AS109" t="s">
        <v>162</v>
      </c>
      <c r="AT109" t="s">
        <v>151</v>
      </c>
      <c r="AU109" t="s">
        <v>151</v>
      </c>
      <c r="AV109" t="s">
        <v>237</v>
      </c>
      <c r="AW109" t="s">
        <v>152</v>
      </c>
      <c r="AX109">
        <f>VLOOKUP(AnalizaCzyste[[#This Row],[w pierwszym roku po ukończeniu studiów : wybierz wartość z listy rozwijanej4]],Zarobki[],2,0)</f>
        <v>500</v>
      </c>
      <c r="AY109" t="s">
        <v>131</v>
      </c>
      <c r="AZ109">
        <f>VLOOKUP(AnalizaCzyste[[#This Row],[w 3 lata po ukończeniu studiów : wybierz wartość z listy rozwijanej5]],Zarobki[],2,0)</f>
        <v>1500</v>
      </c>
      <c r="BA109" t="s">
        <v>1969</v>
      </c>
      <c r="BB109" t="s">
        <v>1970</v>
      </c>
      <c r="BC109" t="s">
        <v>1971</v>
      </c>
      <c r="BD109" t="s">
        <v>157</v>
      </c>
      <c r="BE109" t="s">
        <v>1972</v>
      </c>
      <c r="BF109" s="1" t="s">
        <v>123</v>
      </c>
      <c r="BM109" t="e">
        <f>VLOOKUP(AnalizaCzyste[[#This Row],[Moja satysfakcja z (efektów) usług edukacyjnych ocenianej uczelni jest wysoka.8]],SkalaLikerta[],2,0)</f>
        <v>#N/A</v>
      </c>
      <c r="DA109" s="1" t="s">
        <v>123</v>
      </c>
      <c r="DE109" t="e">
        <f>VLOOKUP(AnalizaCzyste[[#This Row],[Moja satysfakcja z pracy na ocenianej uczelni jest wysoka.]],SkalaLikerta[],2,0)</f>
        <v>#N/A</v>
      </c>
      <c r="DL109" s="1" t="s">
        <v>123</v>
      </c>
      <c r="DP109" t="e">
        <f>VLOOKUP(AnalizaCzyste[[#This Row],[Moja satysfakcja z pracy na ocenianej uczelni jest wysoka.42]],SkalaLikerta[],2,0)</f>
        <v>#N/A</v>
      </c>
      <c r="DW109" s="1" t="s">
        <v>123</v>
      </c>
      <c r="EJ109" t="e">
        <f>VLOOKUP(AnalizaCzyste[[#This Row],[Ogólny poziom mojej satysfakcji z jakości usług edukacyjnych ocenianej uczelni jest wysoki.]],SkalaLikerta[],2,0)</f>
        <v>#N/A</v>
      </c>
      <c r="FA109" s="1" t="s">
        <v>123</v>
      </c>
      <c r="FF109" t="e">
        <f>VLOOKUP(AnalizaCzyste[[#This Row],[Moja satysfakcja z (efektów) usług edukacyjnych na ocenianej uczelni jest wysoka.]],SkalaLikerta[],2,0)</f>
        <v>#N/A</v>
      </c>
      <c r="GB109" s="1" t="s">
        <v>123</v>
      </c>
      <c r="GN109" t="e">
        <f>VLOOKUP(AnalizaCzyste[[#This Row],[Ogólny poziom mojej satysfakcji z jakości usług edukacyjnych ocenianej uczelni jest wysoki.32]],SkalaLikerta[],2,0)</f>
        <v>#N/A</v>
      </c>
      <c r="HK109" t="s">
        <v>1973</v>
      </c>
      <c r="HL109" t="s">
        <v>1363</v>
      </c>
      <c r="HM109" t="s">
        <v>1974</v>
      </c>
      <c r="HN109" t="s">
        <v>140</v>
      </c>
      <c r="HO109">
        <v>1979</v>
      </c>
      <c r="HP109" t="str">
        <f>VLOOKUP(AnalizaCzyste[[#This Row],[Rok urodzenia]],KategorieWiekowe[],2,1)</f>
        <v>36–45 lat</v>
      </c>
      <c r="HQ109" t="s">
        <v>141</v>
      </c>
    </row>
    <row r="110" spans="1:229" x14ac:dyDescent="0.45">
      <c r="A110">
        <v>236</v>
      </c>
      <c r="B110">
        <f>_xlfn.IFNA(VLOOKUP(AnalizaCzyste[[#This Row],[Zakończono wypełnianie]],Zakończone[],2,0),"BRAK")</f>
        <v>128</v>
      </c>
      <c r="C110">
        <f t="shared" si="3"/>
        <v>48</v>
      </c>
      <c r="D110" t="s">
        <v>1910</v>
      </c>
      <c r="E110" t="s">
        <v>118</v>
      </c>
      <c r="F110" t="s">
        <v>1911</v>
      </c>
      <c r="J110" t="s">
        <v>119</v>
      </c>
      <c r="K110" t="s">
        <v>1912</v>
      </c>
      <c r="L110" t="s">
        <v>1913</v>
      </c>
      <c r="M110">
        <v>1026</v>
      </c>
      <c r="O110">
        <v>0</v>
      </c>
      <c r="P110" t="s">
        <v>122</v>
      </c>
      <c r="Q110" s="1" t="s">
        <v>123</v>
      </c>
      <c r="V110" t="e">
        <f>VLOOKUP(AnalizaCzyste[[#This Row],[Moja satysfakcja z usług edukacyjnych ocenianej uczelni jest wysoka.]],SkalaLikerta[],2,0)</f>
        <v>#N/A</v>
      </c>
      <c r="AH110" s="1" t="s">
        <v>124</v>
      </c>
      <c r="AI110" t="s">
        <v>191</v>
      </c>
      <c r="AJ110" t="str">
        <f>VLOOKUP(AnalizaCzyste[[#This Row],[Jak się nazywa uczelnia którą ukończyłeś? (proszę o wybranie jednej uczelni podlegającej ocenie)]],KategorieUczelni[],2,0)</f>
        <v>Publiczna</v>
      </c>
      <c r="AK110" t="str">
        <f>VLOOKUP(AnalizaCzyste[[#This Row],[Jak się nazywa uczelnia którą ukończyłeś? (proszę o wybranie jednej uczelni podlegającej ocenie)]],KategorieUczelni[],3,0)</f>
        <v>Techniczna</v>
      </c>
      <c r="AL110">
        <f>COUNTIF(AnalizaCzyste[[#This Row],[Czy jesteś absolwentem uczelni wyższej?]],"*"&amp;"Tak"&amp;"*")</f>
        <v>1</v>
      </c>
      <c r="AM110">
        <v>2011</v>
      </c>
      <c r="AN110" t="s">
        <v>126</v>
      </c>
      <c r="AO110" t="s">
        <v>1914</v>
      </c>
      <c r="AP110" t="s">
        <v>150</v>
      </c>
      <c r="AQ110">
        <f>VLOOKUP(AnalizaCzyste[[#This Row],[Moja satysfakcja z (efektów) usług edukacyjnych ocenianej uczelni jest wysoka.]],SkalaLikerta[],2,0)</f>
        <v>6</v>
      </c>
      <c r="AR110" t="s">
        <v>162</v>
      </c>
      <c r="AS110" t="s">
        <v>150</v>
      </c>
      <c r="AT110" t="s">
        <v>151</v>
      </c>
      <c r="AU110" t="s">
        <v>169</v>
      </c>
      <c r="AV110" t="s">
        <v>1362</v>
      </c>
      <c r="AW110" t="s">
        <v>131</v>
      </c>
      <c r="AX110">
        <f>VLOOKUP(AnalizaCzyste[[#This Row],[w pierwszym roku po ukończeniu studiów : wybierz wartość z listy rozwijanej4]],Zarobki[],2,0)</f>
        <v>1500</v>
      </c>
      <c r="AY110" t="s">
        <v>759</v>
      </c>
      <c r="AZ110">
        <f>VLOOKUP(AnalizaCzyste[[#This Row],[w 3 lata po ukończeniu studiów : wybierz wartość z listy rozwijanej5]],Zarobki[],2,0)</f>
        <v>5500</v>
      </c>
      <c r="BA110" t="s">
        <v>1915</v>
      </c>
      <c r="BB110" t="s">
        <v>1916</v>
      </c>
      <c r="BC110" t="s">
        <v>1917</v>
      </c>
      <c r="BE110" t="s">
        <v>1918</v>
      </c>
      <c r="BF110" s="1" t="s">
        <v>123</v>
      </c>
      <c r="BM110" t="e">
        <f>VLOOKUP(AnalizaCzyste[[#This Row],[Moja satysfakcja z (efektów) usług edukacyjnych ocenianej uczelni jest wysoka.8]],SkalaLikerta[],2,0)</f>
        <v>#N/A</v>
      </c>
      <c r="DA110" s="1" t="s">
        <v>123</v>
      </c>
      <c r="DE110" t="e">
        <f>VLOOKUP(AnalizaCzyste[[#This Row],[Moja satysfakcja z pracy na ocenianej uczelni jest wysoka.]],SkalaLikerta[],2,0)</f>
        <v>#N/A</v>
      </c>
      <c r="DL110" s="1" t="s">
        <v>123</v>
      </c>
      <c r="DP110" t="e">
        <f>VLOOKUP(AnalizaCzyste[[#This Row],[Moja satysfakcja z pracy na ocenianej uczelni jest wysoka.42]],SkalaLikerta[],2,0)</f>
        <v>#N/A</v>
      </c>
      <c r="DW110" s="1" t="s">
        <v>123</v>
      </c>
      <c r="EJ110" t="e">
        <f>VLOOKUP(AnalizaCzyste[[#This Row],[Ogólny poziom mojej satysfakcji z jakości usług edukacyjnych ocenianej uczelni jest wysoki.]],SkalaLikerta[],2,0)</f>
        <v>#N/A</v>
      </c>
      <c r="FA110" s="1" t="s">
        <v>123</v>
      </c>
      <c r="FF110" t="e">
        <f>VLOOKUP(AnalizaCzyste[[#This Row],[Moja satysfakcja z (efektów) usług edukacyjnych na ocenianej uczelni jest wysoka.]],SkalaLikerta[],2,0)</f>
        <v>#N/A</v>
      </c>
      <c r="GB110" s="1" t="s">
        <v>123</v>
      </c>
      <c r="GN110" t="e">
        <f>VLOOKUP(AnalizaCzyste[[#This Row],[Ogólny poziom mojej satysfakcji z jakości usług edukacyjnych ocenianej uczelni jest wysoki.32]],SkalaLikerta[],2,0)</f>
        <v>#N/A</v>
      </c>
      <c r="HK110" t="s">
        <v>1919</v>
      </c>
      <c r="HL110" t="s">
        <v>1920</v>
      </c>
      <c r="HM110" t="s">
        <v>1921</v>
      </c>
      <c r="HN110" t="s">
        <v>140</v>
      </c>
      <c r="HO110">
        <v>1987</v>
      </c>
      <c r="HP110" t="str">
        <f>VLOOKUP(AnalizaCzyste[[#This Row],[Rok urodzenia]],KategorieWiekowe[],2,1)</f>
        <v>26–35 lat</v>
      </c>
      <c r="HQ110" t="s">
        <v>220</v>
      </c>
      <c r="HS110" t="s">
        <v>1922</v>
      </c>
      <c r="HT110" t="s">
        <v>1923</v>
      </c>
      <c r="HU110" t="s">
        <v>1924</v>
      </c>
    </row>
    <row r="111" spans="1:229" x14ac:dyDescent="0.45">
      <c r="A111">
        <v>16</v>
      </c>
      <c r="B111">
        <f>_xlfn.IFNA(VLOOKUP(AnalizaCzyste[[#This Row],[Zakończono wypełnianie]],Zakończone[],2,0),"BRAK")</f>
        <v>15</v>
      </c>
      <c r="C111">
        <f t="shared" si="3"/>
        <v>48</v>
      </c>
      <c r="D111" t="s">
        <v>347</v>
      </c>
      <c r="E111" t="s">
        <v>118</v>
      </c>
      <c r="J111" t="s">
        <v>119</v>
      </c>
      <c r="K111" t="s">
        <v>348</v>
      </c>
      <c r="L111" t="s">
        <v>349</v>
      </c>
      <c r="M111">
        <v>781</v>
      </c>
      <c r="O111">
        <v>0</v>
      </c>
      <c r="P111" t="s">
        <v>122</v>
      </c>
      <c r="Q111" s="1" t="s">
        <v>123</v>
      </c>
      <c r="V111" t="e">
        <f>VLOOKUP(AnalizaCzyste[[#This Row],[Moja satysfakcja z usług edukacyjnych ocenianej uczelni jest wysoka.]],SkalaLikerta[],2,0)</f>
        <v>#N/A</v>
      </c>
      <c r="AH111" s="1" t="s">
        <v>124</v>
      </c>
      <c r="AI111" t="s">
        <v>191</v>
      </c>
      <c r="AJ111" t="str">
        <f>VLOOKUP(AnalizaCzyste[[#This Row],[Jak się nazywa uczelnia którą ukończyłeś? (proszę o wybranie jednej uczelni podlegającej ocenie)]],KategorieUczelni[],2,0)</f>
        <v>Publiczna</v>
      </c>
      <c r="AK111" t="str">
        <f>VLOOKUP(AnalizaCzyste[[#This Row],[Jak się nazywa uczelnia którą ukończyłeś? (proszę o wybranie jednej uczelni podlegającej ocenie)]],KategorieUczelni[],3,0)</f>
        <v>Techniczna</v>
      </c>
      <c r="AL111">
        <f>COUNTIF(AnalizaCzyste[[#This Row],[Czy jesteś absolwentem uczelni wyższej?]],"*"&amp;"Tak"&amp;"*")</f>
        <v>1</v>
      </c>
      <c r="AM111">
        <v>2010</v>
      </c>
      <c r="AN111" t="s">
        <v>126</v>
      </c>
      <c r="AO111" t="s">
        <v>127</v>
      </c>
      <c r="AP111" t="s">
        <v>150</v>
      </c>
      <c r="AQ111">
        <f>VLOOKUP(AnalizaCzyste[[#This Row],[Moja satysfakcja z (efektów) usług edukacyjnych ocenianej uczelni jest wysoka.]],SkalaLikerta[],2,0)</f>
        <v>6</v>
      </c>
      <c r="AR111" t="s">
        <v>128</v>
      </c>
      <c r="AS111" t="s">
        <v>151</v>
      </c>
      <c r="AT111" t="s">
        <v>162</v>
      </c>
      <c r="AU111" t="s">
        <v>162</v>
      </c>
      <c r="AV111" t="s">
        <v>350</v>
      </c>
      <c r="AW111" t="s">
        <v>302</v>
      </c>
      <c r="AX111">
        <f>VLOOKUP(AnalizaCzyste[[#This Row],[w pierwszym roku po ukończeniu studiów : wybierz wartość z listy rozwijanej4]],Zarobki[],2,0)</f>
        <v>2500</v>
      </c>
      <c r="AY111" t="s">
        <v>302</v>
      </c>
      <c r="AZ111">
        <f>VLOOKUP(AnalizaCzyste[[#This Row],[w 3 lata po ukończeniu studiów : wybierz wartość z listy rozwijanej5]],Zarobki[],2,0)</f>
        <v>2500</v>
      </c>
      <c r="BA111" t="s">
        <v>351</v>
      </c>
      <c r="BB111" t="s">
        <v>352</v>
      </c>
      <c r="BC111" t="s">
        <v>353</v>
      </c>
      <c r="BD111" t="s">
        <v>157</v>
      </c>
      <c r="BF111" s="1" t="s">
        <v>123</v>
      </c>
      <c r="BM111" t="e">
        <f>VLOOKUP(AnalizaCzyste[[#This Row],[Moja satysfakcja z (efektów) usług edukacyjnych ocenianej uczelni jest wysoka.8]],SkalaLikerta[],2,0)</f>
        <v>#N/A</v>
      </c>
      <c r="DA111" s="1" t="s">
        <v>123</v>
      </c>
      <c r="DE111" t="e">
        <f>VLOOKUP(AnalizaCzyste[[#This Row],[Moja satysfakcja z pracy na ocenianej uczelni jest wysoka.]],SkalaLikerta[],2,0)</f>
        <v>#N/A</v>
      </c>
      <c r="DL111" s="1" t="s">
        <v>123</v>
      </c>
      <c r="DP111" t="e">
        <f>VLOOKUP(AnalizaCzyste[[#This Row],[Moja satysfakcja z pracy na ocenianej uczelni jest wysoka.42]],SkalaLikerta[],2,0)</f>
        <v>#N/A</v>
      </c>
      <c r="DW111" s="1" t="s">
        <v>123</v>
      </c>
      <c r="EJ111" t="e">
        <f>VLOOKUP(AnalizaCzyste[[#This Row],[Ogólny poziom mojej satysfakcji z jakości usług edukacyjnych ocenianej uczelni jest wysoki.]],SkalaLikerta[],2,0)</f>
        <v>#N/A</v>
      </c>
      <c r="FA111" s="1" t="s">
        <v>123</v>
      </c>
      <c r="FC111" t="s">
        <v>132</v>
      </c>
      <c r="FF111" t="e">
        <f>VLOOKUP(AnalizaCzyste[[#This Row],[Moja satysfakcja z (efektów) usług edukacyjnych na ocenianej uczelni jest wysoka.]],SkalaLikerta[],2,0)</f>
        <v>#N/A</v>
      </c>
      <c r="GB111" s="1" t="s">
        <v>123</v>
      </c>
      <c r="GC111" t="s">
        <v>132</v>
      </c>
      <c r="GN111" t="e">
        <f>VLOOKUP(AnalizaCzyste[[#This Row],[Ogólny poziom mojej satysfakcji z jakości usług edukacyjnych ocenianej uczelni jest wysoki.32]],SkalaLikerta[],2,0)</f>
        <v>#N/A</v>
      </c>
      <c r="HK111" t="s">
        <v>354</v>
      </c>
      <c r="HL111" t="s">
        <v>355</v>
      </c>
      <c r="HM111" t="s">
        <v>356</v>
      </c>
      <c r="HN111" t="s">
        <v>140</v>
      </c>
      <c r="HO111">
        <v>1986</v>
      </c>
      <c r="HP111" t="str">
        <f>VLOOKUP(AnalizaCzyste[[#This Row],[Rok urodzenia]],KategorieWiekowe[],2,1)</f>
        <v>26–35 lat</v>
      </c>
      <c r="HQ111" t="s">
        <v>141</v>
      </c>
      <c r="HS111" t="s">
        <v>357</v>
      </c>
    </row>
    <row r="112" spans="1:229" x14ac:dyDescent="0.45">
      <c r="A112">
        <v>162</v>
      </c>
      <c r="B112">
        <f>_xlfn.IFNA(VLOOKUP(AnalizaCzyste[[#This Row],[Zakończono wypełnianie]],Zakończone[],2,0),"BRAK")</f>
        <v>93</v>
      </c>
      <c r="C112">
        <f t="shared" si="3"/>
        <v>45</v>
      </c>
      <c r="D112" t="s">
        <v>1352</v>
      </c>
      <c r="E112" t="s">
        <v>118</v>
      </c>
      <c r="J112" t="s">
        <v>119</v>
      </c>
      <c r="K112" t="s">
        <v>1426</v>
      </c>
      <c r="L112" t="s">
        <v>1427</v>
      </c>
      <c r="M112">
        <v>490</v>
      </c>
      <c r="O112">
        <v>0</v>
      </c>
      <c r="P112" t="s">
        <v>122</v>
      </c>
      <c r="Q112" s="1" t="s">
        <v>123</v>
      </c>
      <c r="V112" t="e">
        <f>VLOOKUP(AnalizaCzyste[[#This Row],[Moja satysfakcja z usług edukacyjnych ocenianej uczelni jest wysoka.]],SkalaLikerta[],2,0)</f>
        <v>#N/A</v>
      </c>
      <c r="AH112" s="1" t="s">
        <v>124</v>
      </c>
      <c r="AI112" t="s">
        <v>1415</v>
      </c>
      <c r="AJ112" t="str">
        <f>VLOOKUP(AnalizaCzyste[[#This Row],[Jak się nazywa uczelnia którą ukończyłeś? (proszę o wybranie jednej uczelni podlegającej ocenie)]],KategorieUczelni[],2,0)</f>
        <v>Publiczna</v>
      </c>
      <c r="AK112" t="str">
        <f>VLOOKUP(AnalizaCzyste[[#This Row],[Jak się nazywa uczelnia którą ukończyłeś? (proszę o wybranie jednej uczelni podlegającej ocenie)]],KategorieUczelni[],3,0)</f>
        <v>Techniczna</v>
      </c>
      <c r="AL112">
        <f>COUNTIF(AnalizaCzyste[[#This Row],[Czy jesteś absolwentem uczelni wyższej?]],"*"&amp;"Tak"&amp;"*")</f>
        <v>1</v>
      </c>
      <c r="AM112">
        <v>2006</v>
      </c>
      <c r="AN112" t="s">
        <v>126</v>
      </c>
      <c r="AO112" t="s">
        <v>192</v>
      </c>
      <c r="AP112" t="s">
        <v>150</v>
      </c>
      <c r="AQ112">
        <f>VLOOKUP(AnalizaCzyste[[#This Row],[Moja satysfakcja z (efektów) usług edukacyjnych ocenianej uczelni jest wysoka.]],SkalaLikerta[],2,0)</f>
        <v>6</v>
      </c>
      <c r="AR112" t="s">
        <v>150</v>
      </c>
      <c r="AS112" t="s">
        <v>169</v>
      </c>
      <c r="AT112" t="s">
        <v>150</v>
      </c>
      <c r="AU112" t="s">
        <v>150</v>
      </c>
      <c r="AV112" t="s">
        <v>237</v>
      </c>
      <c r="AW112" t="s">
        <v>226</v>
      </c>
      <c r="AX112">
        <f>VLOOKUP(AnalizaCzyste[[#This Row],[w pierwszym roku po ukończeniu studiów : wybierz wartość z listy rozwijanej4]],Zarobki[],2,0)</f>
        <v>4500</v>
      </c>
      <c r="AY112" t="s">
        <v>1428</v>
      </c>
      <c r="AZ112">
        <f>VLOOKUP(AnalizaCzyste[[#This Row],[w 3 lata po ukończeniu studiów : wybierz wartość z listy rozwijanej5]],Zarobki[],2,0)</f>
        <v>6500</v>
      </c>
      <c r="BA112" t="s">
        <v>1429</v>
      </c>
      <c r="BB112" t="s">
        <v>1430</v>
      </c>
      <c r="BC112" t="s">
        <v>1431</v>
      </c>
      <c r="BD112" t="s">
        <v>157</v>
      </c>
      <c r="BF112" s="1" t="s">
        <v>123</v>
      </c>
      <c r="BM112" t="e">
        <f>VLOOKUP(AnalizaCzyste[[#This Row],[Moja satysfakcja z (efektów) usług edukacyjnych ocenianej uczelni jest wysoka.8]],SkalaLikerta[],2,0)</f>
        <v>#N/A</v>
      </c>
      <c r="DA112" s="1" t="s">
        <v>123</v>
      </c>
      <c r="DE112" t="e">
        <f>VLOOKUP(AnalizaCzyste[[#This Row],[Moja satysfakcja z pracy na ocenianej uczelni jest wysoka.]],SkalaLikerta[],2,0)</f>
        <v>#N/A</v>
      </c>
      <c r="DL112" s="1" t="s">
        <v>123</v>
      </c>
      <c r="DP112" t="e">
        <f>VLOOKUP(AnalizaCzyste[[#This Row],[Moja satysfakcja z pracy na ocenianej uczelni jest wysoka.42]],SkalaLikerta[],2,0)</f>
        <v>#N/A</v>
      </c>
      <c r="DW112" s="1" t="s">
        <v>123</v>
      </c>
      <c r="EJ112" t="e">
        <f>VLOOKUP(AnalizaCzyste[[#This Row],[Ogólny poziom mojej satysfakcji z jakości usług edukacyjnych ocenianej uczelni jest wysoki.]],SkalaLikerta[],2,0)</f>
        <v>#N/A</v>
      </c>
      <c r="FA112" s="1" t="s">
        <v>123</v>
      </c>
      <c r="FF112" t="e">
        <f>VLOOKUP(AnalizaCzyste[[#This Row],[Moja satysfakcja z (efektów) usług edukacyjnych na ocenianej uczelni jest wysoka.]],SkalaLikerta[],2,0)</f>
        <v>#N/A</v>
      </c>
      <c r="GB112" s="1" t="s">
        <v>123</v>
      </c>
      <c r="GN112" t="e">
        <f>VLOOKUP(AnalizaCzyste[[#This Row],[Ogólny poziom mojej satysfakcji z jakości usług edukacyjnych ocenianej uczelni jest wysoki.32]],SkalaLikerta[],2,0)</f>
        <v>#N/A</v>
      </c>
      <c r="HK112" t="s">
        <v>1432</v>
      </c>
      <c r="HL112" t="s">
        <v>1433</v>
      </c>
      <c r="HM112" t="s">
        <v>1434</v>
      </c>
      <c r="HN112" t="s">
        <v>186</v>
      </c>
      <c r="HO112">
        <v>1982</v>
      </c>
      <c r="HP112" t="str">
        <f>VLOOKUP(AnalizaCzyste[[#This Row],[Rok urodzenia]],KategorieWiekowe[],2,1)</f>
        <v>36–45 lat</v>
      </c>
      <c r="HQ112" t="s">
        <v>141</v>
      </c>
    </row>
    <row r="113" spans="1:228" x14ac:dyDescent="0.45">
      <c r="A113">
        <v>117</v>
      </c>
      <c r="B113">
        <f>_xlfn.IFNA(VLOOKUP(AnalizaCzyste[[#This Row],[Zakończono wypełnianie]],Zakończone[],2,0),"BRAK")</f>
        <v>70</v>
      </c>
      <c r="C113">
        <f t="shared" si="3"/>
        <v>44</v>
      </c>
      <c r="D113" t="s">
        <v>1098</v>
      </c>
      <c r="E113" t="s">
        <v>118</v>
      </c>
      <c r="J113" t="s">
        <v>119</v>
      </c>
      <c r="K113" t="s">
        <v>1099</v>
      </c>
      <c r="L113" t="s">
        <v>1100</v>
      </c>
      <c r="M113">
        <v>358</v>
      </c>
      <c r="O113">
        <v>0</v>
      </c>
      <c r="P113" t="s">
        <v>122</v>
      </c>
      <c r="Q113" s="1" t="s">
        <v>123</v>
      </c>
      <c r="V113" t="e">
        <f>VLOOKUP(AnalizaCzyste[[#This Row],[Moja satysfakcja z usług edukacyjnych ocenianej uczelni jest wysoka.]],SkalaLikerta[],2,0)</f>
        <v>#N/A</v>
      </c>
      <c r="AH113" s="1" t="s">
        <v>124</v>
      </c>
      <c r="AI113" t="s">
        <v>1090</v>
      </c>
      <c r="AJ113" t="str">
        <f>VLOOKUP(AnalizaCzyste[[#This Row],[Jak się nazywa uczelnia którą ukończyłeś? (proszę o wybranie jednej uczelni podlegającej ocenie)]],KategorieUczelni[],2,0)</f>
        <v>Publiczna</v>
      </c>
      <c r="AK113" t="str">
        <f>VLOOKUP(AnalizaCzyste[[#This Row],[Jak się nazywa uczelnia którą ukończyłeś? (proszę o wybranie jednej uczelni podlegającej ocenie)]],KategorieUczelni[],3,0)</f>
        <v>Techniczna</v>
      </c>
      <c r="AL113">
        <f>COUNTIF(AnalizaCzyste[[#This Row],[Czy jesteś absolwentem uczelni wyższej?]],"*"&amp;"Tak"&amp;"*")</f>
        <v>1</v>
      </c>
      <c r="AM113">
        <v>2018</v>
      </c>
      <c r="AN113" t="s">
        <v>126</v>
      </c>
      <c r="AO113" t="s">
        <v>844</v>
      </c>
      <c r="AP113" t="s">
        <v>150</v>
      </c>
      <c r="AQ113">
        <f>VLOOKUP(AnalizaCzyste[[#This Row],[Moja satysfakcja z (efektów) usług edukacyjnych ocenianej uczelni jest wysoka.]],SkalaLikerta[],2,0)</f>
        <v>6</v>
      </c>
      <c r="AR113" t="s">
        <v>151</v>
      </c>
      <c r="AS113" t="s">
        <v>162</v>
      </c>
      <c r="AT113" t="s">
        <v>150</v>
      </c>
      <c r="AU113" t="s">
        <v>132</v>
      </c>
      <c r="AV113">
        <v>1</v>
      </c>
      <c r="AW113" t="s">
        <v>153</v>
      </c>
      <c r="AX113">
        <f>VLOOKUP(AnalizaCzyste[[#This Row],[w pierwszym roku po ukończeniu studiów : wybierz wartość z listy rozwijanej4]],Zarobki[],2,0)</f>
        <v>3500</v>
      </c>
      <c r="AY113" t="s">
        <v>132</v>
      </c>
      <c r="AZ113" t="str">
        <f>VLOOKUP(AnalizaCzyste[[#This Row],[w 3 lata po ukończeniu studiów : wybierz wartość z listy rozwijanej5]],Zarobki[],2,0)</f>
        <v>N/D</v>
      </c>
      <c r="BB113" t="s">
        <v>1101</v>
      </c>
      <c r="BC113" t="s">
        <v>1102</v>
      </c>
      <c r="BD113" t="s">
        <v>157</v>
      </c>
      <c r="BF113" s="1" t="s">
        <v>123</v>
      </c>
      <c r="BM113" t="e">
        <f>VLOOKUP(AnalizaCzyste[[#This Row],[Moja satysfakcja z (efektów) usług edukacyjnych ocenianej uczelni jest wysoka.8]],SkalaLikerta[],2,0)</f>
        <v>#N/A</v>
      </c>
      <c r="DA113" s="1" t="s">
        <v>123</v>
      </c>
      <c r="DE113" t="e">
        <f>VLOOKUP(AnalizaCzyste[[#This Row],[Moja satysfakcja z pracy na ocenianej uczelni jest wysoka.]],SkalaLikerta[],2,0)</f>
        <v>#N/A</v>
      </c>
      <c r="DL113" s="1" t="s">
        <v>123</v>
      </c>
      <c r="DP113" t="e">
        <f>VLOOKUP(AnalizaCzyste[[#This Row],[Moja satysfakcja z pracy na ocenianej uczelni jest wysoka.42]],SkalaLikerta[],2,0)</f>
        <v>#N/A</v>
      </c>
      <c r="DW113" s="1" t="s">
        <v>123</v>
      </c>
      <c r="EJ113" t="e">
        <f>VLOOKUP(AnalizaCzyste[[#This Row],[Ogólny poziom mojej satysfakcji z jakości usług edukacyjnych ocenianej uczelni jest wysoki.]],SkalaLikerta[],2,0)</f>
        <v>#N/A</v>
      </c>
      <c r="FA113" s="1" t="s">
        <v>123</v>
      </c>
      <c r="FF113" t="e">
        <f>VLOOKUP(AnalizaCzyste[[#This Row],[Moja satysfakcja z (efektów) usług edukacyjnych na ocenianej uczelni jest wysoka.]],SkalaLikerta[],2,0)</f>
        <v>#N/A</v>
      </c>
      <c r="GB113" s="1" t="s">
        <v>123</v>
      </c>
      <c r="GN113" t="e">
        <f>VLOOKUP(AnalizaCzyste[[#This Row],[Ogólny poziom mojej satysfakcji z jakości usług edukacyjnych ocenianej uczelni jest wysoki.32]],SkalaLikerta[],2,0)</f>
        <v>#N/A</v>
      </c>
      <c r="HK113" t="s">
        <v>1103</v>
      </c>
      <c r="HL113" t="s">
        <v>1104</v>
      </c>
      <c r="HM113" t="s">
        <v>1105</v>
      </c>
      <c r="HN113" t="s">
        <v>140</v>
      </c>
      <c r="HO113">
        <v>1991</v>
      </c>
      <c r="HP113" t="str">
        <f>VLOOKUP(AnalizaCzyste[[#This Row],[Rok urodzenia]],KategorieWiekowe[],2,1)</f>
        <v>26–35 lat</v>
      </c>
      <c r="HQ113" t="s">
        <v>141</v>
      </c>
    </row>
    <row r="114" spans="1:228" x14ac:dyDescent="0.45">
      <c r="A114">
        <v>111</v>
      </c>
      <c r="B114">
        <f>_xlfn.IFNA(VLOOKUP(AnalizaCzyste[[#This Row],[Zakończono wypełnianie]],Zakończone[],2,0),"BRAK")</f>
        <v>66</v>
      </c>
      <c r="C114">
        <f t="shared" si="3"/>
        <v>51</v>
      </c>
      <c r="D114" t="s">
        <v>1046</v>
      </c>
      <c r="E114" t="s">
        <v>118</v>
      </c>
      <c r="J114" t="s">
        <v>119</v>
      </c>
      <c r="K114" t="s">
        <v>1047</v>
      </c>
      <c r="L114" t="s">
        <v>1048</v>
      </c>
      <c r="M114">
        <v>1978</v>
      </c>
      <c r="O114">
        <v>0</v>
      </c>
      <c r="P114" t="s">
        <v>122</v>
      </c>
      <c r="Q114" s="1" t="s">
        <v>123</v>
      </c>
      <c r="V114" t="e">
        <f>VLOOKUP(AnalizaCzyste[[#This Row],[Moja satysfakcja z usług edukacyjnych ocenianej uczelni jest wysoka.]],SkalaLikerta[],2,0)</f>
        <v>#N/A</v>
      </c>
      <c r="AH114" s="1" t="s">
        <v>124</v>
      </c>
      <c r="AI114" t="s">
        <v>1290</v>
      </c>
      <c r="AJ114" t="str">
        <f>VLOOKUP(AnalizaCzyste[[#This Row],[Jak się nazywa uczelnia którą ukończyłeś? (proszę o wybranie jednej uczelni podlegającej ocenie)]],KategorieUczelni[],2,0)</f>
        <v>Niepubliczna</v>
      </c>
      <c r="AK114" t="str">
        <f>VLOOKUP(AnalizaCzyste[[#This Row],[Jak się nazywa uczelnia którą ukończyłeś? (proszę o wybranie jednej uczelni podlegającej ocenie)]],KategorieUczelni[],3,0)</f>
        <v>Nietechniczna</v>
      </c>
      <c r="AL114">
        <f>COUNTIF(AnalizaCzyste[[#This Row],[Czy jesteś absolwentem uczelni wyższej?]],"*"&amp;"Tak"&amp;"*")</f>
        <v>1</v>
      </c>
      <c r="AM114">
        <v>2009</v>
      </c>
      <c r="AN114" t="s">
        <v>148</v>
      </c>
      <c r="AO114" t="s">
        <v>1050</v>
      </c>
      <c r="AP114" t="s">
        <v>150</v>
      </c>
      <c r="AQ114">
        <f>VLOOKUP(AnalizaCzyste[[#This Row],[Moja satysfakcja z (efektów) usług edukacyjnych ocenianej uczelni jest wysoka.]],SkalaLikerta[],2,0)</f>
        <v>6</v>
      </c>
      <c r="AR114" t="s">
        <v>162</v>
      </c>
      <c r="AS114" t="s">
        <v>169</v>
      </c>
      <c r="AT114" t="s">
        <v>162</v>
      </c>
      <c r="AU114" t="s">
        <v>150</v>
      </c>
      <c r="AV114" t="s">
        <v>1051</v>
      </c>
      <c r="AW114" t="s">
        <v>302</v>
      </c>
      <c r="AX114">
        <f>VLOOKUP(AnalizaCzyste[[#This Row],[w pierwszym roku po ukończeniu studiów : wybierz wartość z listy rozwijanej4]],Zarobki[],2,0)</f>
        <v>2500</v>
      </c>
      <c r="AY114" t="s">
        <v>153</v>
      </c>
      <c r="AZ114">
        <f>VLOOKUP(AnalizaCzyste[[#This Row],[w 3 lata po ukończeniu studiów : wybierz wartość z listy rozwijanej5]],Zarobki[],2,0)</f>
        <v>3500</v>
      </c>
      <c r="BA114" t="s">
        <v>1052</v>
      </c>
      <c r="BB114" t="s">
        <v>1053</v>
      </c>
      <c r="BC114" t="s">
        <v>1054</v>
      </c>
      <c r="BD114" t="s">
        <v>230</v>
      </c>
      <c r="BE114" t="s">
        <v>1050</v>
      </c>
      <c r="BF114" s="1" t="s">
        <v>123</v>
      </c>
      <c r="BM114" t="e">
        <f>VLOOKUP(AnalizaCzyste[[#This Row],[Moja satysfakcja z (efektów) usług edukacyjnych ocenianej uczelni jest wysoka.8]],SkalaLikerta[],2,0)</f>
        <v>#N/A</v>
      </c>
      <c r="DA114" s="1" t="s">
        <v>123</v>
      </c>
      <c r="DE114" t="e">
        <f>VLOOKUP(AnalizaCzyste[[#This Row],[Moja satysfakcja z pracy na ocenianej uczelni jest wysoka.]],SkalaLikerta[],2,0)</f>
        <v>#N/A</v>
      </c>
      <c r="DL114" s="1" t="s">
        <v>123</v>
      </c>
      <c r="DP114" t="e">
        <f>VLOOKUP(AnalizaCzyste[[#This Row],[Moja satysfakcja z pracy na ocenianej uczelni jest wysoka.42]],SkalaLikerta[],2,0)</f>
        <v>#N/A</v>
      </c>
      <c r="DW114" s="1" t="s">
        <v>123</v>
      </c>
      <c r="EJ114" t="e">
        <f>VLOOKUP(AnalizaCzyste[[#This Row],[Ogólny poziom mojej satysfakcji z jakości usług edukacyjnych ocenianej uczelni jest wysoki.]],SkalaLikerta[],2,0)</f>
        <v>#N/A</v>
      </c>
      <c r="FA114" s="1" t="s">
        <v>123</v>
      </c>
      <c r="FB114" t="s">
        <v>180</v>
      </c>
      <c r="FC114" t="s">
        <v>132</v>
      </c>
      <c r="FF114" t="e">
        <f>VLOOKUP(AnalizaCzyste[[#This Row],[Moja satysfakcja z (efektów) usług edukacyjnych na ocenianej uczelni jest wysoka.]],SkalaLikerta[],2,0)</f>
        <v>#N/A</v>
      </c>
      <c r="GB114" s="1" t="s">
        <v>123</v>
      </c>
      <c r="GC114" t="s">
        <v>132</v>
      </c>
      <c r="GE114" t="s">
        <v>132</v>
      </c>
      <c r="GN114" t="e">
        <f>VLOOKUP(AnalizaCzyste[[#This Row],[Ogólny poziom mojej satysfakcji z jakości usług edukacyjnych ocenianej uczelni jest wysoki.32]],SkalaLikerta[],2,0)</f>
        <v>#N/A</v>
      </c>
      <c r="HK114" t="s">
        <v>1055</v>
      </c>
      <c r="HL114" t="s">
        <v>1056</v>
      </c>
      <c r="HM114" t="s">
        <v>1057</v>
      </c>
      <c r="HN114" t="s">
        <v>186</v>
      </c>
      <c r="HO114">
        <v>1978</v>
      </c>
      <c r="HP114" t="str">
        <f>VLOOKUP(AnalizaCzyste[[#This Row],[Rok urodzenia]],KategorieWiekowe[],2,1)</f>
        <v>36–45 lat</v>
      </c>
      <c r="HQ114" t="s">
        <v>141</v>
      </c>
      <c r="HS114" t="s">
        <v>1058</v>
      </c>
    </row>
    <row r="115" spans="1:228" x14ac:dyDescent="0.45">
      <c r="A115">
        <v>85</v>
      </c>
      <c r="B115">
        <f>_xlfn.IFNA(VLOOKUP(AnalizaCzyste[[#This Row],[Zakończono wypełnianie]],Zakończone[],2,0),"BRAK")</f>
        <v>50</v>
      </c>
      <c r="C115">
        <f t="shared" si="3"/>
        <v>48</v>
      </c>
      <c r="D115" t="s">
        <v>873</v>
      </c>
      <c r="E115" t="s">
        <v>118</v>
      </c>
      <c r="F115" t="s">
        <v>797</v>
      </c>
      <c r="J115" t="s">
        <v>119</v>
      </c>
      <c r="K115" t="s">
        <v>874</v>
      </c>
      <c r="L115" t="s">
        <v>875</v>
      </c>
      <c r="M115">
        <v>1971</v>
      </c>
      <c r="O115">
        <v>0</v>
      </c>
      <c r="P115" t="s">
        <v>122</v>
      </c>
      <c r="Q115" s="1" t="s">
        <v>123</v>
      </c>
      <c r="V115" t="e">
        <f>VLOOKUP(AnalizaCzyste[[#This Row],[Moja satysfakcja z usług edukacyjnych ocenianej uczelni jest wysoka.]],SkalaLikerta[],2,0)</f>
        <v>#N/A</v>
      </c>
      <c r="AH115" s="1" t="s">
        <v>124</v>
      </c>
      <c r="AI115" t="s">
        <v>223</v>
      </c>
      <c r="AJ115" t="str">
        <f>VLOOKUP(AnalizaCzyste[[#This Row],[Jak się nazywa uczelnia którą ukończyłeś? (proszę o wybranie jednej uczelni podlegającej ocenie)]],KategorieUczelni[],2,0)</f>
        <v>Publiczna</v>
      </c>
      <c r="AK115" t="str">
        <f>VLOOKUP(AnalizaCzyste[[#This Row],[Jak się nazywa uczelnia którą ukończyłeś? (proszę o wybranie jednej uczelni podlegającej ocenie)]],KategorieUczelni[],3,0)</f>
        <v>Nietechniczna</v>
      </c>
      <c r="AL115">
        <f>COUNTIF(AnalizaCzyste[[#This Row],[Czy jesteś absolwentem uczelni wyższej?]],"*"&amp;"Tak"&amp;"*")</f>
        <v>1</v>
      </c>
      <c r="AM115">
        <v>2012</v>
      </c>
      <c r="AN115" t="s">
        <v>148</v>
      </c>
      <c r="AO115" t="s">
        <v>876</v>
      </c>
      <c r="AP115" t="s">
        <v>150</v>
      </c>
      <c r="AQ115">
        <f>VLOOKUP(AnalizaCzyste[[#This Row],[Moja satysfakcja z (efektów) usług edukacyjnych ocenianej uczelni jest wysoka.]],SkalaLikerta[],2,0)</f>
        <v>6</v>
      </c>
      <c r="AR115" t="s">
        <v>162</v>
      </c>
      <c r="AS115" t="s">
        <v>128</v>
      </c>
      <c r="AT115" t="s">
        <v>236</v>
      </c>
      <c r="AU115" t="s">
        <v>151</v>
      </c>
      <c r="AV115">
        <v>2</v>
      </c>
      <c r="AW115" t="s">
        <v>131</v>
      </c>
      <c r="AX115">
        <f>VLOOKUP(AnalizaCzyste[[#This Row],[w pierwszym roku po ukończeniu studiów : wybierz wartość z listy rozwijanej4]],Zarobki[],2,0)</f>
        <v>1500</v>
      </c>
      <c r="AY115" t="s">
        <v>153</v>
      </c>
      <c r="AZ115">
        <f>VLOOKUP(AnalizaCzyste[[#This Row],[w 3 lata po ukończeniu studiów : wybierz wartość z listy rozwijanej5]],Zarobki[],2,0)</f>
        <v>3500</v>
      </c>
      <c r="BA115" t="s">
        <v>877</v>
      </c>
      <c r="BB115" t="s">
        <v>532</v>
      </c>
      <c r="BC115" t="s">
        <v>532</v>
      </c>
      <c r="BD115" t="s">
        <v>157</v>
      </c>
      <c r="BE115" t="s">
        <v>878</v>
      </c>
      <c r="BF115" s="1" t="s">
        <v>123</v>
      </c>
      <c r="BM115" t="e">
        <f>VLOOKUP(AnalizaCzyste[[#This Row],[Moja satysfakcja z (efektów) usług edukacyjnych ocenianej uczelni jest wysoka.8]],SkalaLikerta[],2,0)</f>
        <v>#N/A</v>
      </c>
      <c r="DA115" s="1" t="s">
        <v>123</v>
      </c>
      <c r="DE115" t="e">
        <f>VLOOKUP(AnalizaCzyste[[#This Row],[Moja satysfakcja z pracy na ocenianej uczelni jest wysoka.]],SkalaLikerta[],2,0)</f>
        <v>#N/A</v>
      </c>
      <c r="DL115" s="1" t="s">
        <v>123</v>
      </c>
      <c r="DP115" t="e">
        <f>VLOOKUP(AnalizaCzyste[[#This Row],[Moja satysfakcja z pracy na ocenianej uczelni jest wysoka.42]],SkalaLikerta[],2,0)</f>
        <v>#N/A</v>
      </c>
      <c r="DW115" s="1" t="s">
        <v>123</v>
      </c>
      <c r="EJ115" t="e">
        <f>VLOOKUP(AnalizaCzyste[[#This Row],[Ogólny poziom mojej satysfakcji z jakości usług edukacyjnych ocenianej uczelni jest wysoki.]],SkalaLikerta[],2,0)</f>
        <v>#N/A</v>
      </c>
      <c r="FA115" s="1" t="s">
        <v>123</v>
      </c>
      <c r="FF115" t="e">
        <f>VLOOKUP(AnalizaCzyste[[#This Row],[Moja satysfakcja z (efektów) usług edukacyjnych na ocenianej uczelni jest wysoka.]],SkalaLikerta[],2,0)</f>
        <v>#N/A</v>
      </c>
      <c r="GB115" s="1" t="s">
        <v>123</v>
      </c>
      <c r="GC115" t="s">
        <v>132</v>
      </c>
      <c r="GN115" t="e">
        <f>VLOOKUP(AnalizaCzyste[[#This Row],[Ogólny poziom mojej satysfakcji z jakości usług edukacyjnych ocenianej uczelni jest wysoki.32]],SkalaLikerta[],2,0)</f>
        <v>#N/A</v>
      </c>
      <c r="HK115" t="s">
        <v>532</v>
      </c>
      <c r="HL115" t="s">
        <v>532</v>
      </c>
      <c r="HM115" t="s">
        <v>532</v>
      </c>
      <c r="HN115" t="s">
        <v>186</v>
      </c>
      <c r="HO115">
        <v>1988</v>
      </c>
      <c r="HP115" t="str">
        <f>VLOOKUP(AnalizaCzyste[[#This Row],[Rok urodzenia]],KategorieWiekowe[],2,1)</f>
        <v>26–35 lat</v>
      </c>
      <c r="HQ115" t="s">
        <v>246</v>
      </c>
      <c r="HT115" t="s">
        <v>879</v>
      </c>
    </row>
    <row r="116" spans="1:228" x14ac:dyDescent="0.45">
      <c r="A116">
        <v>217</v>
      </c>
      <c r="B116">
        <f>_xlfn.IFNA(VLOOKUP(AnalizaCzyste[[#This Row],[Zakończono wypełnianie]],Zakończone[],2,0),"BRAK")</f>
        <v>119</v>
      </c>
      <c r="C116">
        <f t="shared" si="3"/>
        <v>46</v>
      </c>
      <c r="D116" t="s">
        <v>1780</v>
      </c>
      <c r="E116" t="s">
        <v>118</v>
      </c>
      <c r="F116" t="s">
        <v>1781</v>
      </c>
      <c r="J116" t="s">
        <v>119</v>
      </c>
      <c r="K116" t="s">
        <v>1782</v>
      </c>
      <c r="L116" t="s">
        <v>1783</v>
      </c>
      <c r="M116">
        <v>968</v>
      </c>
      <c r="O116">
        <v>0</v>
      </c>
      <c r="P116" t="s">
        <v>122</v>
      </c>
      <c r="Q116" s="1" t="s">
        <v>123</v>
      </c>
      <c r="V116" t="e">
        <f>VLOOKUP(AnalizaCzyste[[#This Row],[Moja satysfakcja z usług edukacyjnych ocenianej uczelni jest wysoka.]],SkalaLikerta[],2,0)</f>
        <v>#N/A</v>
      </c>
      <c r="AH116" s="1" t="s">
        <v>124</v>
      </c>
      <c r="AI116" t="s">
        <v>223</v>
      </c>
      <c r="AJ116" t="str">
        <f>VLOOKUP(AnalizaCzyste[[#This Row],[Jak się nazywa uczelnia którą ukończyłeś? (proszę o wybranie jednej uczelni podlegającej ocenie)]],KategorieUczelni[],2,0)</f>
        <v>Publiczna</v>
      </c>
      <c r="AK116" t="str">
        <f>VLOOKUP(AnalizaCzyste[[#This Row],[Jak się nazywa uczelnia którą ukończyłeś? (proszę o wybranie jednej uczelni podlegającej ocenie)]],KategorieUczelni[],3,0)</f>
        <v>Nietechniczna</v>
      </c>
      <c r="AL116">
        <f>COUNTIF(AnalizaCzyste[[#This Row],[Czy jesteś absolwentem uczelni wyższej?]],"*"&amp;"Tak"&amp;"*")</f>
        <v>1</v>
      </c>
      <c r="AM116">
        <v>2011</v>
      </c>
      <c r="AN116" t="s">
        <v>148</v>
      </c>
      <c r="AO116" t="s">
        <v>1784</v>
      </c>
      <c r="AP116" t="s">
        <v>150</v>
      </c>
      <c r="AQ116">
        <f>VLOOKUP(AnalizaCzyste[[#This Row],[Moja satysfakcja z (efektów) usług edukacyjnych ocenianej uczelni jest wysoka.]],SkalaLikerta[],2,0)</f>
        <v>6</v>
      </c>
      <c r="AR116" t="s">
        <v>162</v>
      </c>
      <c r="AS116" t="s">
        <v>169</v>
      </c>
      <c r="AT116" t="s">
        <v>150</v>
      </c>
      <c r="AU116" t="s">
        <v>150</v>
      </c>
      <c r="AV116">
        <v>2</v>
      </c>
      <c r="AW116" t="s">
        <v>302</v>
      </c>
      <c r="AX116">
        <f>VLOOKUP(AnalizaCzyste[[#This Row],[w pierwszym roku po ukończeniu studiów : wybierz wartość z listy rozwijanej4]],Zarobki[],2,0)</f>
        <v>2500</v>
      </c>
      <c r="AY116" t="s">
        <v>153</v>
      </c>
      <c r="AZ116">
        <f>VLOOKUP(AnalizaCzyste[[#This Row],[w 3 lata po ukończeniu studiów : wybierz wartość z listy rozwijanej5]],Zarobki[],2,0)</f>
        <v>3500</v>
      </c>
      <c r="BA116" t="s">
        <v>1785</v>
      </c>
      <c r="BB116" t="s">
        <v>1786</v>
      </c>
      <c r="BC116" t="s">
        <v>1787</v>
      </c>
      <c r="BD116" t="s">
        <v>157</v>
      </c>
      <c r="BF116" s="1" t="s">
        <v>123</v>
      </c>
      <c r="BM116" t="e">
        <f>VLOOKUP(AnalizaCzyste[[#This Row],[Moja satysfakcja z (efektów) usług edukacyjnych ocenianej uczelni jest wysoka.8]],SkalaLikerta[],2,0)</f>
        <v>#N/A</v>
      </c>
      <c r="DA116" s="1" t="s">
        <v>123</v>
      </c>
      <c r="DE116" t="e">
        <f>VLOOKUP(AnalizaCzyste[[#This Row],[Moja satysfakcja z pracy na ocenianej uczelni jest wysoka.]],SkalaLikerta[],2,0)</f>
        <v>#N/A</v>
      </c>
      <c r="DL116" s="1" t="s">
        <v>123</v>
      </c>
      <c r="DP116" t="e">
        <f>VLOOKUP(AnalizaCzyste[[#This Row],[Moja satysfakcja z pracy na ocenianej uczelni jest wysoka.42]],SkalaLikerta[],2,0)</f>
        <v>#N/A</v>
      </c>
      <c r="DW116" s="1" t="s">
        <v>123</v>
      </c>
      <c r="EJ116" t="e">
        <f>VLOOKUP(AnalizaCzyste[[#This Row],[Ogólny poziom mojej satysfakcji z jakości usług edukacyjnych ocenianej uczelni jest wysoki.]],SkalaLikerta[],2,0)</f>
        <v>#N/A</v>
      </c>
      <c r="FA116" s="1" t="s">
        <v>123</v>
      </c>
      <c r="FF116" t="e">
        <f>VLOOKUP(AnalizaCzyste[[#This Row],[Moja satysfakcja z (efektów) usług edukacyjnych na ocenianej uczelni jest wysoka.]],SkalaLikerta[],2,0)</f>
        <v>#N/A</v>
      </c>
      <c r="GB116" s="1" t="s">
        <v>123</v>
      </c>
      <c r="GN116" t="e">
        <f>VLOOKUP(AnalizaCzyste[[#This Row],[Ogólny poziom mojej satysfakcji z jakości usług edukacyjnych ocenianej uczelni jest wysoki.32]],SkalaLikerta[],2,0)</f>
        <v>#N/A</v>
      </c>
      <c r="HK116" t="s">
        <v>1788</v>
      </c>
      <c r="HL116" t="s">
        <v>1789</v>
      </c>
      <c r="HM116" t="s">
        <v>1790</v>
      </c>
      <c r="HN116" t="s">
        <v>140</v>
      </c>
      <c r="HO116">
        <v>1986</v>
      </c>
      <c r="HP116" t="str">
        <f>VLOOKUP(AnalizaCzyste[[#This Row],[Rok urodzenia]],KategorieWiekowe[],2,1)</f>
        <v>26–35 lat</v>
      </c>
      <c r="HQ116" t="s">
        <v>398</v>
      </c>
      <c r="HS116" t="s">
        <v>1791</v>
      </c>
    </row>
    <row r="117" spans="1:228" x14ac:dyDescent="0.45">
      <c r="A117">
        <v>206</v>
      </c>
      <c r="B117" t="str">
        <f>_xlfn.IFNA(VLOOKUP(AnalizaCzyste[[#This Row],[Zakończono wypełnianie]],Zakończone[],2,0),"BRAK")</f>
        <v>BRAK</v>
      </c>
      <c r="C117">
        <f t="shared" si="3"/>
        <v>44</v>
      </c>
      <c r="D117" t="s">
        <v>1722</v>
      </c>
      <c r="E117" t="s">
        <v>118</v>
      </c>
      <c r="F117" t="s">
        <v>1647</v>
      </c>
      <c r="J117" t="s">
        <v>286</v>
      </c>
      <c r="K117" t="s">
        <v>1723</v>
      </c>
      <c r="L117" t="s">
        <v>1723</v>
      </c>
      <c r="M117">
        <v>0</v>
      </c>
      <c r="O117">
        <v>0</v>
      </c>
      <c r="P117" t="s">
        <v>122</v>
      </c>
      <c r="Q117" s="1" t="s">
        <v>123</v>
      </c>
      <c r="V117" t="e">
        <f>VLOOKUP(AnalizaCzyste[[#This Row],[Moja satysfakcja z usług edukacyjnych ocenianej uczelni jest wysoka.]],SkalaLikerta[],2,0)</f>
        <v>#N/A</v>
      </c>
      <c r="AH117" s="1" t="s">
        <v>124</v>
      </c>
      <c r="AI117" t="s">
        <v>223</v>
      </c>
      <c r="AJ117" s="20" t="str">
        <f>VLOOKUP(AnalizaCzyste[[#This Row],[Jak się nazywa uczelnia którą ukończyłeś? (proszę o wybranie jednej uczelni podlegającej ocenie)]],KategorieUczelni[],2,0)</f>
        <v>Publiczna</v>
      </c>
      <c r="AK117" s="20" t="str">
        <f>VLOOKUP(AnalizaCzyste[[#This Row],[Jak się nazywa uczelnia którą ukończyłeś? (proszę o wybranie jednej uczelni podlegającej ocenie)]],KategorieUczelni[],3,0)</f>
        <v>Nietechniczna</v>
      </c>
      <c r="AL117" s="20">
        <f>COUNTIF(AnalizaCzyste[[#This Row],[Czy jesteś absolwentem uczelni wyższej?]],"*"&amp;"Tak"&amp;"*")</f>
        <v>1</v>
      </c>
      <c r="AM117">
        <v>2005</v>
      </c>
      <c r="AN117" t="s">
        <v>148</v>
      </c>
      <c r="AO117" t="s">
        <v>1725</v>
      </c>
      <c r="AP117" t="s">
        <v>150</v>
      </c>
      <c r="AQ117">
        <f>VLOOKUP(AnalizaCzyste[[#This Row],[Moja satysfakcja z (efektów) usług edukacyjnych ocenianej uczelni jest wysoka.]],SkalaLikerta[],2,0)</f>
        <v>6</v>
      </c>
      <c r="AR117" t="s">
        <v>162</v>
      </c>
      <c r="AS117" t="s">
        <v>162</v>
      </c>
      <c r="AT117" t="s">
        <v>162</v>
      </c>
      <c r="AU117" t="s">
        <v>162</v>
      </c>
      <c r="AV117">
        <v>2</v>
      </c>
      <c r="AW117" t="s">
        <v>131</v>
      </c>
      <c r="AX117">
        <f>VLOOKUP(AnalizaCzyste[[#This Row],[w pierwszym roku po ukończeniu studiów : wybierz wartość z listy rozwijanej4]],Zarobki[],2,0)</f>
        <v>1500</v>
      </c>
      <c r="AY117" t="s">
        <v>302</v>
      </c>
      <c r="AZ117">
        <f>VLOOKUP(AnalizaCzyste[[#This Row],[w 3 lata po ukończeniu studiów : wybierz wartość z listy rozwijanej5]],Zarobki[],2,0)</f>
        <v>2500</v>
      </c>
      <c r="BA117" t="s">
        <v>1726</v>
      </c>
      <c r="BB117" t="s">
        <v>1727</v>
      </c>
      <c r="BC117" t="s">
        <v>1728</v>
      </c>
      <c r="BD117" t="s">
        <v>157</v>
      </c>
      <c r="BF117" s="1" t="s">
        <v>123</v>
      </c>
      <c r="BM117" t="e">
        <f>VLOOKUP(AnalizaCzyste[[#This Row],[Moja satysfakcja z (efektów) usług edukacyjnych ocenianej uczelni jest wysoka.8]],SkalaLikerta[],2,0)</f>
        <v>#N/A</v>
      </c>
      <c r="DA117" s="1" t="s">
        <v>123</v>
      </c>
      <c r="DE117" t="e">
        <f>VLOOKUP(AnalizaCzyste[[#This Row],[Moja satysfakcja z pracy na ocenianej uczelni jest wysoka.]],SkalaLikerta[],2,0)</f>
        <v>#N/A</v>
      </c>
      <c r="DL117" s="1" t="s">
        <v>123</v>
      </c>
      <c r="DP117" t="e">
        <f>VLOOKUP(AnalizaCzyste[[#This Row],[Moja satysfakcja z pracy na ocenianej uczelni jest wysoka.42]],SkalaLikerta[],2,0)</f>
        <v>#N/A</v>
      </c>
      <c r="DW117" s="1" t="s">
        <v>123</v>
      </c>
      <c r="EJ117" t="e">
        <f>VLOOKUP(AnalizaCzyste[[#This Row],[Ogólny poziom mojej satysfakcji z jakości usług edukacyjnych ocenianej uczelni jest wysoki.]],SkalaLikerta[],2,0)</f>
        <v>#N/A</v>
      </c>
      <c r="FA117" s="1" t="s">
        <v>123</v>
      </c>
      <c r="FF117" t="e">
        <f>VLOOKUP(AnalizaCzyste[[#This Row],[Moja satysfakcja z (efektów) usług edukacyjnych na ocenianej uczelni jest wysoka.]],SkalaLikerta[],2,0)</f>
        <v>#N/A</v>
      </c>
      <c r="GB117" s="1" t="s">
        <v>123</v>
      </c>
      <c r="GN117" t="e">
        <f>VLOOKUP(AnalizaCzyste[[#This Row],[Ogólny poziom mojej satysfakcji z jakości usług edukacyjnych ocenianej uczelni jest wysoki.32]],SkalaLikerta[],2,0)</f>
        <v>#N/A</v>
      </c>
      <c r="HN117" t="s">
        <v>140</v>
      </c>
      <c r="HO117">
        <v>1981</v>
      </c>
      <c r="HP117" t="str">
        <f>VLOOKUP(AnalizaCzyste[[#This Row],[Rok urodzenia]],KategorieWiekowe[],2,1)</f>
        <v>36–45 lat</v>
      </c>
      <c r="HQ117" t="s">
        <v>483</v>
      </c>
      <c r="HS117" t="s">
        <v>142</v>
      </c>
      <c r="HT117" t="s">
        <v>180</v>
      </c>
    </row>
    <row r="118" spans="1:228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45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O118">
        <v>0</v>
      </c>
      <c r="P118" t="s">
        <v>122</v>
      </c>
      <c r="Q118" s="1" t="s">
        <v>123</v>
      </c>
      <c r="V118" t="e">
        <f>VLOOKUP(AnalizaCzyste[[#This Row],[Moja satysfakcja z usług edukacyjnych ocenianej uczelni jest wysoka.]],SkalaLikerta[],2,0)</f>
        <v>#N/A</v>
      </c>
      <c r="AH118" s="1" t="s">
        <v>124</v>
      </c>
      <c r="AI118" t="s">
        <v>223</v>
      </c>
      <c r="AJ118" t="str">
        <f>VLOOKUP(AnalizaCzyste[[#This Row],[Jak się nazywa uczelnia którą ukończyłeś? (proszę o wybranie jednej uczelni podlegającej ocenie)]],KategorieUczelni[],2,0)</f>
        <v>Publiczna</v>
      </c>
      <c r="AK118" t="str">
        <f>VLOOKUP(AnalizaCzyste[[#This Row],[Jak się nazywa uczelnia którą ukończyłeś? (proszę o wybranie jednej uczelni podlegającej ocenie)]],KategorieUczelni[],3,0)</f>
        <v>Nietechniczna</v>
      </c>
      <c r="AL118">
        <f>COUNTIF(AnalizaCzyste[[#This Row],[Czy jesteś absolwentem uczelni wyższej?]],"*"&amp;"Tak"&amp;"*")</f>
        <v>1</v>
      </c>
      <c r="AM118">
        <v>2005</v>
      </c>
      <c r="AN118" t="s">
        <v>148</v>
      </c>
      <c r="AO118" t="s">
        <v>1495</v>
      </c>
      <c r="AP118" t="s">
        <v>150</v>
      </c>
      <c r="AQ118">
        <f>VLOOKUP(AnalizaCzyste[[#This Row],[Moja satysfakcja z (efektów) usług edukacyjnych ocenianej uczelni jest wysoka.]],SkalaLikerta[],2,0)</f>
        <v>6</v>
      </c>
      <c r="AR118" t="s">
        <v>169</v>
      </c>
      <c r="AS118" t="s">
        <v>169</v>
      </c>
      <c r="AT118" t="s">
        <v>169</v>
      </c>
      <c r="AU118" t="s">
        <v>150</v>
      </c>
      <c r="AV118" t="s">
        <v>237</v>
      </c>
      <c r="AW118" t="s">
        <v>131</v>
      </c>
      <c r="AX118">
        <f>VLOOKUP(AnalizaCzyste[[#This Row],[w pierwszym roku po ukończeniu studiów : wybierz wartość z listy rozwijanej4]],Zarobki[],2,0)</f>
        <v>1500</v>
      </c>
      <c r="AY118" t="s">
        <v>302</v>
      </c>
      <c r="AZ118">
        <f>VLOOKUP(AnalizaCzyste[[#This Row],[w 3 lata po ukończeniu studiów : wybierz wartość z listy rozwijanej5]],Zarobki[],2,0)</f>
        <v>2500</v>
      </c>
      <c r="BB118" t="s">
        <v>1496</v>
      </c>
      <c r="BC118" t="s">
        <v>386</v>
      </c>
      <c r="BD118" t="s">
        <v>230</v>
      </c>
      <c r="BF118" s="1" t="s">
        <v>123</v>
      </c>
      <c r="BM118" t="e">
        <f>VLOOKUP(AnalizaCzyste[[#This Row],[Moja satysfakcja z (efektów) usług edukacyjnych ocenianej uczelni jest wysoka.8]],SkalaLikerta[],2,0)</f>
        <v>#N/A</v>
      </c>
      <c r="DA118" s="1" t="s">
        <v>123</v>
      </c>
      <c r="DE118" t="e">
        <f>VLOOKUP(AnalizaCzyste[[#This Row],[Moja satysfakcja z pracy na ocenianej uczelni jest wysoka.]],SkalaLikerta[],2,0)</f>
        <v>#N/A</v>
      </c>
      <c r="DL118" s="1" t="s">
        <v>123</v>
      </c>
      <c r="DP118" t="e">
        <f>VLOOKUP(AnalizaCzyste[[#This Row],[Moja satysfakcja z pracy na ocenianej uczelni jest wysoka.42]],SkalaLikerta[],2,0)</f>
        <v>#N/A</v>
      </c>
      <c r="DW118" s="1" t="s">
        <v>123</v>
      </c>
      <c r="EJ118" t="e">
        <f>VLOOKUP(AnalizaCzyste[[#This Row],[Ogólny poziom mojej satysfakcji z jakości usług edukacyjnych ocenianej uczelni jest wysoki.]],SkalaLikerta[],2,0)</f>
        <v>#N/A</v>
      </c>
      <c r="FA118" s="1" t="s">
        <v>123</v>
      </c>
      <c r="FB118" t="s">
        <v>178</v>
      </c>
      <c r="FF118" t="e">
        <f>VLOOKUP(AnalizaCzyste[[#This Row],[Moja satysfakcja z (efektów) usług edukacyjnych na ocenianej uczelni jest wysoka.]],SkalaLikerta[],2,0)</f>
        <v>#N/A</v>
      </c>
      <c r="GB118" s="1" t="s">
        <v>123</v>
      </c>
      <c r="GN118" t="e">
        <f>VLOOKUP(AnalizaCzyste[[#This Row],[Ogólny poziom mojej satysfakcji z jakości usług edukacyjnych ocenianej uczelni jest wysoki.32]],SkalaLikerta[],2,0)</f>
        <v>#N/A</v>
      </c>
      <c r="HK118" t="s">
        <v>1497</v>
      </c>
      <c r="HL118" t="s">
        <v>1497</v>
      </c>
      <c r="HM118" t="s">
        <v>1497</v>
      </c>
      <c r="HN118" t="s">
        <v>186</v>
      </c>
      <c r="HO118">
        <v>1981</v>
      </c>
      <c r="HP118" t="str">
        <f>VLOOKUP(AnalizaCzyste[[#This Row],[Rok urodzenia]],KategorieWiekowe[],2,1)</f>
        <v>36–45 lat</v>
      </c>
      <c r="HQ118" t="s">
        <v>246</v>
      </c>
    </row>
    <row r="119" spans="1:228" x14ac:dyDescent="0.45">
      <c r="A119">
        <v>220</v>
      </c>
      <c r="B119">
        <f>_xlfn.IFNA(VLOOKUP(AnalizaCzyste[[#This Row],[Zakończono wypełnianie]],Zakończone[],2,0),"BRAK")</f>
        <v>121</v>
      </c>
      <c r="C119">
        <f t="shared" si="3"/>
        <v>48</v>
      </c>
      <c r="D119" t="s">
        <v>1336</v>
      </c>
      <c r="E119" t="s">
        <v>118</v>
      </c>
      <c r="J119" t="s">
        <v>119</v>
      </c>
      <c r="K119" t="s">
        <v>1808</v>
      </c>
      <c r="L119" t="s">
        <v>1809</v>
      </c>
      <c r="M119">
        <v>2379</v>
      </c>
      <c r="O119">
        <v>0</v>
      </c>
      <c r="P119" t="s">
        <v>122</v>
      </c>
      <c r="Q119" s="1" t="s">
        <v>123</v>
      </c>
      <c r="V119" t="e">
        <f>VLOOKUP(AnalizaCzyste[[#This Row],[Moja satysfakcja z usług edukacyjnych ocenianej uczelni jest wysoka.]],SkalaLikerta[],2,0)</f>
        <v>#N/A</v>
      </c>
      <c r="AH119" s="1" t="s">
        <v>124</v>
      </c>
      <c r="AI119" t="s">
        <v>223</v>
      </c>
      <c r="AJ119" t="str">
        <f>VLOOKUP(AnalizaCzyste[[#This Row],[Jak się nazywa uczelnia którą ukończyłeś? (proszę o wybranie jednej uczelni podlegającej ocenie)]],KategorieUczelni[],2,0)</f>
        <v>Publiczna</v>
      </c>
      <c r="AK119" t="str">
        <f>VLOOKUP(AnalizaCzyste[[#This Row],[Jak się nazywa uczelnia którą ukończyłeś? (proszę o wybranie jednej uczelni podlegającej ocenie)]],KategorieUczelni[],3,0)</f>
        <v>Nietechniczna</v>
      </c>
      <c r="AL119">
        <f>COUNTIF(AnalizaCzyste[[#This Row],[Czy jesteś absolwentem uczelni wyższej?]],"*"&amp;"Tak"&amp;"*")</f>
        <v>1</v>
      </c>
      <c r="AM119">
        <v>2012</v>
      </c>
      <c r="AN119" t="s">
        <v>148</v>
      </c>
      <c r="AO119" t="s">
        <v>1810</v>
      </c>
      <c r="AP119" t="s">
        <v>150</v>
      </c>
      <c r="AQ119">
        <f>VLOOKUP(AnalizaCzyste[[#This Row],[Moja satysfakcja z (efektów) usług edukacyjnych ocenianej uczelni jest wysoka.]],SkalaLikerta[],2,0)</f>
        <v>6</v>
      </c>
      <c r="AR119" t="s">
        <v>162</v>
      </c>
      <c r="AS119" t="s">
        <v>150</v>
      </c>
      <c r="AT119" t="s">
        <v>162</v>
      </c>
      <c r="AU119" t="s">
        <v>150</v>
      </c>
      <c r="AV119" t="s">
        <v>237</v>
      </c>
      <c r="AW119" t="s">
        <v>132</v>
      </c>
      <c r="AX119" t="str">
        <f>VLOOKUP(AnalizaCzyste[[#This Row],[w pierwszym roku po ukończeniu studiów : wybierz wartość z listy rozwijanej4]],Zarobki[],2,0)</f>
        <v>N/D</v>
      </c>
      <c r="AY119" t="s">
        <v>132</v>
      </c>
      <c r="AZ119" t="str">
        <f>VLOOKUP(AnalizaCzyste[[#This Row],[w 3 lata po ukończeniu studiów : wybierz wartość z listy rozwijanej5]],Zarobki[],2,0)</f>
        <v>N/D</v>
      </c>
      <c r="BA119" t="s">
        <v>1811</v>
      </c>
      <c r="BB119" t="s">
        <v>1812</v>
      </c>
      <c r="BC119" t="s">
        <v>1813</v>
      </c>
      <c r="BD119" t="s">
        <v>230</v>
      </c>
      <c r="BE119" t="s">
        <v>1814</v>
      </c>
      <c r="BF119" s="1" t="s">
        <v>123</v>
      </c>
      <c r="BM119" t="e">
        <f>VLOOKUP(AnalizaCzyste[[#This Row],[Moja satysfakcja z (efektów) usług edukacyjnych ocenianej uczelni jest wysoka.8]],SkalaLikerta[],2,0)</f>
        <v>#N/A</v>
      </c>
      <c r="DA119" s="1" t="s">
        <v>123</v>
      </c>
      <c r="DE119" t="e">
        <f>VLOOKUP(AnalizaCzyste[[#This Row],[Moja satysfakcja z pracy na ocenianej uczelni jest wysoka.]],SkalaLikerta[],2,0)</f>
        <v>#N/A</v>
      </c>
      <c r="DL119" s="1" t="s">
        <v>123</v>
      </c>
      <c r="DP119" t="e">
        <f>VLOOKUP(AnalizaCzyste[[#This Row],[Moja satysfakcja z pracy na ocenianej uczelni jest wysoka.42]],SkalaLikerta[],2,0)</f>
        <v>#N/A</v>
      </c>
      <c r="DW119" s="1" t="s">
        <v>123</v>
      </c>
      <c r="EJ119" t="e">
        <f>VLOOKUP(AnalizaCzyste[[#This Row],[Ogólny poziom mojej satysfakcji z jakości usług edukacyjnych ocenianej uczelni jest wysoki.]],SkalaLikerta[],2,0)</f>
        <v>#N/A</v>
      </c>
      <c r="FA119" s="1" t="s">
        <v>123</v>
      </c>
      <c r="FF119" t="e">
        <f>VLOOKUP(AnalizaCzyste[[#This Row],[Moja satysfakcja z (efektów) usług edukacyjnych na ocenianej uczelni jest wysoka.]],SkalaLikerta[],2,0)</f>
        <v>#N/A</v>
      </c>
      <c r="GB119" s="1" t="s">
        <v>123</v>
      </c>
      <c r="GN119" t="e">
        <f>VLOOKUP(AnalizaCzyste[[#This Row],[Ogólny poziom mojej satysfakcji z jakości usług edukacyjnych ocenianej uczelni jest wysoki.32]],SkalaLikerta[],2,0)</f>
        <v>#N/A</v>
      </c>
      <c r="HK119" t="s">
        <v>1815</v>
      </c>
      <c r="HL119" t="s">
        <v>1816</v>
      </c>
      <c r="HM119" t="s">
        <v>1817</v>
      </c>
      <c r="HN119" t="s">
        <v>140</v>
      </c>
      <c r="HO119">
        <v>1986</v>
      </c>
      <c r="HP119" t="str">
        <f>VLOOKUP(AnalizaCzyste[[#This Row],[Rok urodzenia]],KategorieWiekowe[],2,1)</f>
        <v>26–35 lat</v>
      </c>
      <c r="HQ119" t="s">
        <v>246</v>
      </c>
      <c r="HS119" t="s">
        <v>1818</v>
      </c>
      <c r="HT119" t="s">
        <v>1819</v>
      </c>
    </row>
    <row r="120" spans="1:228" x14ac:dyDescent="0.45">
      <c r="A120">
        <v>52</v>
      </c>
      <c r="B120">
        <f>_xlfn.IFNA(VLOOKUP(AnalizaCzyste[[#This Row],[Zakończono wypełnianie]],Zakończone[],2,0),"BRAK")</f>
        <v>31</v>
      </c>
      <c r="C120">
        <f t="shared" si="3"/>
        <v>50</v>
      </c>
      <c r="D120" t="s">
        <v>598</v>
      </c>
      <c r="E120" t="s">
        <v>118</v>
      </c>
      <c r="F120" t="s">
        <v>359</v>
      </c>
      <c r="J120" t="s">
        <v>119</v>
      </c>
      <c r="K120" t="s">
        <v>599</v>
      </c>
      <c r="L120" t="s">
        <v>600</v>
      </c>
      <c r="M120">
        <v>61362</v>
      </c>
      <c r="O120">
        <v>0</v>
      </c>
      <c r="P120" t="s">
        <v>122</v>
      </c>
      <c r="Q120" s="1" t="s">
        <v>123</v>
      </c>
      <c r="V120" t="e">
        <f>VLOOKUP(AnalizaCzyste[[#This Row],[Moja satysfakcja z usług edukacyjnych ocenianej uczelni jest wysoka.]],SkalaLikerta[],2,0)</f>
        <v>#N/A</v>
      </c>
      <c r="AH120" s="1" t="s">
        <v>124</v>
      </c>
      <c r="AI120" t="s">
        <v>445</v>
      </c>
      <c r="AJ120" t="str">
        <f>VLOOKUP(AnalizaCzyste[[#This Row],[Jak się nazywa uczelnia którą ukończyłeś? (proszę o wybranie jednej uczelni podlegającej ocenie)]],KategorieUczelni[],2,0)</f>
        <v>Publiczna</v>
      </c>
      <c r="AK120" t="str">
        <f>VLOOKUP(AnalizaCzyste[[#This Row],[Jak się nazywa uczelnia którą ukończyłeś? (proszę o wybranie jednej uczelni podlegającej ocenie)]],KategorieUczelni[],3,0)</f>
        <v>Nietechniczna</v>
      </c>
      <c r="AL120">
        <f>COUNTIF(AnalizaCzyste[[#This Row],[Czy jesteś absolwentem uczelni wyższej?]],"*"&amp;"Tak"&amp;"*")</f>
        <v>1</v>
      </c>
      <c r="AM120">
        <v>2018</v>
      </c>
      <c r="AN120" t="s">
        <v>148</v>
      </c>
      <c r="AO120" t="s">
        <v>601</v>
      </c>
      <c r="AP120" t="s">
        <v>150</v>
      </c>
      <c r="AQ120">
        <f>VLOOKUP(AnalizaCzyste[[#This Row],[Moja satysfakcja z (efektów) usług edukacyjnych ocenianej uczelni jest wysoka.]],SkalaLikerta[],2,0)</f>
        <v>6</v>
      </c>
      <c r="AR120" t="s">
        <v>162</v>
      </c>
      <c r="AS120" t="s">
        <v>128</v>
      </c>
      <c r="AT120" t="s">
        <v>129</v>
      </c>
      <c r="AU120" t="s">
        <v>132</v>
      </c>
      <c r="AV120" t="s">
        <v>602</v>
      </c>
      <c r="AW120" t="s">
        <v>131</v>
      </c>
      <c r="AX120">
        <f>VLOOKUP(AnalizaCzyste[[#This Row],[w pierwszym roku po ukończeniu studiów : wybierz wartość z listy rozwijanej4]],Zarobki[],2,0)</f>
        <v>1500</v>
      </c>
      <c r="AY120" t="s">
        <v>132</v>
      </c>
      <c r="AZ120" t="str">
        <f>VLOOKUP(AnalizaCzyste[[#This Row],[w 3 lata po ukończeniu studiów : wybierz wartość z listy rozwijanej5]],Zarobki[],2,0)</f>
        <v>N/D</v>
      </c>
      <c r="BB120" t="s">
        <v>603</v>
      </c>
      <c r="BC120" t="s">
        <v>604</v>
      </c>
      <c r="BD120" t="s">
        <v>157</v>
      </c>
      <c r="BF120" s="1" t="s">
        <v>123</v>
      </c>
      <c r="BM120" t="e">
        <f>VLOOKUP(AnalizaCzyste[[#This Row],[Moja satysfakcja z (efektów) usług edukacyjnych ocenianej uczelni jest wysoka.8]],SkalaLikerta[],2,0)</f>
        <v>#N/A</v>
      </c>
      <c r="DA120" s="1" t="s">
        <v>123</v>
      </c>
      <c r="DE120" t="e">
        <f>VLOOKUP(AnalizaCzyste[[#This Row],[Moja satysfakcja z pracy na ocenianej uczelni jest wysoka.]],SkalaLikerta[],2,0)</f>
        <v>#N/A</v>
      </c>
      <c r="DL120" s="1" t="s">
        <v>123</v>
      </c>
      <c r="DP120" t="e">
        <f>VLOOKUP(AnalizaCzyste[[#This Row],[Moja satysfakcja z pracy na ocenianej uczelni jest wysoka.42]],SkalaLikerta[],2,0)</f>
        <v>#N/A</v>
      </c>
      <c r="DW120" s="1" t="s">
        <v>123</v>
      </c>
      <c r="EJ120" t="e">
        <f>VLOOKUP(AnalizaCzyste[[#This Row],[Ogólny poziom mojej satysfakcji z jakości usług edukacyjnych ocenianej uczelni jest wysoki.]],SkalaLikerta[],2,0)</f>
        <v>#N/A</v>
      </c>
      <c r="FA120" s="1" t="s">
        <v>123</v>
      </c>
      <c r="FB120" t="s">
        <v>180</v>
      </c>
      <c r="FC120" t="s">
        <v>132</v>
      </c>
      <c r="FF120" t="e">
        <f>VLOOKUP(AnalizaCzyste[[#This Row],[Moja satysfakcja z (efektów) usług edukacyjnych na ocenianej uczelni jest wysoka.]],SkalaLikerta[],2,0)</f>
        <v>#N/A</v>
      </c>
      <c r="GB120" s="1" t="s">
        <v>123</v>
      </c>
      <c r="GC120" t="s">
        <v>132</v>
      </c>
      <c r="GE120" t="s">
        <v>132</v>
      </c>
      <c r="GN120" t="e">
        <f>VLOOKUP(AnalizaCzyste[[#This Row],[Ogólny poziom mojej satysfakcji z jakości usług edukacyjnych ocenianej uczelni jest wysoki.32]],SkalaLikerta[],2,0)</f>
        <v>#N/A</v>
      </c>
      <c r="HK120" t="s">
        <v>605</v>
      </c>
      <c r="HL120" t="s">
        <v>606</v>
      </c>
      <c r="HM120" t="s">
        <v>607</v>
      </c>
      <c r="HN120" t="s">
        <v>140</v>
      </c>
      <c r="HO120">
        <v>1994</v>
      </c>
      <c r="HP120" t="str">
        <f>VLOOKUP(AnalizaCzyste[[#This Row],[Rok urodzenia]],KategorieWiekowe[],2,1)</f>
        <v>26–35 lat</v>
      </c>
      <c r="HQ120" t="s">
        <v>483</v>
      </c>
      <c r="HS120" t="s">
        <v>608</v>
      </c>
      <c r="HT120" t="s">
        <v>609</v>
      </c>
    </row>
    <row r="121" spans="1:228" x14ac:dyDescent="0.45">
      <c r="A121">
        <v>81</v>
      </c>
      <c r="B121">
        <f>_xlfn.IFNA(VLOOKUP(AnalizaCzyste[[#This Row],[Zakończono wypełnianie]],Zakończone[],2,0),"BRAK")</f>
        <v>46</v>
      </c>
      <c r="C121">
        <f t="shared" si="3"/>
        <v>45</v>
      </c>
      <c r="D121" t="s">
        <v>370</v>
      </c>
      <c r="E121" t="s">
        <v>118</v>
      </c>
      <c r="F121" t="s">
        <v>774</v>
      </c>
      <c r="J121" t="s">
        <v>119</v>
      </c>
      <c r="K121" t="s">
        <v>821</v>
      </c>
      <c r="L121" t="s">
        <v>822</v>
      </c>
      <c r="M121">
        <v>3447</v>
      </c>
      <c r="O121">
        <v>0</v>
      </c>
      <c r="P121" t="s">
        <v>122</v>
      </c>
      <c r="Q121" s="1" t="s">
        <v>123</v>
      </c>
      <c r="V121" t="e">
        <f>VLOOKUP(AnalizaCzyste[[#This Row],[Moja satysfakcja z usług edukacyjnych ocenianej uczelni jest wysoka.]],SkalaLikerta[],2,0)</f>
        <v>#N/A</v>
      </c>
      <c r="AH121" s="1" t="s">
        <v>124</v>
      </c>
      <c r="AI121" t="s">
        <v>813</v>
      </c>
      <c r="AJ121" t="str">
        <f>VLOOKUP(AnalizaCzyste[[#This Row],[Jak się nazywa uczelnia którą ukończyłeś? (proszę o wybranie jednej uczelni podlegającej ocenie)]],KategorieUczelni[],2,0)</f>
        <v>Publiczna</v>
      </c>
      <c r="AK121" t="str">
        <f>VLOOKUP(AnalizaCzyste[[#This Row],[Jak się nazywa uczelnia którą ukończyłeś? (proszę o wybranie jednej uczelni podlegającej ocenie)]],KategorieUczelni[],3,0)</f>
        <v>Nietechniczna</v>
      </c>
      <c r="AL121">
        <f>COUNTIF(AnalizaCzyste[[#This Row],[Czy jesteś absolwentem uczelni wyższej?]],"*"&amp;"Tak"&amp;"*")</f>
        <v>1</v>
      </c>
      <c r="AM121">
        <v>1960</v>
      </c>
      <c r="AN121" t="s">
        <v>148</v>
      </c>
      <c r="AO121" t="s">
        <v>823</v>
      </c>
      <c r="AP121" t="s">
        <v>150</v>
      </c>
      <c r="AQ121">
        <f>VLOOKUP(AnalizaCzyste[[#This Row],[Moja satysfakcja z (efektów) usług edukacyjnych ocenianej uczelni jest wysoka.]],SkalaLikerta[],2,0)</f>
        <v>6</v>
      </c>
      <c r="AR121" t="s">
        <v>150</v>
      </c>
      <c r="AS121" t="s">
        <v>151</v>
      </c>
      <c r="AT121" t="s">
        <v>236</v>
      </c>
      <c r="AU121" t="s">
        <v>236</v>
      </c>
      <c r="AV121" t="s">
        <v>814</v>
      </c>
      <c r="AW121" t="s">
        <v>131</v>
      </c>
      <c r="AX121">
        <f>VLOOKUP(AnalizaCzyste[[#This Row],[w pierwszym roku po ukończeniu studiów : wybierz wartość z listy rozwijanej4]],Zarobki[],2,0)</f>
        <v>1500</v>
      </c>
      <c r="AY121" t="s">
        <v>131</v>
      </c>
      <c r="AZ121">
        <f>VLOOKUP(AnalizaCzyste[[#This Row],[w 3 lata po ukończeniu studiów : wybierz wartość z listy rozwijanej5]],Zarobki[],2,0)</f>
        <v>1500</v>
      </c>
      <c r="BB121" t="s">
        <v>824</v>
      </c>
      <c r="BC121" t="s">
        <v>825</v>
      </c>
      <c r="BD121" t="s">
        <v>157</v>
      </c>
      <c r="BF121" s="1" t="s">
        <v>123</v>
      </c>
      <c r="BM121" t="e">
        <f>VLOOKUP(AnalizaCzyste[[#This Row],[Moja satysfakcja z (efektów) usług edukacyjnych ocenianej uczelni jest wysoka.8]],SkalaLikerta[],2,0)</f>
        <v>#N/A</v>
      </c>
      <c r="DA121" s="1" t="s">
        <v>123</v>
      </c>
      <c r="DE121" t="e">
        <f>VLOOKUP(AnalizaCzyste[[#This Row],[Moja satysfakcja z pracy na ocenianej uczelni jest wysoka.]],SkalaLikerta[],2,0)</f>
        <v>#N/A</v>
      </c>
      <c r="DL121" s="1" t="s">
        <v>123</v>
      </c>
      <c r="DP121" t="e">
        <f>VLOOKUP(AnalizaCzyste[[#This Row],[Moja satysfakcja z pracy na ocenianej uczelni jest wysoka.42]],SkalaLikerta[],2,0)</f>
        <v>#N/A</v>
      </c>
      <c r="DW121" s="1" t="s">
        <v>123</v>
      </c>
      <c r="EJ121" t="e">
        <f>VLOOKUP(AnalizaCzyste[[#This Row],[Ogólny poziom mojej satysfakcji z jakości usług edukacyjnych ocenianej uczelni jest wysoki.]],SkalaLikerta[],2,0)</f>
        <v>#N/A</v>
      </c>
      <c r="FA121" s="1" t="s">
        <v>123</v>
      </c>
      <c r="FF121" t="e">
        <f>VLOOKUP(AnalizaCzyste[[#This Row],[Moja satysfakcja z (efektów) usług edukacyjnych na ocenianej uczelni jest wysoka.]],SkalaLikerta[],2,0)</f>
        <v>#N/A</v>
      </c>
      <c r="GB121" s="1" t="s">
        <v>123</v>
      </c>
      <c r="GC121" t="s">
        <v>132</v>
      </c>
      <c r="GN121" t="e">
        <f>VLOOKUP(AnalizaCzyste[[#This Row],[Ogólny poziom mojej satysfakcji z jakości usług edukacyjnych ocenianej uczelni jest wysoki.32]],SkalaLikerta[],2,0)</f>
        <v>#N/A</v>
      </c>
      <c r="HK121" t="s">
        <v>826</v>
      </c>
      <c r="HL121" t="s">
        <v>824</v>
      </c>
      <c r="HM121" t="s">
        <v>827</v>
      </c>
      <c r="HN121" t="s">
        <v>186</v>
      </c>
      <c r="HO121">
        <v>1934</v>
      </c>
      <c r="HP121" t="str">
        <f>VLOOKUP(AnalizaCzyste[[#This Row],[Rok urodzenia]],KategorieWiekowe[],2,1)</f>
        <v>powyżej 65 lat</v>
      </c>
      <c r="HQ121" t="s">
        <v>220</v>
      </c>
    </row>
    <row r="122" spans="1:228" x14ac:dyDescent="0.45">
      <c r="A122">
        <v>193</v>
      </c>
      <c r="B122">
        <f>_xlfn.IFNA(VLOOKUP(AnalizaCzyste[[#This Row],[Zakończono wypełnianie]],Zakończone[],2,0),"BRAK")</f>
        <v>110</v>
      </c>
      <c r="C122">
        <f t="shared" si="3"/>
        <v>47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O122">
        <v>0</v>
      </c>
      <c r="P122" t="s">
        <v>122</v>
      </c>
      <c r="Q122" s="1" t="s">
        <v>123</v>
      </c>
      <c r="V122" t="e">
        <f>VLOOKUP(AnalizaCzyste[[#This Row],[Moja satysfakcja z usług edukacyjnych ocenianej uczelni jest wysoka.]],SkalaLikerta[],2,0)</f>
        <v>#N/A</v>
      </c>
      <c r="AH122" s="1" t="s">
        <v>124</v>
      </c>
      <c r="AI122" t="s">
        <v>1636</v>
      </c>
      <c r="AJ122" t="str">
        <f>VLOOKUP(AnalizaCzyste[[#This Row],[Jak się nazywa uczelnia którą ukończyłeś? (proszę o wybranie jednej uczelni podlegającej ocenie)]],KategorieUczelni[],2,0)</f>
        <v>Publiczna</v>
      </c>
      <c r="AK122" t="str">
        <f>VLOOKUP(AnalizaCzyste[[#This Row],[Jak się nazywa uczelnia którą ukończyłeś? (proszę o wybranie jednej uczelni podlegającej ocenie)]],KategorieUczelni[],3,0)</f>
        <v>Nietechniczna</v>
      </c>
      <c r="AL122">
        <f>COUNTIF(AnalizaCzyste[[#This Row],[Czy jesteś absolwentem uczelni wyższej?]],"*"&amp;"Tak"&amp;"*")</f>
        <v>1</v>
      </c>
      <c r="AM122">
        <v>2001</v>
      </c>
      <c r="AN122" t="s">
        <v>148</v>
      </c>
      <c r="AO122" t="s">
        <v>1637</v>
      </c>
      <c r="AP122" t="s">
        <v>150</v>
      </c>
      <c r="AQ122">
        <f>VLOOKUP(AnalizaCzyste[[#This Row],[Moja satysfakcja z (efektów) usług edukacyjnych ocenianej uczelni jest wysoka.]],SkalaLikerta[],2,0)</f>
        <v>6</v>
      </c>
      <c r="AR122" t="s">
        <v>150</v>
      </c>
      <c r="AS122" t="s">
        <v>169</v>
      </c>
      <c r="AT122" t="s">
        <v>150</v>
      </c>
      <c r="AU122" t="s">
        <v>169</v>
      </c>
      <c r="AV122" t="s">
        <v>1638</v>
      </c>
      <c r="AW122" t="s">
        <v>152</v>
      </c>
      <c r="AX122">
        <f>VLOOKUP(AnalizaCzyste[[#This Row],[w pierwszym roku po ukończeniu studiów : wybierz wartość z listy rozwijanej4]],Zarobki[],2,0)</f>
        <v>500</v>
      </c>
      <c r="AY122" t="s">
        <v>153</v>
      </c>
      <c r="AZ122">
        <f>VLOOKUP(AnalizaCzyste[[#This Row],[w 3 lata po ukończeniu studiów : wybierz wartość z listy rozwijanej5]],Zarobki[],2,0)</f>
        <v>3500</v>
      </c>
      <c r="BA122" t="s">
        <v>1639</v>
      </c>
      <c r="BB122" t="s">
        <v>1640</v>
      </c>
      <c r="BC122" t="s">
        <v>386</v>
      </c>
      <c r="BD122" t="s">
        <v>157</v>
      </c>
      <c r="BF122" s="1" t="s">
        <v>123</v>
      </c>
      <c r="BM122" t="e">
        <f>VLOOKUP(AnalizaCzyste[[#This Row],[Moja satysfakcja z (efektów) usług edukacyjnych ocenianej uczelni jest wysoka.8]],SkalaLikerta[],2,0)</f>
        <v>#N/A</v>
      </c>
      <c r="DA122" s="1" t="s">
        <v>123</v>
      </c>
      <c r="DE122" t="e">
        <f>VLOOKUP(AnalizaCzyste[[#This Row],[Moja satysfakcja z pracy na ocenianej uczelni jest wysoka.]],SkalaLikerta[],2,0)</f>
        <v>#N/A</v>
      </c>
      <c r="DL122" s="1" t="s">
        <v>123</v>
      </c>
      <c r="DP122" t="e">
        <f>VLOOKUP(AnalizaCzyste[[#This Row],[Moja satysfakcja z pracy na ocenianej uczelni jest wysoka.42]],SkalaLikerta[],2,0)</f>
        <v>#N/A</v>
      </c>
      <c r="DW122" s="1" t="s">
        <v>123</v>
      </c>
      <c r="EJ122" t="e">
        <f>VLOOKUP(AnalizaCzyste[[#This Row],[Ogólny poziom mojej satysfakcji z jakości usług edukacyjnych ocenianej uczelni jest wysoki.]],SkalaLikerta[],2,0)</f>
        <v>#N/A</v>
      </c>
      <c r="FA122" s="1" t="s">
        <v>123</v>
      </c>
      <c r="FF122" t="e">
        <f>VLOOKUP(AnalizaCzyste[[#This Row],[Moja satysfakcja z (efektów) usług edukacyjnych na ocenianej uczelni jest wysoka.]],SkalaLikerta[],2,0)</f>
        <v>#N/A</v>
      </c>
      <c r="GB122" s="1" t="s">
        <v>123</v>
      </c>
      <c r="GN122" t="e">
        <f>VLOOKUP(AnalizaCzyste[[#This Row],[Ogólny poziom mojej satysfakcji z jakości usług edukacyjnych ocenianej uczelni jest wysoki.32]],SkalaLikerta[],2,0)</f>
        <v>#N/A</v>
      </c>
      <c r="HK122" t="s">
        <v>1641</v>
      </c>
      <c r="HL122" t="s">
        <v>1642</v>
      </c>
      <c r="HM122" t="s">
        <v>1643</v>
      </c>
      <c r="HN122" t="s">
        <v>140</v>
      </c>
      <c r="HO122">
        <v>1977</v>
      </c>
      <c r="HP122" t="str">
        <f>VLOOKUP(AnalizaCzyste[[#This Row],[Rok urodzenia]],KategorieWiekowe[],2,1)</f>
        <v>36–45 lat</v>
      </c>
      <c r="HQ122" t="s">
        <v>141</v>
      </c>
      <c r="HR122" t="s">
        <v>1644</v>
      </c>
      <c r="HS122" t="s">
        <v>1645</v>
      </c>
    </row>
    <row r="123" spans="1:228" x14ac:dyDescent="0.45">
      <c r="A123">
        <v>78</v>
      </c>
      <c r="B123">
        <f>_xlfn.IFNA(VLOOKUP(AnalizaCzyste[[#This Row],[Zakończono wypełnianie]],Zakończone[],2,0),"BRAK")</f>
        <v>44</v>
      </c>
      <c r="C123">
        <f t="shared" si="3"/>
        <v>48</v>
      </c>
      <c r="D123" t="s">
        <v>796</v>
      </c>
      <c r="E123" t="s">
        <v>118</v>
      </c>
      <c r="F123" t="s">
        <v>797</v>
      </c>
      <c r="J123" t="s">
        <v>119</v>
      </c>
      <c r="K123" t="s">
        <v>798</v>
      </c>
      <c r="L123" t="s">
        <v>799</v>
      </c>
      <c r="M123">
        <v>2364</v>
      </c>
      <c r="O123">
        <v>0</v>
      </c>
      <c r="P123" t="s">
        <v>122</v>
      </c>
      <c r="Q123" s="1" t="s">
        <v>123</v>
      </c>
      <c r="V123" t="e">
        <f>VLOOKUP(AnalizaCzyste[[#This Row],[Moja satysfakcja z usług edukacyjnych ocenianej uczelni jest wysoka.]],SkalaLikerta[],2,0)</f>
        <v>#N/A</v>
      </c>
      <c r="AH123" s="1" t="s">
        <v>124</v>
      </c>
      <c r="AI123" t="s">
        <v>800</v>
      </c>
      <c r="AJ123" t="str">
        <f>VLOOKUP(AnalizaCzyste[[#This Row],[Jak się nazywa uczelnia którą ukończyłeś? (proszę o wybranie jednej uczelni podlegającej ocenie)]],KategorieUczelni[],2,0)</f>
        <v>Publiczna</v>
      </c>
      <c r="AK123" t="str">
        <f>VLOOKUP(AnalizaCzyste[[#This Row],[Jak się nazywa uczelnia którą ukończyłeś? (proszę o wybranie jednej uczelni podlegającej ocenie)]],KategorieUczelni[],3,0)</f>
        <v>Nietechniczna</v>
      </c>
      <c r="AL123">
        <f>COUNTIF(AnalizaCzyste[[#This Row],[Czy jesteś absolwentem uczelni wyższej?]],"*"&amp;"Tak"&amp;"*")</f>
        <v>1</v>
      </c>
      <c r="AM123">
        <v>2002</v>
      </c>
      <c r="AN123" t="s">
        <v>126</v>
      </c>
      <c r="AO123" t="s">
        <v>801</v>
      </c>
      <c r="AP123" t="s">
        <v>150</v>
      </c>
      <c r="AQ123">
        <f>VLOOKUP(AnalizaCzyste[[#This Row],[Moja satysfakcja z (efektów) usług edukacyjnych ocenianej uczelni jest wysoka.]],SkalaLikerta[],2,0)</f>
        <v>6</v>
      </c>
      <c r="AR123" t="s">
        <v>162</v>
      </c>
      <c r="AS123" t="s">
        <v>151</v>
      </c>
      <c r="AT123" t="s">
        <v>129</v>
      </c>
      <c r="AU123" t="s">
        <v>236</v>
      </c>
      <c r="AV123">
        <v>3</v>
      </c>
      <c r="AW123" t="s">
        <v>152</v>
      </c>
      <c r="AX123">
        <f>VLOOKUP(AnalizaCzyste[[#This Row],[w pierwszym roku po ukończeniu studiów : wybierz wartość z listy rozwijanej4]],Zarobki[],2,0)</f>
        <v>500</v>
      </c>
      <c r="AY123" t="s">
        <v>152</v>
      </c>
      <c r="AZ123">
        <f>VLOOKUP(AnalizaCzyste[[#This Row],[w 3 lata po ukończeniu studiów : wybierz wartość z listy rozwijanej5]],Zarobki[],2,0)</f>
        <v>500</v>
      </c>
      <c r="BA123" t="s">
        <v>802</v>
      </c>
      <c r="BB123" t="s">
        <v>803</v>
      </c>
      <c r="BC123" t="s">
        <v>804</v>
      </c>
      <c r="BD123" t="s">
        <v>157</v>
      </c>
      <c r="BF123" s="1" t="s">
        <v>123</v>
      </c>
      <c r="BM123" t="e">
        <f>VLOOKUP(AnalizaCzyste[[#This Row],[Moja satysfakcja z (efektów) usług edukacyjnych ocenianej uczelni jest wysoka.8]],SkalaLikerta[],2,0)</f>
        <v>#N/A</v>
      </c>
      <c r="DA123" s="1" t="s">
        <v>123</v>
      </c>
      <c r="DE123" t="e">
        <f>VLOOKUP(AnalizaCzyste[[#This Row],[Moja satysfakcja z pracy na ocenianej uczelni jest wysoka.]],SkalaLikerta[],2,0)</f>
        <v>#N/A</v>
      </c>
      <c r="DL123" s="1" t="s">
        <v>123</v>
      </c>
      <c r="DP123" t="e">
        <f>VLOOKUP(AnalizaCzyste[[#This Row],[Moja satysfakcja z pracy na ocenianej uczelni jest wysoka.42]],SkalaLikerta[],2,0)</f>
        <v>#N/A</v>
      </c>
      <c r="DW123" s="1" t="s">
        <v>123</v>
      </c>
      <c r="EJ123" t="e">
        <f>VLOOKUP(AnalizaCzyste[[#This Row],[Ogólny poziom mojej satysfakcji z jakości usług edukacyjnych ocenianej uczelni jest wysoki.]],SkalaLikerta[],2,0)</f>
        <v>#N/A</v>
      </c>
      <c r="FA123" s="1" t="s">
        <v>123</v>
      </c>
      <c r="FF123" t="e">
        <f>VLOOKUP(AnalizaCzyste[[#This Row],[Moja satysfakcja z (efektów) usług edukacyjnych na ocenianej uczelni jest wysoka.]],SkalaLikerta[],2,0)</f>
        <v>#N/A</v>
      </c>
      <c r="GB123" s="1" t="s">
        <v>123</v>
      </c>
      <c r="GC123" t="s">
        <v>132</v>
      </c>
      <c r="GN123" t="e">
        <f>VLOOKUP(AnalizaCzyste[[#This Row],[Ogólny poziom mojej satysfakcji z jakości usług edukacyjnych ocenianej uczelni jest wysoki.32]],SkalaLikerta[],2,0)</f>
        <v>#N/A</v>
      </c>
      <c r="HK123" t="s">
        <v>805</v>
      </c>
      <c r="HL123" t="s">
        <v>806</v>
      </c>
      <c r="HM123" t="s">
        <v>807</v>
      </c>
      <c r="HN123" t="s">
        <v>140</v>
      </c>
      <c r="HO123">
        <v>1978</v>
      </c>
      <c r="HP123" t="str">
        <f>VLOOKUP(AnalizaCzyste[[#This Row],[Rok urodzenia]],KategorieWiekowe[],2,1)</f>
        <v>36–45 lat</v>
      </c>
      <c r="HQ123" t="s">
        <v>141</v>
      </c>
      <c r="HS123" t="s">
        <v>386</v>
      </c>
      <c r="HT123" t="s">
        <v>386</v>
      </c>
    </row>
    <row r="124" spans="1:228" x14ac:dyDescent="0.45">
      <c r="A124">
        <v>123</v>
      </c>
      <c r="B124">
        <f>_xlfn.IFNA(VLOOKUP(AnalizaCzyste[[#This Row],[Zakończono wypełnianie]],Zakończone[],2,0),"BRAK")</f>
        <v>72</v>
      </c>
      <c r="C124">
        <f t="shared" si="3"/>
        <v>46</v>
      </c>
      <c r="D124" t="s">
        <v>1142</v>
      </c>
      <c r="E124" t="s">
        <v>118</v>
      </c>
      <c r="J124" t="s">
        <v>119</v>
      </c>
      <c r="K124" t="s">
        <v>1143</v>
      </c>
      <c r="L124" t="s">
        <v>1144</v>
      </c>
      <c r="M124">
        <v>258</v>
      </c>
      <c r="O124">
        <v>0</v>
      </c>
      <c r="P124" t="s">
        <v>122</v>
      </c>
      <c r="Q124" s="1" t="s">
        <v>123</v>
      </c>
      <c r="V124" t="e">
        <f>VLOOKUP(AnalizaCzyste[[#This Row],[Moja satysfakcja z usług edukacyjnych ocenianej uczelni jest wysoka.]],SkalaLikerta[],2,0)</f>
        <v>#N/A</v>
      </c>
      <c r="AH124" s="1" t="s">
        <v>124</v>
      </c>
      <c r="AI124" t="s">
        <v>1439</v>
      </c>
      <c r="AJ124" t="str">
        <f>VLOOKUP(AnalizaCzyste[[#This Row],[Jak się nazywa uczelnia którą ukończyłeś? (proszę o wybranie jednej uczelni podlegającej ocenie)]],KategorieUczelni[],2,0)</f>
        <v>Niepubliczna</v>
      </c>
      <c r="AK124" t="str">
        <f>VLOOKUP(AnalizaCzyste[[#This Row],[Jak się nazywa uczelnia którą ukończyłeś? (proszę o wybranie jednej uczelni podlegającej ocenie)]],KategorieUczelni[],3,0)</f>
        <v>Nietechniczna</v>
      </c>
      <c r="AL124">
        <f>COUNTIF(AnalizaCzyste[[#This Row],[Czy jesteś absolwentem uczelni wyższej?]],"*"&amp;"Tak"&amp;"*")</f>
        <v>1</v>
      </c>
      <c r="AM124">
        <v>2016</v>
      </c>
      <c r="AN124" t="s">
        <v>126</v>
      </c>
      <c r="AO124" t="s">
        <v>1146</v>
      </c>
      <c r="AP124" t="s">
        <v>150</v>
      </c>
      <c r="AQ124">
        <f>VLOOKUP(AnalizaCzyste[[#This Row],[Moja satysfakcja z (efektów) usług edukacyjnych ocenianej uczelni jest wysoka.]],SkalaLikerta[],2,0)</f>
        <v>6</v>
      </c>
      <c r="AR124" t="s">
        <v>150</v>
      </c>
      <c r="AS124" t="s">
        <v>169</v>
      </c>
      <c r="AT124" t="s">
        <v>169</v>
      </c>
      <c r="AU124" t="s">
        <v>169</v>
      </c>
      <c r="AV124">
        <v>3</v>
      </c>
      <c r="AW124" t="s">
        <v>302</v>
      </c>
      <c r="AX124">
        <f>VLOOKUP(AnalizaCzyste[[#This Row],[w pierwszym roku po ukończeniu studiów : wybierz wartość z listy rozwijanej4]],Zarobki[],2,0)</f>
        <v>2500</v>
      </c>
      <c r="AY124" t="s">
        <v>943</v>
      </c>
      <c r="AZ124">
        <f>VLOOKUP(AnalizaCzyste[[#This Row],[w 3 lata po ukończeniu studiów : wybierz wartość z listy rozwijanej5]],Zarobki[],2,0)</f>
        <v>8500</v>
      </c>
      <c r="BB124" t="s">
        <v>1147</v>
      </c>
      <c r="BC124" t="s">
        <v>1148</v>
      </c>
      <c r="BD124" t="s">
        <v>892</v>
      </c>
      <c r="BF124" s="1" t="s">
        <v>123</v>
      </c>
      <c r="BM124" t="e">
        <f>VLOOKUP(AnalizaCzyste[[#This Row],[Moja satysfakcja z (efektów) usług edukacyjnych ocenianej uczelni jest wysoka.8]],SkalaLikerta[],2,0)</f>
        <v>#N/A</v>
      </c>
      <c r="DA124" s="1" t="s">
        <v>123</v>
      </c>
      <c r="DE124" t="e">
        <f>VLOOKUP(AnalizaCzyste[[#This Row],[Moja satysfakcja z pracy na ocenianej uczelni jest wysoka.]],SkalaLikerta[],2,0)</f>
        <v>#N/A</v>
      </c>
      <c r="DL124" s="1" t="s">
        <v>123</v>
      </c>
      <c r="DP124" t="e">
        <f>VLOOKUP(AnalizaCzyste[[#This Row],[Moja satysfakcja z pracy na ocenianej uczelni jest wysoka.42]],SkalaLikerta[],2,0)</f>
        <v>#N/A</v>
      </c>
      <c r="DW124" s="1" t="s">
        <v>123</v>
      </c>
      <c r="EJ124" t="e">
        <f>VLOOKUP(AnalizaCzyste[[#This Row],[Ogólny poziom mojej satysfakcji z jakości usług edukacyjnych ocenianej uczelni jest wysoki.]],SkalaLikerta[],2,0)</f>
        <v>#N/A</v>
      </c>
      <c r="FA124" s="1" t="s">
        <v>123</v>
      </c>
      <c r="FB124" t="s">
        <v>178</v>
      </c>
      <c r="FC124">
        <v>1</v>
      </c>
      <c r="FF124" t="e">
        <f>VLOOKUP(AnalizaCzyste[[#This Row],[Moja satysfakcja z (efektów) usług edukacyjnych na ocenianej uczelni jest wysoka.]],SkalaLikerta[],2,0)</f>
        <v>#N/A</v>
      </c>
      <c r="GB124" s="1" t="s">
        <v>123</v>
      </c>
      <c r="GN124" t="e">
        <f>VLOOKUP(AnalizaCzyste[[#This Row],[Ogólny poziom mojej satysfakcji z jakości usług edukacyjnych ocenianej uczelni jest wysoki.32]],SkalaLikerta[],2,0)</f>
        <v>#N/A</v>
      </c>
      <c r="HK124" t="s">
        <v>1149</v>
      </c>
      <c r="HL124" t="s">
        <v>1149</v>
      </c>
      <c r="HM124" t="s">
        <v>1150</v>
      </c>
      <c r="HN124" t="s">
        <v>186</v>
      </c>
      <c r="HO124">
        <v>1986</v>
      </c>
      <c r="HP124" t="str">
        <f>VLOOKUP(AnalizaCzyste[[#This Row],[Rok urodzenia]],KategorieWiekowe[],2,1)</f>
        <v>26–35 lat</v>
      </c>
      <c r="HQ124" t="s">
        <v>398</v>
      </c>
    </row>
    <row r="125" spans="1:228" x14ac:dyDescent="0.45">
      <c r="A125">
        <v>248</v>
      </c>
      <c r="B125">
        <f>_xlfn.IFNA(VLOOKUP(AnalizaCzyste[[#This Row],[Zakończono wypełnianie]],Zakończone[],2,0),"BRAK")</f>
        <v>133</v>
      </c>
      <c r="C125">
        <f t="shared" si="3"/>
        <v>44</v>
      </c>
      <c r="D125" t="s">
        <v>1142</v>
      </c>
      <c r="E125" t="s">
        <v>118</v>
      </c>
      <c r="J125" t="s">
        <v>119</v>
      </c>
      <c r="K125" t="s">
        <v>1979</v>
      </c>
      <c r="L125" t="s">
        <v>1980</v>
      </c>
      <c r="M125">
        <v>1026</v>
      </c>
      <c r="O125">
        <v>0</v>
      </c>
      <c r="P125" t="s">
        <v>122</v>
      </c>
      <c r="Q125" s="1" t="s">
        <v>416</v>
      </c>
      <c r="R125" t="s">
        <v>813</v>
      </c>
      <c r="S125" t="s">
        <v>148</v>
      </c>
      <c r="T125" t="s">
        <v>1982</v>
      </c>
      <c r="U125" t="s">
        <v>162</v>
      </c>
      <c r="V125">
        <f>VLOOKUP(AnalizaCzyste[[#This Row],[Moja satysfakcja z usług edukacyjnych ocenianej uczelni jest wysoka.]],SkalaLikerta[],2,0)</f>
        <v>5</v>
      </c>
      <c r="W125" t="s">
        <v>162</v>
      </c>
      <c r="X125" t="s">
        <v>150</v>
      </c>
      <c r="Y125" t="s">
        <v>1983</v>
      </c>
      <c r="Z125" t="s">
        <v>1984</v>
      </c>
      <c r="AA125" t="s">
        <v>194</v>
      </c>
      <c r="AB125" t="s">
        <v>1985</v>
      </c>
      <c r="AC125" t="s">
        <v>1986</v>
      </c>
      <c r="AD125" t="s">
        <v>1987</v>
      </c>
      <c r="AE125" t="s">
        <v>157</v>
      </c>
      <c r="AG125">
        <v>4</v>
      </c>
      <c r="AH125" s="1" t="s">
        <v>123</v>
      </c>
      <c r="AJ125" t="e">
        <f>VLOOKUP(AnalizaCzyste[[#This Row],[Jak się nazywa uczelnia którą ukończyłeś? (proszę o wybranie jednej uczelni podlegającej ocenie)]],KategorieUczelni[],2,0)</f>
        <v>#N/A</v>
      </c>
      <c r="AK125" t="e">
        <f>VLOOKUP(AnalizaCzyste[[#This Row],[Jak się nazywa uczelnia którą ukończyłeś? (proszę o wybranie jednej uczelni podlegającej ocenie)]],KategorieUczelni[],3,0)</f>
        <v>#N/A</v>
      </c>
      <c r="AL125">
        <f>COUNTIF(AnalizaCzyste[[#This Row],[Czy jesteś absolwentem uczelni wyższej?]],"*"&amp;"Tak"&amp;"*")</f>
        <v>0</v>
      </c>
      <c r="AQ125" t="e">
        <f>VLOOKUP(AnalizaCzyste[[#This Row],[Moja satysfakcja z (efektów) usług edukacyjnych ocenianej uczelni jest wysoka.]],SkalaLikerta[],2,0)</f>
        <v>#N/A</v>
      </c>
      <c r="AX125" t="e">
        <f>VLOOKUP(AnalizaCzyste[[#This Row],[w pierwszym roku po ukończeniu studiów : wybierz wartość z listy rozwijanej4]],Zarobki[],2,0)</f>
        <v>#N/A</v>
      </c>
      <c r="AZ125" t="e">
        <f>VLOOKUP(AnalizaCzyste[[#This Row],[w 3 lata po ukończeniu studiów : wybierz wartość z listy rozwijanej5]],Zarobki[],2,0)</f>
        <v>#N/A</v>
      </c>
      <c r="BF125" s="1" t="s">
        <v>123</v>
      </c>
      <c r="BM125" t="e">
        <f>VLOOKUP(AnalizaCzyste[[#This Row],[Moja satysfakcja z (efektów) usług edukacyjnych ocenianej uczelni jest wysoka.8]],SkalaLikerta[],2,0)</f>
        <v>#N/A</v>
      </c>
      <c r="DA125" s="1" t="s">
        <v>123</v>
      </c>
      <c r="DE125" t="e">
        <f>VLOOKUP(AnalizaCzyste[[#This Row],[Moja satysfakcja z pracy na ocenianej uczelni jest wysoka.]],SkalaLikerta[],2,0)</f>
        <v>#N/A</v>
      </c>
      <c r="DL125" s="1" t="s">
        <v>123</v>
      </c>
      <c r="DP125" t="e">
        <f>VLOOKUP(AnalizaCzyste[[#This Row],[Moja satysfakcja z pracy na ocenianej uczelni jest wysoka.42]],SkalaLikerta[],2,0)</f>
        <v>#N/A</v>
      </c>
      <c r="DW125" s="1" t="s">
        <v>123</v>
      </c>
      <c r="EJ125" t="e">
        <f>VLOOKUP(AnalizaCzyste[[#This Row],[Ogólny poziom mojej satysfakcji z jakości usług edukacyjnych ocenianej uczelni jest wysoki.]],SkalaLikerta[],2,0)</f>
        <v>#N/A</v>
      </c>
      <c r="FA125" s="1" t="s">
        <v>123</v>
      </c>
      <c r="FF125" t="e">
        <f>VLOOKUP(AnalizaCzyste[[#This Row],[Moja satysfakcja z (efektów) usług edukacyjnych na ocenianej uczelni jest wysoka.]],SkalaLikerta[],2,0)</f>
        <v>#N/A</v>
      </c>
      <c r="GB125" s="1" t="s">
        <v>123</v>
      </c>
      <c r="GN125" t="e">
        <f>VLOOKUP(AnalizaCzyste[[#This Row],[Ogólny poziom mojej satysfakcji z jakości usług edukacyjnych ocenianej uczelni jest wysoki.32]],SkalaLikerta[],2,0)</f>
        <v>#N/A</v>
      </c>
      <c r="HK125" t="s">
        <v>1988</v>
      </c>
      <c r="HL125" t="s">
        <v>1989</v>
      </c>
      <c r="HM125" t="s">
        <v>1990</v>
      </c>
      <c r="HN125" t="s">
        <v>186</v>
      </c>
      <c r="HO125">
        <v>1992</v>
      </c>
      <c r="HP125" t="str">
        <f>VLOOKUP(AnalizaCzyste[[#This Row],[Rok urodzenia]],KategorieWiekowe[],2,1)</f>
        <v>26–35 lat</v>
      </c>
      <c r="HQ125" t="s">
        <v>246</v>
      </c>
      <c r="HS125" t="s">
        <v>1991</v>
      </c>
    </row>
    <row r="126" spans="1:228" x14ac:dyDescent="0.45">
      <c r="A126">
        <v>53</v>
      </c>
      <c r="B126">
        <f>_xlfn.IFNA(VLOOKUP(AnalizaCzyste[[#This Row],[Zakończono wypełnianie]],Zakończone[],2,0),"BRAK")</f>
        <v>32</v>
      </c>
      <c r="C126">
        <f t="shared" si="3"/>
        <v>45</v>
      </c>
      <c r="D126" t="s">
        <v>610</v>
      </c>
      <c r="E126" t="s">
        <v>118</v>
      </c>
      <c r="F126" t="s">
        <v>548</v>
      </c>
      <c r="J126" t="s">
        <v>119</v>
      </c>
      <c r="K126" t="s">
        <v>611</v>
      </c>
      <c r="L126" t="s">
        <v>612</v>
      </c>
      <c r="M126">
        <v>551</v>
      </c>
      <c r="O126">
        <v>0</v>
      </c>
      <c r="P126" t="s">
        <v>122</v>
      </c>
      <c r="Q126" s="1" t="s">
        <v>416</v>
      </c>
      <c r="R126" t="s">
        <v>445</v>
      </c>
      <c r="S126" t="s">
        <v>148</v>
      </c>
      <c r="T126" t="s">
        <v>613</v>
      </c>
      <c r="U126" t="s">
        <v>150</v>
      </c>
      <c r="V126">
        <f>VLOOKUP(AnalizaCzyste[[#This Row],[Moja satysfakcja z usług edukacyjnych ocenianej uczelni jest wysoka.]],SkalaLikerta[],2,0)</f>
        <v>6</v>
      </c>
      <c r="W126" t="s">
        <v>150</v>
      </c>
      <c r="X126" t="s">
        <v>151</v>
      </c>
      <c r="Y126" t="s">
        <v>530</v>
      </c>
      <c r="Z126" t="s">
        <v>131</v>
      </c>
      <c r="AA126" t="s">
        <v>302</v>
      </c>
      <c r="AB126" t="s">
        <v>614</v>
      </c>
      <c r="AC126" t="s">
        <v>615</v>
      </c>
      <c r="AD126" t="s">
        <v>616</v>
      </c>
      <c r="AE126" t="s">
        <v>172</v>
      </c>
      <c r="AG126">
        <v>6</v>
      </c>
      <c r="AH126" s="1" t="s">
        <v>123</v>
      </c>
      <c r="AJ126" t="e">
        <f>VLOOKUP(AnalizaCzyste[[#This Row],[Jak się nazywa uczelnia którą ukończyłeś? (proszę o wybranie jednej uczelni podlegającej ocenie)]],KategorieUczelni[],2,0)</f>
        <v>#N/A</v>
      </c>
      <c r="AK126" t="e">
        <f>VLOOKUP(AnalizaCzyste[[#This Row],[Jak się nazywa uczelnia którą ukończyłeś? (proszę o wybranie jednej uczelni podlegającej ocenie)]],KategorieUczelni[],3,0)</f>
        <v>#N/A</v>
      </c>
      <c r="AL126">
        <f>COUNTIF(AnalizaCzyste[[#This Row],[Czy jesteś absolwentem uczelni wyższej?]],"*"&amp;"Tak"&amp;"*")</f>
        <v>0</v>
      </c>
      <c r="AQ126" t="e">
        <f>VLOOKUP(AnalizaCzyste[[#This Row],[Moja satysfakcja z (efektów) usług edukacyjnych ocenianej uczelni jest wysoka.]],SkalaLikerta[],2,0)</f>
        <v>#N/A</v>
      </c>
      <c r="AX126" t="e">
        <f>VLOOKUP(AnalizaCzyste[[#This Row],[w pierwszym roku po ukończeniu studiów : wybierz wartość z listy rozwijanej4]],Zarobki[],2,0)</f>
        <v>#N/A</v>
      </c>
      <c r="AZ126" t="e">
        <f>VLOOKUP(AnalizaCzyste[[#This Row],[w 3 lata po ukończeniu studiów : wybierz wartość z listy rozwijanej5]],Zarobki[],2,0)</f>
        <v>#N/A</v>
      </c>
      <c r="BF126" s="1" t="s">
        <v>123</v>
      </c>
      <c r="BM126" t="e">
        <f>VLOOKUP(AnalizaCzyste[[#This Row],[Moja satysfakcja z (efektów) usług edukacyjnych ocenianej uczelni jest wysoka.8]],SkalaLikerta[],2,0)</f>
        <v>#N/A</v>
      </c>
      <c r="DA126" s="1" t="s">
        <v>123</v>
      </c>
      <c r="DE126" t="e">
        <f>VLOOKUP(AnalizaCzyste[[#This Row],[Moja satysfakcja z pracy na ocenianej uczelni jest wysoka.]],SkalaLikerta[],2,0)</f>
        <v>#N/A</v>
      </c>
      <c r="DL126" s="1" t="s">
        <v>123</v>
      </c>
      <c r="DP126" t="e">
        <f>VLOOKUP(AnalizaCzyste[[#This Row],[Moja satysfakcja z pracy na ocenianej uczelni jest wysoka.42]],SkalaLikerta[],2,0)</f>
        <v>#N/A</v>
      </c>
      <c r="DW126" s="1" t="s">
        <v>123</v>
      </c>
      <c r="EJ126" t="e">
        <f>VLOOKUP(AnalizaCzyste[[#This Row],[Ogólny poziom mojej satysfakcji z jakości usług edukacyjnych ocenianej uczelni jest wysoki.]],SkalaLikerta[],2,0)</f>
        <v>#N/A</v>
      </c>
      <c r="FA126" s="1" t="s">
        <v>123</v>
      </c>
      <c r="FF126" t="e">
        <f>VLOOKUP(AnalizaCzyste[[#This Row],[Moja satysfakcja z (efektów) usług edukacyjnych na ocenianej uczelni jest wysoka.]],SkalaLikerta[],2,0)</f>
        <v>#N/A</v>
      </c>
      <c r="GB126" s="1" t="s">
        <v>123</v>
      </c>
      <c r="GC126" t="s">
        <v>132</v>
      </c>
      <c r="GN126" t="e">
        <f>VLOOKUP(AnalizaCzyste[[#This Row],[Ogólny poziom mojej satysfakcji z jakości usług edukacyjnych ocenianej uczelni jest wysoki.32]],SkalaLikerta[],2,0)</f>
        <v>#N/A</v>
      </c>
      <c r="HK126" t="s">
        <v>617</v>
      </c>
      <c r="HL126" t="s">
        <v>618</v>
      </c>
      <c r="HM126" t="s">
        <v>619</v>
      </c>
      <c r="HN126" t="s">
        <v>140</v>
      </c>
      <c r="HO126">
        <v>1998</v>
      </c>
      <c r="HP126" t="str">
        <f>VLOOKUP(AnalizaCzyste[[#This Row],[Rok urodzenia]],KategorieWiekowe[],2,1)</f>
        <v>poniżej 26 lat</v>
      </c>
      <c r="HQ126" t="s">
        <v>398</v>
      </c>
      <c r="HS126" t="s">
        <v>620</v>
      </c>
    </row>
    <row r="127" spans="1:228" x14ac:dyDescent="0.45">
      <c r="A127">
        <v>32</v>
      </c>
      <c r="B127">
        <f>_xlfn.IFNA(VLOOKUP(AnalizaCzyste[[#This Row],[Zakończono wypełnianie]],Zakończone[],2,0),"BRAK")</f>
        <v>22</v>
      </c>
      <c r="C127">
        <f t="shared" si="3"/>
        <v>50</v>
      </c>
      <c r="D127" t="s">
        <v>458</v>
      </c>
      <c r="E127" t="s">
        <v>118</v>
      </c>
      <c r="F127" t="s">
        <v>359</v>
      </c>
      <c r="J127" t="s">
        <v>119</v>
      </c>
      <c r="K127" t="s">
        <v>459</v>
      </c>
      <c r="L127" t="s">
        <v>460</v>
      </c>
      <c r="M127">
        <v>490</v>
      </c>
      <c r="O127">
        <v>0</v>
      </c>
      <c r="P127" t="s">
        <v>122</v>
      </c>
      <c r="Q127" s="1" t="s">
        <v>416</v>
      </c>
      <c r="R127" t="s">
        <v>445</v>
      </c>
      <c r="S127" t="s">
        <v>148</v>
      </c>
      <c r="T127" t="s">
        <v>461</v>
      </c>
      <c r="U127" t="s">
        <v>169</v>
      </c>
      <c r="V127">
        <f>VLOOKUP(AnalizaCzyste[[#This Row],[Moja satysfakcja z usług edukacyjnych ocenianej uczelni jest wysoka.]],SkalaLikerta[],2,0)</f>
        <v>7</v>
      </c>
      <c r="W127" t="s">
        <v>169</v>
      </c>
      <c r="X127" t="s">
        <v>169</v>
      </c>
      <c r="Y127" t="s">
        <v>462</v>
      </c>
      <c r="Z127" t="s">
        <v>302</v>
      </c>
      <c r="AA127" t="s">
        <v>302</v>
      </c>
      <c r="AB127" t="s">
        <v>463</v>
      </c>
      <c r="AC127" t="s">
        <v>464</v>
      </c>
      <c r="AD127" t="s">
        <v>465</v>
      </c>
      <c r="AE127" t="s">
        <v>157</v>
      </c>
      <c r="AF127" t="s">
        <v>466</v>
      </c>
      <c r="AG127">
        <v>10</v>
      </c>
      <c r="AH127" s="1" t="s">
        <v>123</v>
      </c>
      <c r="AJ127" t="e">
        <f>VLOOKUP(AnalizaCzyste[[#This Row],[Jak się nazywa uczelnia którą ukończyłeś? (proszę o wybranie jednej uczelni podlegającej ocenie)]],KategorieUczelni[],2,0)</f>
        <v>#N/A</v>
      </c>
      <c r="AK127" t="e">
        <f>VLOOKUP(AnalizaCzyste[[#This Row],[Jak się nazywa uczelnia którą ukończyłeś? (proszę o wybranie jednej uczelni podlegającej ocenie)]],KategorieUczelni[],3,0)</f>
        <v>#N/A</v>
      </c>
      <c r="AL127">
        <f>COUNTIF(AnalizaCzyste[[#This Row],[Czy jesteś absolwentem uczelni wyższej?]],"*"&amp;"Tak"&amp;"*")</f>
        <v>0</v>
      </c>
      <c r="AQ127" t="e">
        <f>VLOOKUP(AnalizaCzyste[[#This Row],[Moja satysfakcja z (efektów) usług edukacyjnych ocenianej uczelni jest wysoka.]],SkalaLikerta[],2,0)</f>
        <v>#N/A</v>
      </c>
      <c r="AX127" t="e">
        <f>VLOOKUP(AnalizaCzyste[[#This Row],[w pierwszym roku po ukończeniu studiów : wybierz wartość z listy rozwijanej4]],Zarobki[],2,0)</f>
        <v>#N/A</v>
      </c>
      <c r="AZ127" t="e">
        <f>VLOOKUP(AnalizaCzyste[[#This Row],[w 3 lata po ukończeniu studiów : wybierz wartość z listy rozwijanej5]],Zarobki[],2,0)</f>
        <v>#N/A</v>
      </c>
      <c r="BF127" s="1" t="s">
        <v>123</v>
      </c>
      <c r="BM127" t="e">
        <f>VLOOKUP(AnalizaCzyste[[#This Row],[Moja satysfakcja z (efektów) usług edukacyjnych ocenianej uczelni jest wysoka.8]],SkalaLikerta[],2,0)</f>
        <v>#N/A</v>
      </c>
      <c r="DA127" s="1" t="s">
        <v>123</v>
      </c>
      <c r="DE127" t="e">
        <f>VLOOKUP(AnalizaCzyste[[#This Row],[Moja satysfakcja z pracy na ocenianej uczelni jest wysoka.]],SkalaLikerta[],2,0)</f>
        <v>#N/A</v>
      </c>
      <c r="DL127" s="1" t="s">
        <v>123</v>
      </c>
      <c r="DP127" t="e">
        <f>VLOOKUP(AnalizaCzyste[[#This Row],[Moja satysfakcja z pracy na ocenianej uczelni jest wysoka.42]],SkalaLikerta[],2,0)</f>
        <v>#N/A</v>
      </c>
      <c r="DW127" s="1" t="s">
        <v>123</v>
      </c>
      <c r="EJ127" t="e">
        <f>VLOOKUP(AnalizaCzyste[[#This Row],[Ogólny poziom mojej satysfakcji z jakości usług edukacyjnych ocenianej uczelni jest wysoki.]],SkalaLikerta[],2,0)</f>
        <v>#N/A</v>
      </c>
      <c r="FA127" s="1" t="s">
        <v>123</v>
      </c>
      <c r="FB127" t="s">
        <v>180</v>
      </c>
      <c r="FC127" t="s">
        <v>132</v>
      </c>
      <c r="FF127" t="e">
        <f>VLOOKUP(AnalizaCzyste[[#This Row],[Moja satysfakcja z (efektów) usług edukacyjnych na ocenianej uczelni jest wysoka.]],SkalaLikerta[],2,0)</f>
        <v>#N/A</v>
      </c>
      <c r="GB127" s="1" t="s">
        <v>123</v>
      </c>
      <c r="GC127" t="s">
        <v>132</v>
      </c>
      <c r="GE127" t="s">
        <v>132</v>
      </c>
      <c r="GN127" t="e">
        <f>VLOOKUP(AnalizaCzyste[[#This Row],[Ogólny poziom mojej satysfakcji z jakości usług edukacyjnych ocenianej uczelni jest wysoki.32]],SkalaLikerta[],2,0)</f>
        <v>#N/A</v>
      </c>
      <c r="HK127" t="s">
        <v>468</v>
      </c>
      <c r="HL127" t="s">
        <v>469</v>
      </c>
      <c r="HM127" t="s">
        <v>142</v>
      </c>
      <c r="HN127" t="s">
        <v>140</v>
      </c>
      <c r="HO127">
        <v>1996</v>
      </c>
      <c r="HP127" t="str">
        <f>VLOOKUP(AnalizaCzyste[[#This Row],[Rok urodzenia]],KategorieWiekowe[],2,1)</f>
        <v>poniżej 26 lat</v>
      </c>
      <c r="HQ127" t="s">
        <v>141</v>
      </c>
      <c r="HS127" t="s">
        <v>470</v>
      </c>
      <c r="HT127" t="s">
        <v>471</v>
      </c>
    </row>
    <row r="128" spans="1:228" x14ac:dyDescent="0.45">
      <c r="A128">
        <v>41</v>
      </c>
      <c r="B128">
        <f>_xlfn.IFNA(VLOOKUP(AnalizaCzyste[[#This Row],[Zakończono wypełnianie]],Zakończone[],2,0),"BRAK")</f>
        <v>27</v>
      </c>
      <c r="C128">
        <f t="shared" si="3"/>
        <v>45</v>
      </c>
      <c r="D128" t="s">
        <v>527</v>
      </c>
      <c r="E128" t="s">
        <v>118</v>
      </c>
      <c r="J128" t="s">
        <v>119</v>
      </c>
      <c r="K128" t="s">
        <v>528</v>
      </c>
      <c r="L128" t="s">
        <v>529</v>
      </c>
      <c r="M128">
        <v>283</v>
      </c>
      <c r="O128">
        <v>0</v>
      </c>
      <c r="P128" t="s">
        <v>122</v>
      </c>
      <c r="Q128" s="1" t="s">
        <v>416</v>
      </c>
      <c r="R128" t="s">
        <v>445</v>
      </c>
      <c r="S128" t="s">
        <v>148</v>
      </c>
      <c r="T128" t="s">
        <v>461</v>
      </c>
      <c r="U128" t="s">
        <v>169</v>
      </c>
      <c r="V128">
        <f>VLOOKUP(AnalizaCzyste[[#This Row],[Moja satysfakcja z usług edukacyjnych ocenianej uczelni jest wysoka.]],SkalaLikerta[],2,0)</f>
        <v>7</v>
      </c>
      <c r="W128" t="s">
        <v>162</v>
      </c>
      <c r="X128" t="s">
        <v>162</v>
      </c>
      <c r="Y128" t="s">
        <v>530</v>
      </c>
      <c r="Z128" t="s">
        <v>131</v>
      </c>
      <c r="AA128" t="s">
        <v>153</v>
      </c>
      <c r="AC128" t="s">
        <v>531</v>
      </c>
      <c r="AD128" t="s">
        <v>532</v>
      </c>
      <c r="AE128" t="s">
        <v>172</v>
      </c>
      <c r="AG128">
        <v>6</v>
      </c>
      <c r="AH128" s="1" t="s">
        <v>123</v>
      </c>
      <c r="AJ128" t="e">
        <f>VLOOKUP(AnalizaCzyste[[#This Row],[Jak się nazywa uczelnia którą ukończyłeś? (proszę o wybranie jednej uczelni podlegającej ocenie)]],KategorieUczelni[],2,0)</f>
        <v>#N/A</v>
      </c>
      <c r="AK128" t="e">
        <f>VLOOKUP(AnalizaCzyste[[#This Row],[Jak się nazywa uczelnia którą ukończyłeś? (proszę o wybranie jednej uczelni podlegającej ocenie)]],KategorieUczelni[],3,0)</f>
        <v>#N/A</v>
      </c>
      <c r="AL128">
        <f>COUNTIF(AnalizaCzyste[[#This Row],[Czy jesteś absolwentem uczelni wyższej?]],"*"&amp;"Tak"&amp;"*")</f>
        <v>0</v>
      </c>
      <c r="AQ128" t="e">
        <f>VLOOKUP(AnalizaCzyste[[#This Row],[Moja satysfakcja z (efektów) usług edukacyjnych ocenianej uczelni jest wysoka.]],SkalaLikerta[],2,0)</f>
        <v>#N/A</v>
      </c>
      <c r="AX128" t="e">
        <f>VLOOKUP(AnalizaCzyste[[#This Row],[w pierwszym roku po ukończeniu studiów : wybierz wartość z listy rozwijanej4]],Zarobki[],2,0)</f>
        <v>#N/A</v>
      </c>
      <c r="AZ128" t="e">
        <f>VLOOKUP(AnalizaCzyste[[#This Row],[w 3 lata po ukończeniu studiów : wybierz wartość z listy rozwijanej5]],Zarobki[],2,0)</f>
        <v>#N/A</v>
      </c>
      <c r="BF128" s="1" t="s">
        <v>123</v>
      </c>
      <c r="BM128" t="e">
        <f>VLOOKUP(AnalizaCzyste[[#This Row],[Moja satysfakcja z (efektów) usług edukacyjnych ocenianej uczelni jest wysoka.8]],SkalaLikerta[],2,0)</f>
        <v>#N/A</v>
      </c>
      <c r="DA128" s="1" t="s">
        <v>123</v>
      </c>
      <c r="DE128" t="e">
        <f>VLOOKUP(AnalizaCzyste[[#This Row],[Moja satysfakcja z pracy na ocenianej uczelni jest wysoka.]],SkalaLikerta[],2,0)</f>
        <v>#N/A</v>
      </c>
      <c r="DL128" s="1" t="s">
        <v>123</v>
      </c>
      <c r="DP128" t="e">
        <f>VLOOKUP(AnalizaCzyste[[#This Row],[Moja satysfakcja z pracy na ocenianej uczelni jest wysoka.42]],SkalaLikerta[],2,0)</f>
        <v>#N/A</v>
      </c>
      <c r="DW128" s="1" t="s">
        <v>123</v>
      </c>
      <c r="EJ128" t="e">
        <f>VLOOKUP(AnalizaCzyste[[#This Row],[Ogólny poziom mojej satysfakcji z jakości usług edukacyjnych ocenianej uczelni jest wysoki.]],SkalaLikerta[],2,0)</f>
        <v>#N/A</v>
      </c>
      <c r="FA128" s="1" t="s">
        <v>123</v>
      </c>
      <c r="FF128" t="e">
        <f>VLOOKUP(AnalizaCzyste[[#This Row],[Moja satysfakcja z (efektów) usług edukacyjnych na ocenianej uczelni jest wysoka.]],SkalaLikerta[],2,0)</f>
        <v>#N/A</v>
      </c>
      <c r="GB128" s="1" t="s">
        <v>123</v>
      </c>
      <c r="GC128" t="s">
        <v>132</v>
      </c>
      <c r="GN128" t="e">
        <f>VLOOKUP(AnalizaCzyste[[#This Row],[Ogólny poziom mojej satysfakcji z jakości usług edukacyjnych ocenianej uczelni jest wysoki.32]],SkalaLikerta[],2,0)</f>
        <v>#N/A</v>
      </c>
      <c r="HK128" t="s">
        <v>534</v>
      </c>
      <c r="HL128" t="s">
        <v>535</v>
      </c>
      <c r="HM128" t="s">
        <v>532</v>
      </c>
      <c r="HN128" t="s">
        <v>140</v>
      </c>
      <c r="HO128">
        <v>1996</v>
      </c>
      <c r="HP128" t="str">
        <f>VLOOKUP(AnalizaCzyste[[#This Row],[Rok urodzenia]],KategorieWiekowe[],2,1)</f>
        <v>poniżej 26 lat</v>
      </c>
      <c r="HQ128" t="s">
        <v>483</v>
      </c>
      <c r="HS128" t="s">
        <v>536</v>
      </c>
      <c r="HT128" t="s">
        <v>537</v>
      </c>
    </row>
    <row r="129" spans="1:229" x14ac:dyDescent="0.45">
      <c r="A129">
        <v>33</v>
      </c>
      <c r="B129">
        <f>_xlfn.IFNA(VLOOKUP(AnalizaCzyste[[#This Row],[Zakończono wypełnianie]],Zakończone[],2,0),"BRAK")</f>
        <v>23</v>
      </c>
      <c r="C129">
        <f t="shared" si="3"/>
        <v>43</v>
      </c>
      <c r="D129" t="s">
        <v>472</v>
      </c>
      <c r="E129" t="s">
        <v>118</v>
      </c>
      <c r="F129" t="s">
        <v>375</v>
      </c>
      <c r="J129" t="s">
        <v>119</v>
      </c>
      <c r="K129" t="s">
        <v>473</v>
      </c>
      <c r="L129" t="s">
        <v>474</v>
      </c>
      <c r="M129">
        <v>2507</v>
      </c>
      <c r="O129">
        <v>0</v>
      </c>
      <c r="P129" t="s">
        <v>122</v>
      </c>
      <c r="Q129" s="1" t="s">
        <v>416</v>
      </c>
      <c r="R129" t="s">
        <v>445</v>
      </c>
      <c r="S129" t="s">
        <v>148</v>
      </c>
      <c r="T129" t="s">
        <v>475</v>
      </c>
      <c r="U129" t="s">
        <v>169</v>
      </c>
      <c r="V129">
        <f>VLOOKUP(AnalizaCzyste[[#This Row],[Moja satysfakcja z usług edukacyjnych ocenianej uczelni jest wysoka.]],SkalaLikerta[],2,0)</f>
        <v>7</v>
      </c>
      <c r="W129" t="s">
        <v>169</v>
      </c>
      <c r="X129" t="s">
        <v>151</v>
      </c>
      <c r="Y129" t="s">
        <v>476</v>
      </c>
      <c r="Z129" t="s">
        <v>302</v>
      </c>
      <c r="AA129" t="s">
        <v>302</v>
      </c>
      <c r="AC129" t="s">
        <v>477</v>
      </c>
      <c r="AD129" t="s">
        <v>478</v>
      </c>
      <c r="AE129" t="s">
        <v>157</v>
      </c>
      <c r="AG129">
        <v>10</v>
      </c>
      <c r="AH129" s="1" t="s">
        <v>123</v>
      </c>
      <c r="AJ129" t="e">
        <f>VLOOKUP(AnalizaCzyste[[#This Row],[Jak się nazywa uczelnia którą ukończyłeś? (proszę o wybranie jednej uczelni podlegającej ocenie)]],KategorieUczelni[],2,0)</f>
        <v>#N/A</v>
      </c>
      <c r="AK129" t="e">
        <f>VLOOKUP(AnalizaCzyste[[#This Row],[Jak się nazywa uczelnia którą ukończyłeś? (proszę o wybranie jednej uczelni podlegającej ocenie)]],KategorieUczelni[],3,0)</f>
        <v>#N/A</v>
      </c>
      <c r="AL129">
        <f>COUNTIF(AnalizaCzyste[[#This Row],[Czy jesteś absolwentem uczelni wyższej?]],"*"&amp;"Tak"&amp;"*")</f>
        <v>0</v>
      </c>
      <c r="AQ129" t="e">
        <f>VLOOKUP(AnalizaCzyste[[#This Row],[Moja satysfakcja z (efektów) usług edukacyjnych ocenianej uczelni jest wysoka.]],SkalaLikerta[],2,0)</f>
        <v>#N/A</v>
      </c>
      <c r="AX129" t="e">
        <f>VLOOKUP(AnalizaCzyste[[#This Row],[w pierwszym roku po ukończeniu studiów : wybierz wartość z listy rozwijanej4]],Zarobki[],2,0)</f>
        <v>#N/A</v>
      </c>
      <c r="AZ129" t="e">
        <f>VLOOKUP(AnalizaCzyste[[#This Row],[w 3 lata po ukończeniu studiów : wybierz wartość z listy rozwijanej5]],Zarobki[],2,0)</f>
        <v>#N/A</v>
      </c>
      <c r="BF129" s="1" t="s">
        <v>123</v>
      </c>
      <c r="BM129" t="e">
        <f>VLOOKUP(AnalizaCzyste[[#This Row],[Moja satysfakcja z (efektów) usług edukacyjnych ocenianej uczelni jest wysoka.8]],SkalaLikerta[],2,0)</f>
        <v>#N/A</v>
      </c>
      <c r="DA129" s="1" t="s">
        <v>123</v>
      </c>
      <c r="DE129" t="e">
        <f>VLOOKUP(AnalizaCzyste[[#This Row],[Moja satysfakcja z pracy na ocenianej uczelni jest wysoka.]],SkalaLikerta[],2,0)</f>
        <v>#N/A</v>
      </c>
      <c r="DL129" s="1" t="s">
        <v>123</v>
      </c>
      <c r="DP129" t="e">
        <f>VLOOKUP(AnalizaCzyste[[#This Row],[Moja satysfakcja z pracy na ocenianej uczelni jest wysoka.42]],SkalaLikerta[],2,0)</f>
        <v>#N/A</v>
      </c>
      <c r="DW129" s="1" t="s">
        <v>123</v>
      </c>
      <c r="EJ129" t="e">
        <f>VLOOKUP(AnalizaCzyste[[#This Row],[Ogólny poziom mojej satysfakcji z jakości usług edukacyjnych ocenianej uczelni jest wysoki.]],SkalaLikerta[],2,0)</f>
        <v>#N/A</v>
      </c>
      <c r="FA129" s="1" t="s">
        <v>123</v>
      </c>
      <c r="FF129" t="e">
        <f>VLOOKUP(AnalizaCzyste[[#This Row],[Moja satysfakcja z (efektów) usług edukacyjnych na ocenianej uczelni jest wysoka.]],SkalaLikerta[],2,0)</f>
        <v>#N/A</v>
      </c>
      <c r="GB129" s="1" t="s">
        <v>123</v>
      </c>
      <c r="GC129" t="s">
        <v>132</v>
      </c>
      <c r="GN129" t="e">
        <f>VLOOKUP(AnalizaCzyste[[#This Row],[Ogólny poziom mojej satysfakcji z jakości usług edukacyjnych ocenianej uczelni jest wysoki.32]],SkalaLikerta[],2,0)</f>
        <v>#N/A</v>
      </c>
      <c r="HK129" t="s">
        <v>480</v>
      </c>
      <c r="HL129" t="s">
        <v>481</v>
      </c>
      <c r="HM129" t="s">
        <v>482</v>
      </c>
      <c r="HN129" t="s">
        <v>140</v>
      </c>
      <c r="HO129">
        <v>1996</v>
      </c>
      <c r="HP129" t="str">
        <f>VLOOKUP(AnalizaCzyste[[#This Row],[Rok urodzenia]],KategorieWiekowe[],2,1)</f>
        <v>poniżej 26 lat</v>
      </c>
      <c r="HQ129" t="s">
        <v>483</v>
      </c>
    </row>
    <row r="130" spans="1:229" x14ac:dyDescent="0.45">
      <c r="A130">
        <v>94</v>
      </c>
      <c r="B130">
        <f>_xlfn.IFNA(VLOOKUP(AnalizaCzyste[[#This Row],[Zakończono wypełnianie]],Zakończone[],2,0),"BRAK")</f>
        <v>57</v>
      </c>
      <c r="C130">
        <f t="shared" si="3"/>
        <v>46</v>
      </c>
      <c r="D130" t="s">
        <v>955</v>
      </c>
      <c r="E130" t="s">
        <v>118</v>
      </c>
      <c r="F130" t="s">
        <v>774</v>
      </c>
      <c r="J130" t="s">
        <v>119</v>
      </c>
      <c r="K130" t="s">
        <v>956</v>
      </c>
      <c r="L130" t="s">
        <v>957</v>
      </c>
      <c r="M130">
        <v>1186</v>
      </c>
      <c r="O130">
        <v>0</v>
      </c>
      <c r="P130" t="s">
        <v>122</v>
      </c>
      <c r="Q130" s="1" t="s">
        <v>416</v>
      </c>
      <c r="R130" t="s">
        <v>223</v>
      </c>
      <c r="S130" t="s">
        <v>148</v>
      </c>
      <c r="T130" t="s">
        <v>958</v>
      </c>
      <c r="U130" t="s">
        <v>151</v>
      </c>
      <c r="V130">
        <f>VLOOKUP(AnalizaCzyste[[#This Row],[Moja satysfakcja z usług edukacyjnych ocenianej uczelni jest wysoka.]],SkalaLikerta[],2,0)</f>
        <v>4</v>
      </c>
      <c r="W130" t="s">
        <v>128</v>
      </c>
      <c r="X130" t="s">
        <v>236</v>
      </c>
      <c r="Y130" t="s">
        <v>959</v>
      </c>
      <c r="Z130" t="s">
        <v>302</v>
      </c>
      <c r="AA130" t="s">
        <v>153</v>
      </c>
      <c r="AB130" t="s">
        <v>960</v>
      </c>
      <c r="AC130" t="s">
        <v>961</v>
      </c>
      <c r="AD130" t="s">
        <v>962</v>
      </c>
      <c r="AE130" t="s">
        <v>157</v>
      </c>
      <c r="AG130">
        <v>4</v>
      </c>
      <c r="AH130" s="1" t="s">
        <v>123</v>
      </c>
      <c r="AJ130" t="e">
        <f>VLOOKUP(AnalizaCzyste[[#This Row],[Jak się nazywa uczelnia którą ukończyłeś? (proszę o wybranie jednej uczelni podlegającej ocenie)]],KategorieUczelni[],2,0)</f>
        <v>#N/A</v>
      </c>
      <c r="AK130" t="e">
        <f>VLOOKUP(AnalizaCzyste[[#This Row],[Jak się nazywa uczelnia którą ukończyłeś? (proszę o wybranie jednej uczelni podlegającej ocenie)]],KategorieUczelni[],3,0)</f>
        <v>#N/A</v>
      </c>
      <c r="AL130">
        <f>COUNTIF(AnalizaCzyste[[#This Row],[Czy jesteś absolwentem uczelni wyższej?]],"*"&amp;"Tak"&amp;"*")</f>
        <v>0</v>
      </c>
      <c r="AQ130" t="e">
        <f>VLOOKUP(AnalizaCzyste[[#This Row],[Moja satysfakcja z (efektów) usług edukacyjnych ocenianej uczelni jest wysoka.]],SkalaLikerta[],2,0)</f>
        <v>#N/A</v>
      </c>
      <c r="AX130" t="e">
        <f>VLOOKUP(AnalizaCzyste[[#This Row],[w pierwszym roku po ukończeniu studiów : wybierz wartość z listy rozwijanej4]],Zarobki[],2,0)</f>
        <v>#N/A</v>
      </c>
      <c r="AZ130" t="e">
        <f>VLOOKUP(AnalizaCzyste[[#This Row],[w 3 lata po ukończeniu studiów : wybierz wartość z listy rozwijanej5]],Zarobki[],2,0)</f>
        <v>#N/A</v>
      </c>
      <c r="BF130" s="1" t="s">
        <v>123</v>
      </c>
      <c r="BM130" t="e">
        <f>VLOOKUP(AnalizaCzyste[[#This Row],[Moja satysfakcja z (efektów) usług edukacyjnych ocenianej uczelni jest wysoka.8]],SkalaLikerta[],2,0)</f>
        <v>#N/A</v>
      </c>
      <c r="DA130" s="1" t="s">
        <v>123</v>
      </c>
      <c r="DE130" t="e">
        <f>VLOOKUP(AnalizaCzyste[[#This Row],[Moja satysfakcja z pracy na ocenianej uczelni jest wysoka.]],SkalaLikerta[],2,0)</f>
        <v>#N/A</v>
      </c>
      <c r="DL130" s="1" t="s">
        <v>123</v>
      </c>
      <c r="DP130" t="e">
        <f>VLOOKUP(AnalizaCzyste[[#This Row],[Moja satysfakcja z pracy na ocenianej uczelni jest wysoka.42]],SkalaLikerta[],2,0)</f>
        <v>#N/A</v>
      </c>
      <c r="DW130" s="1" t="s">
        <v>123</v>
      </c>
      <c r="EJ130" t="e">
        <f>VLOOKUP(AnalizaCzyste[[#This Row],[Ogólny poziom mojej satysfakcji z jakości usług edukacyjnych ocenianej uczelni jest wysoki.]],SkalaLikerta[],2,0)</f>
        <v>#N/A</v>
      </c>
      <c r="FA130" s="1" t="s">
        <v>123</v>
      </c>
      <c r="FB130" t="s">
        <v>180</v>
      </c>
      <c r="FC130" t="s">
        <v>132</v>
      </c>
      <c r="FF130" t="e">
        <f>VLOOKUP(AnalizaCzyste[[#This Row],[Moja satysfakcja z (efektów) usług edukacyjnych na ocenianej uczelni jest wysoka.]],SkalaLikerta[],2,0)</f>
        <v>#N/A</v>
      </c>
      <c r="GB130" s="1" t="s">
        <v>123</v>
      </c>
      <c r="GC130" t="s">
        <v>132</v>
      </c>
      <c r="GN130" t="e">
        <f>VLOOKUP(AnalizaCzyste[[#This Row],[Ogólny poziom mojej satysfakcji z jakości usług edukacyjnych ocenianej uczelni jest wysoki.32]],SkalaLikerta[],2,0)</f>
        <v>#N/A</v>
      </c>
      <c r="HK130" t="s">
        <v>826</v>
      </c>
      <c r="HL130" t="s">
        <v>824</v>
      </c>
      <c r="HM130" t="s">
        <v>820</v>
      </c>
      <c r="HN130" t="s">
        <v>140</v>
      </c>
      <c r="HO130">
        <v>1993</v>
      </c>
      <c r="HP130" t="str">
        <f>VLOOKUP(AnalizaCzyste[[#This Row],[Rok urodzenia]],KategorieWiekowe[],2,1)</f>
        <v>26–35 lat</v>
      </c>
      <c r="HQ130" t="s">
        <v>483</v>
      </c>
    </row>
    <row r="131" spans="1:229" x14ac:dyDescent="0.45">
      <c r="A131">
        <v>181</v>
      </c>
      <c r="B131">
        <f>_xlfn.IFNA(VLOOKUP(AnalizaCzyste[[#This Row],[Zakończono wypełnianie]],Zakończone[],2,0),"BRAK")</f>
        <v>102</v>
      </c>
      <c r="C131">
        <f t="shared" si="3"/>
        <v>47</v>
      </c>
      <c r="D131" t="s">
        <v>1336</v>
      </c>
      <c r="E131" t="s">
        <v>118</v>
      </c>
      <c r="J131" t="s">
        <v>119</v>
      </c>
      <c r="K131" t="s">
        <v>1528</v>
      </c>
      <c r="L131" t="s">
        <v>1529</v>
      </c>
      <c r="M131">
        <v>426</v>
      </c>
      <c r="O131">
        <v>0</v>
      </c>
      <c r="P131" t="s">
        <v>122</v>
      </c>
      <c r="Q131" s="1" t="s">
        <v>416</v>
      </c>
      <c r="R131" t="s">
        <v>1439</v>
      </c>
      <c r="S131" t="s">
        <v>126</v>
      </c>
      <c r="T131" t="s">
        <v>192</v>
      </c>
      <c r="U131" t="s">
        <v>151</v>
      </c>
      <c r="V131">
        <f>VLOOKUP(AnalizaCzyste[[#This Row],[Moja satysfakcja z usług edukacyjnych ocenianej uczelni jest wysoka.]],SkalaLikerta[],2,0)</f>
        <v>4</v>
      </c>
      <c r="W131" t="s">
        <v>162</v>
      </c>
      <c r="X131" t="s">
        <v>128</v>
      </c>
      <c r="Y131" t="s">
        <v>1531</v>
      </c>
      <c r="Z131" t="s">
        <v>194</v>
      </c>
      <c r="AA131" t="s">
        <v>194</v>
      </c>
      <c r="AB131" t="s">
        <v>1532</v>
      </c>
      <c r="AC131" t="s">
        <v>1533</v>
      </c>
      <c r="AD131" t="s">
        <v>1534</v>
      </c>
      <c r="AE131" t="s">
        <v>892</v>
      </c>
      <c r="AG131">
        <v>7</v>
      </c>
      <c r="AH131" s="1" t="s">
        <v>123</v>
      </c>
      <c r="AJ131" t="e">
        <f>VLOOKUP(AnalizaCzyste[[#This Row],[Jak się nazywa uczelnia którą ukończyłeś? (proszę o wybranie jednej uczelni podlegającej ocenie)]],KategorieUczelni[],2,0)</f>
        <v>#N/A</v>
      </c>
      <c r="AK131" t="e">
        <f>VLOOKUP(AnalizaCzyste[[#This Row],[Jak się nazywa uczelnia którą ukończyłeś? (proszę o wybranie jednej uczelni podlegającej ocenie)]],KategorieUczelni[],3,0)</f>
        <v>#N/A</v>
      </c>
      <c r="AL131">
        <f>COUNTIF(AnalizaCzyste[[#This Row],[Czy jesteś absolwentem uczelni wyższej?]],"*"&amp;"Tak"&amp;"*")</f>
        <v>0</v>
      </c>
      <c r="AQ131" t="e">
        <f>VLOOKUP(AnalizaCzyste[[#This Row],[Moja satysfakcja z (efektów) usług edukacyjnych ocenianej uczelni jest wysoka.]],SkalaLikerta[],2,0)</f>
        <v>#N/A</v>
      </c>
      <c r="AX131" t="e">
        <f>VLOOKUP(AnalizaCzyste[[#This Row],[w pierwszym roku po ukończeniu studiów : wybierz wartość z listy rozwijanej4]],Zarobki[],2,0)</f>
        <v>#N/A</v>
      </c>
      <c r="AZ131" t="e">
        <f>VLOOKUP(AnalizaCzyste[[#This Row],[w 3 lata po ukończeniu studiów : wybierz wartość z listy rozwijanej5]],Zarobki[],2,0)</f>
        <v>#N/A</v>
      </c>
      <c r="BF131" s="1" t="s">
        <v>123</v>
      </c>
      <c r="BM131" t="e">
        <f>VLOOKUP(AnalizaCzyste[[#This Row],[Moja satysfakcja z (efektów) usług edukacyjnych ocenianej uczelni jest wysoka.8]],SkalaLikerta[],2,0)</f>
        <v>#N/A</v>
      </c>
      <c r="DA131" s="1" t="s">
        <v>123</v>
      </c>
      <c r="DE131" t="e">
        <f>VLOOKUP(AnalizaCzyste[[#This Row],[Moja satysfakcja z pracy na ocenianej uczelni jest wysoka.]],SkalaLikerta[],2,0)</f>
        <v>#N/A</v>
      </c>
      <c r="DL131" s="1" t="s">
        <v>123</v>
      </c>
      <c r="DP131" t="e">
        <f>VLOOKUP(AnalizaCzyste[[#This Row],[Moja satysfakcja z pracy na ocenianej uczelni jest wysoka.42]],SkalaLikerta[],2,0)</f>
        <v>#N/A</v>
      </c>
      <c r="DW131" s="1" t="s">
        <v>123</v>
      </c>
      <c r="EJ131" t="e">
        <f>VLOOKUP(AnalizaCzyste[[#This Row],[Ogólny poziom mojej satysfakcji z jakości usług edukacyjnych ocenianej uczelni jest wysoki.]],SkalaLikerta[],2,0)</f>
        <v>#N/A</v>
      </c>
      <c r="FA131" s="1" t="s">
        <v>123</v>
      </c>
      <c r="FB131" t="s">
        <v>178</v>
      </c>
      <c r="FC131" t="s">
        <v>132</v>
      </c>
      <c r="FF131" t="e">
        <f>VLOOKUP(AnalizaCzyste[[#This Row],[Moja satysfakcja z (efektów) usług edukacyjnych na ocenianej uczelni jest wysoka.]],SkalaLikerta[],2,0)</f>
        <v>#N/A</v>
      </c>
      <c r="GB131" s="1" t="s">
        <v>123</v>
      </c>
      <c r="GN131" t="e">
        <f>VLOOKUP(AnalizaCzyste[[#This Row],[Ogólny poziom mojej satysfakcji z jakości usług edukacyjnych ocenianej uczelni jest wysoki.32]],SkalaLikerta[],2,0)</f>
        <v>#N/A</v>
      </c>
      <c r="HK131" t="s">
        <v>1535</v>
      </c>
      <c r="HL131" t="s">
        <v>1536</v>
      </c>
      <c r="HM131" t="s">
        <v>1537</v>
      </c>
      <c r="HN131" t="s">
        <v>140</v>
      </c>
      <c r="HO131">
        <v>1991</v>
      </c>
      <c r="HP131" t="str">
        <f>VLOOKUP(AnalizaCzyste[[#This Row],[Rok urodzenia]],KategorieWiekowe[],2,1)</f>
        <v>26–35 lat</v>
      </c>
      <c r="HQ131" t="s">
        <v>141</v>
      </c>
      <c r="HS131" t="s">
        <v>1538</v>
      </c>
      <c r="HT131" t="s">
        <v>1539</v>
      </c>
    </row>
    <row r="132" spans="1:229" x14ac:dyDescent="0.45">
      <c r="A132">
        <v>54</v>
      </c>
      <c r="B132">
        <f>_xlfn.IFNA(VLOOKUP(AnalizaCzyste[[#This Row],[Zakończono wypełnianie]],Zakończone[],2,0),"BRAK")</f>
        <v>33</v>
      </c>
      <c r="C132">
        <f t="shared" si="3"/>
        <v>45</v>
      </c>
      <c r="D132" t="s">
        <v>621</v>
      </c>
      <c r="E132" t="s">
        <v>118</v>
      </c>
      <c r="F132" t="s">
        <v>359</v>
      </c>
      <c r="J132" t="s">
        <v>119</v>
      </c>
      <c r="K132" t="s">
        <v>622</v>
      </c>
      <c r="L132" t="s">
        <v>623</v>
      </c>
      <c r="M132">
        <v>595</v>
      </c>
      <c r="O132">
        <v>0</v>
      </c>
      <c r="P132" t="s">
        <v>122</v>
      </c>
      <c r="Q132" s="1" t="s">
        <v>416</v>
      </c>
      <c r="R132" t="s">
        <v>445</v>
      </c>
      <c r="S132" t="s">
        <v>148</v>
      </c>
      <c r="T132" t="s">
        <v>624</v>
      </c>
      <c r="U132" t="s">
        <v>150</v>
      </c>
      <c r="V132">
        <f>VLOOKUP(AnalizaCzyste[[#This Row],[Moja satysfakcja z usług edukacyjnych ocenianej uczelni jest wysoka.]],SkalaLikerta[],2,0)</f>
        <v>6</v>
      </c>
      <c r="W132" t="s">
        <v>150</v>
      </c>
      <c r="X132" t="s">
        <v>169</v>
      </c>
      <c r="Y132">
        <v>12</v>
      </c>
      <c r="Z132" t="s">
        <v>302</v>
      </c>
      <c r="AA132" t="s">
        <v>226</v>
      </c>
      <c r="AC132" t="s">
        <v>625</v>
      </c>
      <c r="AD132" t="s">
        <v>626</v>
      </c>
      <c r="AE132" t="s">
        <v>172</v>
      </c>
      <c r="AG132">
        <v>4</v>
      </c>
      <c r="AH132" s="1" t="s">
        <v>123</v>
      </c>
      <c r="AJ132" t="e">
        <f>VLOOKUP(AnalizaCzyste[[#This Row],[Jak się nazywa uczelnia którą ukończyłeś? (proszę o wybranie jednej uczelni podlegającej ocenie)]],KategorieUczelni[],2,0)</f>
        <v>#N/A</v>
      </c>
      <c r="AK132" t="e">
        <f>VLOOKUP(AnalizaCzyste[[#This Row],[Jak się nazywa uczelnia którą ukończyłeś? (proszę o wybranie jednej uczelni podlegającej ocenie)]],KategorieUczelni[],3,0)</f>
        <v>#N/A</v>
      </c>
      <c r="AL132">
        <f>COUNTIF(AnalizaCzyste[[#This Row],[Czy jesteś absolwentem uczelni wyższej?]],"*"&amp;"Tak"&amp;"*")</f>
        <v>0</v>
      </c>
      <c r="AQ132" t="e">
        <f>VLOOKUP(AnalizaCzyste[[#This Row],[Moja satysfakcja z (efektów) usług edukacyjnych ocenianej uczelni jest wysoka.]],SkalaLikerta[],2,0)</f>
        <v>#N/A</v>
      </c>
      <c r="AX132" t="e">
        <f>VLOOKUP(AnalizaCzyste[[#This Row],[w pierwszym roku po ukończeniu studiów : wybierz wartość z listy rozwijanej4]],Zarobki[],2,0)</f>
        <v>#N/A</v>
      </c>
      <c r="AZ132" t="e">
        <f>VLOOKUP(AnalizaCzyste[[#This Row],[w 3 lata po ukończeniu studiów : wybierz wartość z listy rozwijanej5]],Zarobki[],2,0)</f>
        <v>#N/A</v>
      </c>
      <c r="BF132" s="1" t="s">
        <v>123</v>
      </c>
      <c r="BM132" t="e">
        <f>VLOOKUP(AnalizaCzyste[[#This Row],[Moja satysfakcja z (efektów) usług edukacyjnych ocenianej uczelni jest wysoka.8]],SkalaLikerta[],2,0)</f>
        <v>#N/A</v>
      </c>
      <c r="DA132" s="1" t="s">
        <v>123</v>
      </c>
      <c r="DE132" t="e">
        <f>VLOOKUP(AnalizaCzyste[[#This Row],[Moja satysfakcja z pracy na ocenianej uczelni jest wysoka.]],SkalaLikerta[],2,0)</f>
        <v>#N/A</v>
      </c>
      <c r="DL132" s="1" t="s">
        <v>123</v>
      </c>
      <c r="DP132" t="e">
        <f>VLOOKUP(AnalizaCzyste[[#This Row],[Moja satysfakcja z pracy na ocenianej uczelni jest wysoka.42]],SkalaLikerta[],2,0)</f>
        <v>#N/A</v>
      </c>
      <c r="DW132" s="1" t="s">
        <v>123</v>
      </c>
      <c r="EJ132" t="e">
        <f>VLOOKUP(AnalizaCzyste[[#This Row],[Ogólny poziom mojej satysfakcji z jakości usług edukacyjnych ocenianej uczelni jest wysoki.]],SkalaLikerta[],2,0)</f>
        <v>#N/A</v>
      </c>
      <c r="FA132" s="1" t="s">
        <v>123</v>
      </c>
      <c r="FF132" t="e">
        <f>VLOOKUP(AnalizaCzyste[[#This Row],[Moja satysfakcja z (efektów) usług edukacyjnych na ocenianej uczelni jest wysoka.]],SkalaLikerta[],2,0)</f>
        <v>#N/A</v>
      </c>
      <c r="GB132" s="1" t="s">
        <v>123</v>
      </c>
      <c r="GC132" t="s">
        <v>132</v>
      </c>
      <c r="GN132" t="e">
        <f>VLOOKUP(AnalizaCzyste[[#This Row],[Ogólny poziom mojej satysfakcji z jakości usług edukacyjnych ocenianej uczelni jest wysoki.32]],SkalaLikerta[],2,0)</f>
        <v>#N/A</v>
      </c>
      <c r="HK132" t="s">
        <v>627</v>
      </c>
      <c r="HL132" t="s">
        <v>628</v>
      </c>
      <c r="HM132" t="s">
        <v>629</v>
      </c>
      <c r="HN132" t="s">
        <v>186</v>
      </c>
      <c r="HO132" t="s">
        <v>630</v>
      </c>
      <c r="HP132" t="e">
        <f>VLOOKUP(AnalizaCzyste[[#This Row],[Rok urodzenia]],KategorieWiekowe[],2,1)</f>
        <v>#N/A</v>
      </c>
      <c r="HQ132" t="s">
        <v>398</v>
      </c>
      <c r="HS132" t="s">
        <v>631</v>
      </c>
      <c r="HT132" t="s">
        <v>632</v>
      </c>
    </row>
    <row r="133" spans="1:229" x14ac:dyDescent="0.45">
      <c r="A133">
        <v>50</v>
      </c>
      <c r="B133">
        <f>_xlfn.IFNA(VLOOKUP(AnalizaCzyste[[#This Row],[Zakończono wypełnianie]],Zakończone[],2,0),"BRAK")</f>
        <v>30</v>
      </c>
      <c r="C133">
        <f t="shared" si="3"/>
        <v>44</v>
      </c>
      <c r="D133" t="s">
        <v>585</v>
      </c>
      <c r="E133" t="s">
        <v>118</v>
      </c>
      <c r="F133" t="s">
        <v>375</v>
      </c>
      <c r="J133" t="s">
        <v>119</v>
      </c>
      <c r="K133" t="s">
        <v>586</v>
      </c>
      <c r="L133" t="s">
        <v>587</v>
      </c>
      <c r="M133">
        <v>387</v>
      </c>
      <c r="O133">
        <v>0</v>
      </c>
      <c r="P133" t="s">
        <v>122</v>
      </c>
      <c r="Q133" s="1" t="s">
        <v>416</v>
      </c>
      <c r="R133" t="s">
        <v>445</v>
      </c>
      <c r="S133" t="s">
        <v>148</v>
      </c>
      <c r="T133" t="s">
        <v>588</v>
      </c>
      <c r="U133" t="s">
        <v>162</v>
      </c>
      <c r="V133">
        <f>VLOOKUP(AnalizaCzyste[[#This Row],[Moja satysfakcja z usług edukacyjnych ocenianej uczelni jest wysoka.]],SkalaLikerta[],2,0)</f>
        <v>5</v>
      </c>
      <c r="W133" t="s">
        <v>150</v>
      </c>
      <c r="X133" t="s">
        <v>162</v>
      </c>
      <c r="Y133" t="s">
        <v>589</v>
      </c>
      <c r="Z133" t="s">
        <v>302</v>
      </c>
      <c r="AA133" t="s">
        <v>153</v>
      </c>
      <c r="AC133" t="s">
        <v>590</v>
      </c>
      <c r="AD133" t="s">
        <v>591</v>
      </c>
      <c r="AE133" t="s">
        <v>172</v>
      </c>
      <c r="AG133">
        <v>6</v>
      </c>
      <c r="AH133" s="1" t="s">
        <v>123</v>
      </c>
      <c r="AJ133" t="e">
        <f>VLOOKUP(AnalizaCzyste[[#This Row],[Jak się nazywa uczelnia którą ukończyłeś? (proszę o wybranie jednej uczelni podlegającej ocenie)]],KategorieUczelni[],2,0)</f>
        <v>#N/A</v>
      </c>
      <c r="AK133" t="e">
        <f>VLOOKUP(AnalizaCzyste[[#This Row],[Jak się nazywa uczelnia którą ukończyłeś? (proszę o wybranie jednej uczelni podlegającej ocenie)]],KategorieUczelni[],3,0)</f>
        <v>#N/A</v>
      </c>
      <c r="AL133">
        <f>COUNTIF(AnalizaCzyste[[#This Row],[Czy jesteś absolwentem uczelni wyższej?]],"*"&amp;"Tak"&amp;"*")</f>
        <v>0</v>
      </c>
      <c r="AQ133" t="e">
        <f>VLOOKUP(AnalizaCzyste[[#This Row],[Moja satysfakcja z (efektów) usług edukacyjnych ocenianej uczelni jest wysoka.]],SkalaLikerta[],2,0)</f>
        <v>#N/A</v>
      </c>
      <c r="AX133" t="e">
        <f>VLOOKUP(AnalizaCzyste[[#This Row],[w pierwszym roku po ukończeniu studiów : wybierz wartość z listy rozwijanej4]],Zarobki[],2,0)</f>
        <v>#N/A</v>
      </c>
      <c r="AZ133" t="e">
        <f>VLOOKUP(AnalizaCzyste[[#This Row],[w 3 lata po ukończeniu studiów : wybierz wartość z listy rozwijanej5]],Zarobki[],2,0)</f>
        <v>#N/A</v>
      </c>
      <c r="BF133" s="1" t="s">
        <v>123</v>
      </c>
      <c r="BM133" t="e">
        <f>VLOOKUP(AnalizaCzyste[[#This Row],[Moja satysfakcja z (efektów) usług edukacyjnych ocenianej uczelni jest wysoka.8]],SkalaLikerta[],2,0)</f>
        <v>#N/A</v>
      </c>
      <c r="DA133" s="1" t="s">
        <v>123</v>
      </c>
      <c r="DE133" t="e">
        <f>VLOOKUP(AnalizaCzyste[[#This Row],[Moja satysfakcja z pracy na ocenianej uczelni jest wysoka.]],SkalaLikerta[],2,0)</f>
        <v>#N/A</v>
      </c>
      <c r="DL133" s="1" t="s">
        <v>123</v>
      </c>
      <c r="DP133" t="e">
        <f>VLOOKUP(AnalizaCzyste[[#This Row],[Moja satysfakcja z pracy na ocenianej uczelni jest wysoka.42]],SkalaLikerta[],2,0)</f>
        <v>#N/A</v>
      </c>
      <c r="DW133" s="1" t="s">
        <v>123</v>
      </c>
      <c r="EJ133" t="e">
        <f>VLOOKUP(AnalizaCzyste[[#This Row],[Ogólny poziom mojej satysfakcji z jakości usług edukacyjnych ocenianej uczelni jest wysoki.]],SkalaLikerta[],2,0)</f>
        <v>#N/A</v>
      </c>
      <c r="FA133" s="1" t="s">
        <v>123</v>
      </c>
      <c r="FF133" t="e">
        <f>VLOOKUP(AnalizaCzyste[[#This Row],[Moja satysfakcja z (efektów) usług edukacyjnych na ocenianej uczelni jest wysoka.]],SkalaLikerta[],2,0)</f>
        <v>#N/A</v>
      </c>
      <c r="GB133" s="1" t="s">
        <v>123</v>
      </c>
      <c r="GC133" t="s">
        <v>132</v>
      </c>
      <c r="GN133" t="e">
        <f>VLOOKUP(AnalizaCzyste[[#This Row],[Ogólny poziom mojej satysfakcji z jakości usług edukacyjnych ocenianej uczelni jest wysoki.32]],SkalaLikerta[],2,0)</f>
        <v>#N/A</v>
      </c>
      <c r="HK133" t="s">
        <v>592</v>
      </c>
      <c r="HL133" t="s">
        <v>593</v>
      </c>
      <c r="HM133" t="s">
        <v>594</v>
      </c>
      <c r="HN133" t="s">
        <v>140</v>
      </c>
      <c r="HO133">
        <v>1997</v>
      </c>
      <c r="HP133" t="str">
        <f>VLOOKUP(AnalizaCzyste[[#This Row],[Rok urodzenia]],KategorieWiekowe[],2,1)</f>
        <v>poniżej 26 lat</v>
      </c>
      <c r="HQ133" t="s">
        <v>141</v>
      </c>
      <c r="HS133" t="s">
        <v>595</v>
      </c>
    </row>
    <row r="134" spans="1:229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3"/>
        <v>43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O134">
        <v>0</v>
      </c>
      <c r="P134" t="s">
        <v>122</v>
      </c>
      <c r="Q134" s="1" t="s">
        <v>416</v>
      </c>
      <c r="R134" t="s">
        <v>160</v>
      </c>
      <c r="S134" t="s">
        <v>148</v>
      </c>
      <c r="T134" t="s">
        <v>648</v>
      </c>
      <c r="U134" t="s">
        <v>128</v>
      </c>
      <c r="V134">
        <f>VLOOKUP(AnalizaCzyste[[#This Row],[Moja satysfakcja z usług edukacyjnych ocenianej uczelni jest wysoka.]],SkalaLikerta[],2,0)</f>
        <v>3</v>
      </c>
      <c r="W134" t="s">
        <v>162</v>
      </c>
      <c r="X134" t="s">
        <v>162</v>
      </c>
      <c r="Y134" t="s">
        <v>237</v>
      </c>
      <c r="Z134" t="s">
        <v>302</v>
      </c>
      <c r="AA134" t="s">
        <v>153</v>
      </c>
      <c r="AC134" t="s">
        <v>649</v>
      </c>
      <c r="AD134" t="s">
        <v>650</v>
      </c>
      <c r="AE134" t="s">
        <v>157</v>
      </c>
      <c r="AG134">
        <v>8</v>
      </c>
      <c r="AH134" s="1" t="s">
        <v>123</v>
      </c>
      <c r="AJ134" t="e">
        <f>VLOOKUP(AnalizaCzyste[[#This Row],[Jak się nazywa uczelnia którą ukończyłeś? (proszę o wybranie jednej uczelni podlegającej ocenie)]],KategorieUczelni[],2,0)</f>
        <v>#N/A</v>
      </c>
      <c r="AK134" t="e">
        <f>VLOOKUP(AnalizaCzyste[[#This Row],[Jak się nazywa uczelnia którą ukończyłeś? (proszę o wybranie jednej uczelni podlegającej ocenie)]],KategorieUczelni[],3,0)</f>
        <v>#N/A</v>
      </c>
      <c r="AL134">
        <f>COUNTIF(AnalizaCzyste[[#This Row],[Czy jesteś absolwentem uczelni wyższej?]],"*"&amp;"Tak"&amp;"*")</f>
        <v>0</v>
      </c>
      <c r="AQ134" t="e">
        <f>VLOOKUP(AnalizaCzyste[[#This Row],[Moja satysfakcja z (efektów) usług edukacyjnych ocenianej uczelni jest wysoka.]],SkalaLikerta[],2,0)</f>
        <v>#N/A</v>
      </c>
      <c r="AX134" t="e">
        <f>VLOOKUP(AnalizaCzyste[[#This Row],[w pierwszym roku po ukończeniu studiów : wybierz wartość z listy rozwijanej4]],Zarobki[],2,0)</f>
        <v>#N/A</v>
      </c>
      <c r="AZ134" t="e">
        <f>VLOOKUP(AnalizaCzyste[[#This Row],[w 3 lata po ukończeniu studiów : wybierz wartość z listy rozwijanej5]],Zarobki[],2,0)</f>
        <v>#N/A</v>
      </c>
      <c r="BF134" s="1" t="s">
        <v>123</v>
      </c>
      <c r="BM134" t="e">
        <f>VLOOKUP(AnalizaCzyste[[#This Row],[Moja satysfakcja z (efektów) usług edukacyjnych ocenianej uczelni jest wysoka.8]],SkalaLikerta[],2,0)</f>
        <v>#N/A</v>
      </c>
      <c r="DA134" s="1" t="s">
        <v>123</v>
      </c>
      <c r="DE134" t="e">
        <f>VLOOKUP(AnalizaCzyste[[#This Row],[Moja satysfakcja z pracy na ocenianej uczelni jest wysoka.]],SkalaLikerta[],2,0)</f>
        <v>#N/A</v>
      </c>
      <c r="DL134" s="1" t="s">
        <v>123</v>
      </c>
      <c r="DP134" t="e">
        <f>VLOOKUP(AnalizaCzyste[[#This Row],[Moja satysfakcja z pracy na ocenianej uczelni jest wysoka.42]],SkalaLikerta[],2,0)</f>
        <v>#N/A</v>
      </c>
      <c r="DW134" s="1" t="s">
        <v>123</v>
      </c>
      <c r="EJ134" t="e">
        <f>VLOOKUP(AnalizaCzyste[[#This Row],[Ogólny poziom mojej satysfakcji z jakości usług edukacyjnych ocenianej uczelni jest wysoki.]],SkalaLikerta[],2,0)</f>
        <v>#N/A</v>
      </c>
      <c r="FA134" s="1" t="s">
        <v>123</v>
      </c>
      <c r="FF134" t="e">
        <f>VLOOKUP(AnalizaCzyste[[#This Row],[Moja satysfakcja z (efektów) usług edukacyjnych na ocenianej uczelni jest wysoka.]],SkalaLikerta[],2,0)</f>
        <v>#N/A</v>
      </c>
      <c r="GB134" s="1" t="s">
        <v>123</v>
      </c>
      <c r="GC134" t="s">
        <v>132</v>
      </c>
      <c r="GN134" t="e">
        <f>VLOOKUP(AnalizaCzyste[[#This Row],[Ogólny poziom mojej satysfakcji z jakości usług edukacyjnych ocenianej uczelni jest wysoki.32]],SkalaLikerta[],2,0)</f>
        <v>#N/A</v>
      </c>
      <c r="HK134" t="s">
        <v>651</v>
      </c>
      <c r="HL134" t="s">
        <v>652</v>
      </c>
      <c r="HM134" t="s">
        <v>653</v>
      </c>
      <c r="HN134" t="s">
        <v>140</v>
      </c>
      <c r="HO134">
        <v>1998</v>
      </c>
      <c r="HP134" t="str">
        <f>VLOOKUP(AnalizaCzyste[[#This Row],[Rok urodzenia]],KategorieWiekowe[],2,1)</f>
        <v>poniżej 26 lat</v>
      </c>
      <c r="HQ134" t="s">
        <v>141</v>
      </c>
    </row>
    <row r="135" spans="1:229" x14ac:dyDescent="0.45">
      <c r="A135">
        <v>47</v>
      </c>
      <c r="B135">
        <f>_xlfn.IFNA(VLOOKUP(AnalizaCzyste[[#This Row],[Zakończono wypełnianie]],Zakończone[],2,0),"BRAK")</f>
        <v>29</v>
      </c>
      <c r="C135">
        <f t="shared" si="3"/>
        <v>46</v>
      </c>
      <c r="D135" t="s">
        <v>570</v>
      </c>
      <c r="E135" t="s">
        <v>118</v>
      </c>
      <c r="F135" t="s">
        <v>548</v>
      </c>
      <c r="J135" t="s">
        <v>119</v>
      </c>
      <c r="K135" t="s">
        <v>571</v>
      </c>
      <c r="L135" t="s">
        <v>572</v>
      </c>
      <c r="M135">
        <v>751</v>
      </c>
      <c r="O135">
        <v>0</v>
      </c>
      <c r="P135" t="s">
        <v>122</v>
      </c>
      <c r="Q135" s="1" t="s">
        <v>416</v>
      </c>
      <c r="R135" t="s">
        <v>445</v>
      </c>
      <c r="S135" t="s">
        <v>148</v>
      </c>
      <c r="T135" t="s">
        <v>573</v>
      </c>
      <c r="U135" t="s">
        <v>162</v>
      </c>
      <c r="V135">
        <f>VLOOKUP(AnalizaCzyste[[#This Row],[Moja satysfakcja z usług edukacyjnych ocenianej uczelni jest wysoka.]],SkalaLikerta[],2,0)</f>
        <v>5</v>
      </c>
      <c r="W135" t="s">
        <v>128</v>
      </c>
      <c r="X135" t="s">
        <v>151</v>
      </c>
      <c r="Y135" t="s">
        <v>237</v>
      </c>
      <c r="Z135" t="s">
        <v>302</v>
      </c>
      <c r="AA135" t="s">
        <v>153</v>
      </c>
      <c r="AB135" t="s">
        <v>574</v>
      </c>
      <c r="AC135" t="s">
        <v>575</v>
      </c>
      <c r="AD135" t="s">
        <v>576</v>
      </c>
      <c r="AE135" t="s">
        <v>172</v>
      </c>
      <c r="AG135">
        <v>6</v>
      </c>
      <c r="AH135" s="1" t="s">
        <v>123</v>
      </c>
      <c r="AJ135" t="e">
        <f>VLOOKUP(AnalizaCzyste[[#This Row],[Jak się nazywa uczelnia którą ukończyłeś? (proszę o wybranie jednej uczelni podlegającej ocenie)]],KategorieUczelni[],2,0)</f>
        <v>#N/A</v>
      </c>
      <c r="AK135" t="e">
        <f>VLOOKUP(AnalizaCzyste[[#This Row],[Jak się nazywa uczelnia którą ukończyłeś? (proszę o wybranie jednej uczelni podlegającej ocenie)]],KategorieUczelni[],3,0)</f>
        <v>#N/A</v>
      </c>
      <c r="AL135">
        <f>COUNTIF(AnalizaCzyste[[#This Row],[Czy jesteś absolwentem uczelni wyższej?]],"*"&amp;"Tak"&amp;"*")</f>
        <v>0</v>
      </c>
      <c r="AQ135" t="e">
        <f>VLOOKUP(AnalizaCzyste[[#This Row],[Moja satysfakcja z (efektów) usług edukacyjnych ocenianej uczelni jest wysoka.]],SkalaLikerta[],2,0)</f>
        <v>#N/A</v>
      </c>
      <c r="AX135" t="e">
        <f>VLOOKUP(AnalizaCzyste[[#This Row],[w pierwszym roku po ukończeniu studiów : wybierz wartość z listy rozwijanej4]],Zarobki[],2,0)</f>
        <v>#N/A</v>
      </c>
      <c r="AZ135" t="e">
        <f>VLOOKUP(AnalizaCzyste[[#This Row],[w 3 lata po ukończeniu studiów : wybierz wartość z listy rozwijanej5]],Zarobki[],2,0)</f>
        <v>#N/A</v>
      </c>
      <c r="BF135" s="1" t="s">
        <v>123</v>
      </c>
      <c r="BM135" t="e">
        <f>VLOOKUP(AnalizaCzyste[[#This Row],[Moja satysfakcja z (efektów) usług edukacyjnych ocenianej uczelni jest wysoka.8]],SkalaLikerta[],2,0)</f>
        <v>#N/A</v>
      </c>
      <c r="DA135" s="1" t="s">
        <v>123</v>
      </c>
      <c r="DE135" t="e">
        <f>VLOOKUP(AnalizaCzyste[[#This Row],[Moja satysfakcja z pracy na ocenianej uczelni jest wysoka.]],SkalaLikerta[],2,0)</f>
        <v>#N/A</v>
      </c>
      <c r="DL135" s="1" t="s">
        <v>123</v>
      </c>
      <c r="DP135" t="e">
        <f>VLOOKUP(AnalizaCzyste[[#This Row],[Moja satysfakcja z pracy na ocenianej uczelni jest wysoka.42]],SkalaLikerta[],2,0)</f>
        <v>#N/A</v>
      </c>
      <c r="DW135" s="1" t="s">
        <v>123</v>
      </c>
      <c r="EJ135" t="e">
        <f>VLOOKUP(AnalizaCzyste[[#This Row],[Ogólny poziom mojej satysfakcji z jakości usług edukacyjnych ocenianej uczelni jest wysoki.]],SkalaLikerta[],2,0)</f>
        <v>#N/A</v>
      </c>
      <c r="FA135" s="1" t="s">
        <v>123</v>
      </c>
      <c r="FF135" t="e">
        <f>VLOOKUP(AnalizaCzyste[[#This Row],[Moja satysfakcja z (efektów) usług edukacyjnych na ocenianej uczelni jest wysoka.]],SkalaLikerta[],2,0)</f>
        <v>#N/A</v>
      </c>
      <c r="GB135" s="1" t="s">
        <v>123</v>
      </c>
      <c r="GC135" t="s">
        <v>132</v>
      </c>
      <c r="GE135" t="s">
        <v>132</v>
      </c>
      <c r="GN135" t="e">
        <f>VLOOKUP(AnalizaCzyste[[#This Row],[Ogólny poziom mojej satysfakcji z jakości usług edukacyjnych ocenianej uczelni jest wysoki.32]],SkalaLikerta[],2,0)</f>
        <v>#N/A</v>
      </c>
      <c r="HK135" t="s">
        <v>578</v>
      </c>
      <c r="HL135" t="s">
        <v>579</v>
      </c>
      <c r="HM135" t="s">
        <v>580</v>
      </c>
      <c r="HN135" t="s">
        <v>186</v>
      </c>
      <c r="HO135">
        <v>1997</v>
      </c>
      <c r="HP135" t="str">
        <f>VLOOKUP(AnalizaCzyste[[#This Row],[Rok urodzenia]],KategorieWiekowe[],2,1)</f>
        <v>poniżej 26 lat</v>
      </c>
      <c r="HQ135" t="s">
        <v>483</v>
      </c>
      <c r="HS135" t="s">
        <v>532</v>
      </c>
    </row>
    <row r="136" spans="1:229" ht="14.65" thickBot="1" x14ac:dyDescent="0.5">
      <c r="P136" s="6">
        <f t="shared" ref="P136:BB136" si="4">COUNTA((P3:P135))</f>
        <v>133</v>
      </c>
      <c r="Q136" s="6">
        <f t="shared" si="4"/>
        <v>133</v>
      </c>
      <c r="R136" s="1">
        <f t="shared" si="4"/>
        <v>14</v>
      </c>
      <c r="S136" s="1">
        <f t="shared" si="4"/>
        <v>14</v>
      </c>
      <c r="T136" s="1">
        <f t="shared" si="4"/>
        <v>14</v>
      </c>
      <c r="U136" s="1">
        <f t="shared" si="4"/>
        <v>14</v>
      </c>
      <c r="V136" s="1"/>
      <c r="W136" s="1">
        <f t="shared" si="4"/>
        <v>14</v>
      </c>
      <c r="X136" s="1">
        <f t="shared" si="4"/>
        <v>14</v>
      </c>
      <c r="Y136" s="1">
        <f t="shared" si="4"/>
        <v>14</v>
      </c>
      <c r="Z136" s="1">
        <f t="shared" si="4"/>
        <v>14</v>
      </c>
      <c r="AA136" s="1">
        <f t="shared" si="4"/>
        <v>14</v>
      </c>
      <c r="AB136" s="1">
        <f t="shared" si="4"/>
        <v>9</v>
      </c>
      <c r="AC136" s="1">
        <f t="shared" si="4"/>
        <v>14</v>
      </c>
      <c r="AD136" s="1">
        <f t="shared" si="4"/>
        <v>14</v>
      </c>
      <c r="AE136" s="1">
        <f t="shared" si="4"/>
        <v>13</v>
      </c>
      <c r="AF136" s="1">
        <f t="shared" si="4"/>
        <v>2</v>
      </c>
      <c r="AG136" s="1">
        <f t="shared" si="4"/>
        <v>14</v>
      </c>
      <c r="AH136" s="6">
        <f t="shared" si="4"/>
        <v>133</v>
      </c>
      <c r="AI136" s="1">
        <f t="shared" si="4"/>
        <v>120</v>
      </c>
      <c r="AJ136" s="1"/>
      <c r="AK136" s="1"/>
      <c r="AL136" s="1">
        <f>SUBTOTAL(109,AnalizaCzyste[LicznikAbsolwentów])</f>
        <v>120</v>
      </c>
      <c r="AM136" s="1">
        <f t="shared" si="4"/>
        <v>119</v>
      </c>
      <c r="AN136" s="1">
        <f t="shared" si="4"/>
        <v>120</v>
      </c>
      <c r="AO136" s="1">
        <f t="shared" si="4"/>
        <v>120</v>
      </c>
      <c r="AP136" s="1">
        <f t="shared" si="4"/>
        <v>120</v>
      </c>
      <c r="AQ136" s="1"/>
      <c r="AR136" s="1">
        <f t="shared" si="4"/>
        <v>120</v>
      </c>
      <c r="AS136" s="1">
        <f t="shared" si="4"/>
        <v>120</v>
      </c>
      <c r="AT136" s="1">
        <f t="shared" si="4"/>
        <v>120</v>
      </c>
      <c r="AU136" s="1">
        <f t="shared" si="4"/>
        <v>120</v>
      </c>
      <c r="AV136" s="1">
        <f t="shared" si="4"/>
        <v>120</v>
      </c>
      <c r="AW136" s="1">
        <f t="shared" si="4"/>
        <v>120</v>
      </c>
      <c r="AX136" s="1"/>
      <c r="AY136" s="1">
        <f t="shared" si="4"/>
        <v>120</v>
      </c>
      <c r="AZ136" s="1"/>
      <c r="BA136" s="1">
        <f t="shared" si="4"/>
        <v>98</v>
      </c>
      <c r="BB136" s="1">
        <f t="shared" si="4"/>
        <v>120</v>
      </c>
      <c r="BC136" s="1">
        <f t="shared" ref="BC136:CI136" si="5">COUNTA((BC3:BC135))</f>
        <v>120</v>
      </c>
      <c r="BD136" s="1">
        <f t="shared" si="5"/>
        <v>108</v>
      </c>
      <c r="BE136" s="1">
        <f t="shared" si="5"/>
        <v>38</v>
      </c>
      <c r="BF136" s="6">
        <f t="shared" si="5"/>
        <v>133</v>
      </c>
      <c r="BG136" s="1">
        <f t="shared" si="5"/>
        <v>17</v>
      </c>
      <c r="BH136" s="1">
        <f t="shared" si="5"/>
        <v>17</v>
      </c>
      <c r="BI136" s="1">
        <f t="shared" si="5"/>
        <v>17</v>
      </c>
      <c r="BJ136" s="1">
        <f t="shared" si="5"/>
        <v>17</v>
      </c>
      <c r="BK136" s="1">
        <f t="shared" si="5"/>
        <v>17</v>
      </c>
      <c r="BL136" s="1">
        <f t="shared" si="5"/>
        <v>17</v>
      </c>
      <c r="BM136" s="1"/>
      <c r="BN136" s="1">
        <f t="shared" si="5"/>
        <v>17</v>
      </c>
      <c r="BO136" s="1">
        <f t="shared" si="5"/>
        <v>17</v>
      </c>
      <c r="BP136" s="1">
        <f t="shared" si="5"/>
        <v>17</v>
      </c>
      <c r="BQ136" s="1">
        <f t="shared" si="5"/>
        <v>17</v>
      </c>
      <c r="BR136" s="1">
        <f t="shared" si="5"/>
        <v>17</v>
      </c>
      <c r="BS136" s="1">
        <f t="shared" si="5"/>
        <v>15</v>
      </c>
      <c r="BT136" s="1">
        <f t="shared" si="5"/>
        <v>17</v>
      </c>
      <c r="BU136" s="1">
        <f t="shared" si="5"/>
        <v>1</v>
      </c>
      <c r="BV136" s="1">
        <f t="shared" si="5"/>
        <v>8</v>
      </c>
      <c r="BW136" s="1">
        <f t="shared" si="5"/>
        <v>17</v>
      </c>
      <c r="BX136" s="1">
        <f t="shared" si="5"/>
        <v>5</v>
      </c>
      <c r="BY136" s="1">
        <f t="shared" si="5"/>
        <v>5</v>
      </c>
      <c r="BZ136" s="1">
        <f t="shared" si="5"/>
        <v>5</v>
      </c>
      <c r="CA136" s="1">
        <f t="shared" si="5"/>
        <v>5</v>
      </c>
      <c r="CB136" s="1">
        <f t="shared" si="5"/>
        <v>5</v>
      </c>
      <c r="CC136" s="1">
        <f t="shared" si="5"/>
        <v>5</v>
      </c>
      <c r="CD136" s="1">
        <f t="shared" si="5"/>
        <v>5</v>
      </c>
      <c r="CE136" s="1">
        <f t="shared" si="5"/>
        <v>5</v>
      </c>
      <c r="CF136" s="1">
        <f t="shared" si="5"/>
        <v>5</v>
      </c>
      <c r="CG136" s="1">
        <f t="shared" si="5"/>
        <v>5</v>
      </c>
      <c r="CH136" s="1">
        <f t="shared" si="5"/>
        <v>3</v>
      </c>
      <c r="CI136" s="1">
        <f t="shared" si="5"/>
        <v>5</v>
      </c>
      <c r="CJ136" s="1">
        <f t="shared" ref="CJ136:DA136" si="6">COUNTA((CJ3:CJ135))</f>
        <v>0</v>
      </c>
      <c r="CK136" s="1">
        <f t="shared" si="6"/>
        <v>3</v>
      </c>
      <c r="CL136" s="1">
        <f t="shared" si="6"/>
        <v>5</v>
      </c>
      <c r="CM136" s="1">
        <f t="shared" si="6"/>
        <v>2</v>
      </c>
      <c r="CN136" s="1">
        <f t="shared" si="6"/>
        <v>2</v>
      </c>
      <c r="CO136" s="1">
        <f t="shared" si="6"/>
        <v>2</v>
      </c>
      <c r="CP136" s="1">
        <f t="shared" si="6"/>
        <v>2</v>
      </c>
      <c r="CQ136" s="1">
        <f t="shared" si="6"/>
        <v>2</v>
      </c>
      <c r="CR136" s="1">
        <f t="shared" si="6"/>
        <v>2</v>
      </c>
      <c r="CS136" s="1">
        <f t="shared" si="6"/>
        <v>2</v>
      </c>
      <c r="CT136" s="1">
        <f t="shared" si="6"/>
        <v>2</v>
      </c>
      <c r="CU136" s="1">
        <f t="shared" si="6"/>
        <v>2</v>
      </c>
      <c r="CV136" s="1">
        <f t="shared" si="6"/>
        <v>2</v>
      </c>
      <c r="CW136" s="1">
        <f t="shared" si="6"/>
        <v>2</v>
      </c>
      <c r="CX136" s="1">
        <f t="shared" si="6"/>
        <v>2</v>
      </c>
      <c r="CY136" s="1">
        <f t="shared" si="6"/>
        <v>0</v>
      </c>
      <c r="CZ136" s="1">
        <f t="shared" si="6"/>
        <v>1</v>
      </c>
      <c r="DA136" s="6">
        <f t="shared" si="6"/>
        <v>133</v>
      </c>
      <c r="DL136" s="6">
        <f>COUNTA((DL3:DL135))</f>
        <v>133</v>
      </c>
      <c r="DW136" s="6">
        <f>COUNTA((DW3:DW135))</f>
        <v>133</v>
      </c>
      <c r="FA136" s="6">
        <f>COUNTA((FA3:FA135))</f>
        <v>133</v>
      </c>
      <c r="GB136" s="6">
        <f>COUNTA((GB3:GB135))</f>
        <v>133</v>
      </c>
      <c r="HN136" s="6">
        <f>COUNTA((HN3:HN135))</f>
        <v>133</v>
      </c>
      <c r="HO136" s="6">
        <f>COUNTA((HO3:HO135))</f>
        <v>133</v>
      </c>
      <c r="HP136" s="6"/>
      <c r="HQ136" s="6">
        <f>COUNTA((HQ3:HQ135))</f>
        <v>133</v>
      </c>
      <c r="HR136" s="6">
        <f>COUNTA((HR3:HR135))</f>
        <v>7</v>
      </c>
      <c r="HS136" s="6">
        <f>COUNTA((HS3:HS135))</f>
        <v>84</v>
      </c>
      <c r="HT136" s="6">
        <f>COUNTA((HT3:HT135))</f>
        <v>52</v>
      </c>
      <c r="HU136" s="6">
        <f>COUNTA((HU3:HU135))</f>
        <v>12</v>
      </c>
    </row>
    <row r="137" spans="1:229" ht="15" thickTop="1" thickBot="1" x14ac:dyDescent="0.5">
      <c r="B137" s="20" t="s">
        <v>2292</v>
      </c>
      <c r="P137" s="7">
        <f>COUNTIF(AnalizaCzyste[Czy jesteś osobą pełnoletnią?],"*"&amp;"Tak"&amp;"*")</f>
        <v>133</v>
      </c>
      <c r="Q137" s="7">
        <f>COUNTIF(AnalizaCzyste[Czy jesteś studentem uczelni wyższej?],"*"&amp;"Tak"&amp;"*")</f>
        <v>14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7">
        <f>COUNTIF(AnalizaCzyste[Czy jesteś absolwentem uczelni wyższej?],"*"&amp;"Tak"&amp;"*")</f>
        <v>120</v>
      </c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7">
        <f>COUNTIF(AnalizaCzyste[Czy jesteś rodzicem / opiekunem absolwenta uczelni wyższej?],"*"&amp;"Tak"&amp;"*")</f>
        <v>17</v>
      </c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7">
        <f>COUNTIF(AnalizaCzyste[Czy jesteś aktualnie pracownikiem administracyjnym uczelni wyższej?],"*"&amp;"Tak"&amp;"*")</f>
        <v>4</v>
      </c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7">
        <f>COUNTIF(AnalizaCzyste[Czy jesteś aktualnie pracownikiem naukowym lub dydaktycznym uczelni wyższej?],"*"&amp;"Tak"&amp;"*")</f>
        <v>16</v>
      </c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7">
        <f>COUNTIF(AnalizaCzyste[Czy jesteś przedstawicielem władz uczelni z grupy rektorów, prorektorów, dziekanów, prodziekanów, członków senatu lub członków rady uczelni?],"*"&amp;"Tak"&amp;"*")</f>
        <v>5</v>
      </c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7">
        <f>COUNTIF(AnalizaCzyste[Czy jesteś przedstawicielem firmy, w której są zatrudniani absolwenci uczelni wyższych (tytuł licencjata, magistra lub wyższy)?],"*"&amp;"Tak"&amp;"*")</f>
        <v>18</v>
      </c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7">
        <f>COUNTIF(AnalizaCzyste[Czy jesteś przedstawicielem władz samorządowych lub centralnych Rzeczypospolitej Polskiej?],"*"&amp;"Tak"&amp;"*")</f>
        <v>2</v>
      </c>
      <c r="GC137" s="7">
        <f>COUNTIF(AnalizaCzyste[Proszę wskaż jaki poziom władzy samorządowej lub centralnej reprezentujesz.],"*"&amp;"Tak"&amp;"*")</f>
        <v>0</v>
      </c>
      <c r="GD137" s="7">
        <f>COUNTIF(AnalizaCzyste[Proszę o podanie nazwy organu władzy jaki reprezentujesz.],"*"&amp;"Tak"&amp;"*")</f>
        <v>0</v>
      </c>
      <c r="GE137" s="7">
        <f>COUNTIF(AnalizaCzyste[Ile uczelni będziesz oceniać?26],"*"&amp;"Tak"&amp;"*")</f>
        <v>0</v>
      </c>
      <c r="GF137" s="7">
        <f>COUNTIF(AnalizaCzyste[Jak się nazywa uczelnia, którą ocenisz?],"*"&amp;"Tak"&amp;"*")</f>
        <v>0</v>
      </c>
      <c r="GG137" s="7">
        <f>COUNTIF(AnalizaCzyste[Efekty działań ocenianej uczelni na rzesz jakości edukacji są zgodne ze strategią rozwoju w regionie.],"*"&amp;"Tak"&amp;"*")</f>
        <v>0</v>
      </c>
      <c r="GH137" s="7">
        <f>COUNTIF(AnalizaCzyste[Wartość wykształcenia zdobywanego przez studentów na ocenianej uczelni jest wysoka.27],"*"&amp;"Tak"&amp;"*")</f>
        <v>0</v>
      </c>
      <c r="GI137" s="7">
        <f>COUNTIF(AnalizaCzyste[Zdobyte przez studentów ocenianej uczelni wykształcenie miało/ma pozytywny wpływ na ich zarobki.28],"*"&amp;"Tak"&amp;"*")</f>
        <v>0</v>
      </c>
      <c r="GJ137" s="7">
        <f>COUNTIF(AnalizaCzyste[Efekty działań ocenianej uczelni na rzecz jakości edukacji mają dobry wpływ na rozwój regionu.29],"*"&amp;"Tak"&amp;"*")</f>
        <v>0</v>
      </c>
      <c r="GK137" s="7">
        <f>COUNTIF(AnalizaCzyste[Efekty działań ocenianej uczelni na rzecz jakości edukacji mają dobry wpływ na rozwój Polski.30],"*"&amp;"Tak"&amp;"*")</f>
        <v>0</v>
      </c>
      <c r="GL137" s="7">
        <f>COUNTIF(AnalizaCzyste[Współpraca ocenianej uczelni z biznesem ma pozytywne efekty dla rozwoju regionu / kraju.31],"*"&amp;"Tak"&amp;"*")</f>
        <v>0</v>
      </c>
      <c r="GM137" s="7">
        <f>COUNTIF(AnalizaCzyste[Ogólny poziom mojej satysfakcji z jakości usług edukacyjnych ocenianej uczelni jest wysoki.32],"*"&amp;"Tak"&amp;"*")</f>
        <v>0</v>
      </c>
      <c r="GN137" s="7"/>
      <c r="GO137" s="7">
        <f>COUNTIF(AnalizaCzyste[Pole dodatkowe33],"*"&amp;"Tak"&amp;"*")</f>
        <v>0</v>
      </c>
      <c r="GP137" s="7">
        <f>COUNTIF(AnalizaCzyste[Jakie inne efekty pracy ocenianej uczelni technicznej dostrzegasz obecnie?],"*"&amp;"Tak"&amp;"*")</f>
        <v>0</v>
      </c>
      <c r="GQ137" s="7">
        <f>COUNTIF(AnalizaCzyste[Czy będziesz oceniać drugą uczelnię?],"*"&amp;"Tak"&amp;"*")</f>
        <v>0</v>
      </c>
      <c r="GR137" s="7">
        <f>COUNTIF(AnalizaCzyste[Jak się nazywa uczelnia, którą ocenisz?34],"*"&amp;"Tak"&amp;"*")</f>
        <v>0</v>
      </c>
      <c r="GS137" s="7">
        <f>COUNTIF(AnalizaCzyste[Efekty działań ocenianej uczelni na rzesz jakości edukacji są zgodne ze strategią rozwoju w regionie.35],"*"&amp;"Tak"&amp;"*")</f>
        <v>0</v>
      </c>
      <c r="GT137" s="7">
        <f>COUNTIF(AnalizaCzyste[Wartość wykształcenia zdobywanego przez studentów na ocenianej uczelni jest wysoka.36],"*"&amp;"Tak"&amp;"*")</f>
        <v>0</v>
      </c>
      <c r="GU137" s="7">
        <f>COUNTIF(AnalizaCzyste[Zdobyte przez studentów ocenianej uczelni wykształcenie miało/ma pozytywny wpływ na ich zarobki.37],"*"&amp;"Tak"&amp;"*")</f>
        <v>0</v>
      </c>
      <c r="GV137" s="7">
        <f>COUNTIF(AnalizaCzyste[Efekty działań ocenianej uczelni na rzecz jakości edukacji mają dobry wpływ na rozwój regionu.38],"*"&amp;"Tak"&amp;"*")</f>
        <v>0</v>
      </c>
      <c r="GW137" s="7">
        <f>COUNTIF(AnalizaCzyste[Efekty działań ocenianej uczelni na rzecz jakości edukacji mają dobry wpływ na rozwój Polski.39],"*"&amp;"Tak"&amp;"*")</f>
        <v>0</v>
      </c>
      <c r="GX137" s="7">
        <f>COUNTIF(AnalizaCzyste[Współpraca ocenianej uczelni z biznesem ma pozytywne efekty dla rozwoju regionu / kraju.40],"*"&amp;"Tak"&amp;"*")</f>
        <v>0</v>
      </c>
      <c r="GY137" s="7">
        <f>COUNTIF(AnalizaCzyste[Ogólny poziom mojej satysfakcji z jakości usług edukacyjnych ocenianej uczelni jest wysoki.41],"*"&amp;"Tak"&amp;"*")</f>
        <v>0</v>
      </c>
      <c r="GZ137" s="7">
        <f>COUNTIF(AnalizaCzyste[Jakie inne efekty pracy ocenianej uczelni dostrzegasz obecnie?],"*"&amp;"Tak"&amp;"*")</f>
        <v>0</v>
      </c>
      <c r="HA137" s="7">
        <f>COUNTIF(AnalizaCzyste[Czy będziesz oceniać trzecią uczelnię?],"*"&amp;"Tak"&amp;"*")</f>
        <v>0</v>
      </c>
      <c r="HB137" s="7">
        <f>COUNTIF(AnalizaCzyste[Jak się nazywa uczelnia, którą ocenisz?42],"*"&amp;"Tak"&amp;"*")</f>
        <v>0</v>
      </c>
      <c r="HC137" s="7">
        <f>COUNTIF(AnalizaCzyste[Efekty działań ocenianej uczelni na rzesz jakości edukacji są zgodne ze strategią rozwoju w regionie.43],"*"&amp;"Tak"&amp;"*")</f>
        <v>0</v>
      </c>
      <c r="HD137" s="7">
        <f>COUNTIF(AnalizaCzyste[Wartość wykształcenia zdobywanego przez studentów na ocenianej uczelni jest wysoka.44],"*"&amp;"Tak"&amp;"*")</f>
        <v>0</v>
      </c>
      <c r="HE137" s="7">
        <f>COUNTIF(AnalizaCzyste[Zdobyte przez studentów ocenianej uczelni wykształcenie miało/ma pozytywny wpływ na ich zarobki.45],"*"&amp;"Tak"&amp;"*")</f>
        <v>0</v>
      </c>
      <c r="HF137" s="7">
        <f>COUNTIF(AnalizaCzyste[Efekty działań ocenianej uczelni na rzecz jakości edukacji mają dobry wpływ na rozwój regionu.46],"*"&amp;"Tak"&amp;"*")</f>
        <v>0</v>
      </c>
      <c r="HG137" s="7">
        <f>COUNTIF(AnalizaCzyste[Efekty działań ocenianej uczelni na rzecz jakości edukacji mają dobry wpływ na rozwój Polski.47],"*"&amp;"Tak"&amp;"*")</f>
        <v>0</v>
      </c>
      <c r="HH137" s="7">
        <f>COUNTIF(AnalizaCzyste[Współpraca ocenianej uczelni z biznesem ma pozytywne efekty dla rozwoju regionu / kraju.48],"*"&amp;"Tak"&amp;"*")</f>
        <v>0</v>
      </c>
      <c r="HI137" s="7">
        <f>COUNTIF(AnalizaCzyste[Ogólny poziom mojej satysfakcji z jakości usług edukacyjnych ocenianej uczelni jest wysoki.49],"*"&amp;"Tak"&amp;"*")</f>
        <v>0</v>
      </c>
      <c r="HJ137" s="7">
        <f>COUNTIF(AnalizaCzyste[Jakie inne efekty pracy ocenianej uczelni dostrzegasz obecnie?50],"*"&amp;"Tak"&amp;"*")</f>
        <v>0</v>
      </c>
      <c r="HK137" s="7">
        <f>COUNTIF(AnalizaCzyste[Jakie, Twoim zdaniem, elementy decydują o tym, że uczelnie są lepsze lub gorsze.],"*"&amp;"Tak"&amp;"*")</f>
        <v>5</v>
      </c>
      <c r="HL137" s="7">
        <f>COUNTIF(AnalizaCzyste[Kolumna51],"*"&amp;"Tak"&amp;"*")</f>
        <v>10</v>
      </c>
      <c r="HM137" s="7">
        <f>COUNTIF(AnalizaCzyste[Kolumna52],"*"&amp;"Tak"&amp;"*")</f>
        <v>3</v>
      </c>
      <c r="HN137" s="7">
        <f>COUNTIF(AnalizaCzyste[Płeć],"*"&amp;"Mężczyzna"&amp;"*")</f>
        <v>66</v>
      </c>
      <c r="HO137" s="7">
        <f>COUNTIF(AnalizaCzyste[Rok urodzenia],"*"&amp;"Tak"&amp;"*")</f>
        <v>0</v>
      </c>
      <c r="HP137" s="7"/>
      <c r="HQ137" s="7">
        <f>COUNTIF(AnalizaCzyste[Z jakiej wielkości miejscowości pochodzisz? (dotyczy miejscowości, w której się wychowałaś/eś],"*"&amp;"Tak"&amp;"*")</f>
        <v>0</v>
      </c>
    </row>
    <row r="138" spans="1:229" ht="15" thickTop="1" thickBot="1" x14ac:dyDescent="0.5">
      <c r="B138" s="20" t="s">
        <v>2293</v>
      </c>
      <c r="P138" s="7">
        <f>COUNTIF(AnalizaCzyste[Czy jesteś osobą pełnoletnią?],"*"&amp;"Nie"&amp;"*")</f>
        <v>0</v>
      </c>
      <c r="Q138" s="7">
        <f>COUNTIF(AnalizaCzyste[Czy jesteś studentem uczelni wyższej?],"*"&amp;"Nie (przejście"&amp;"*")</f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7">
        <f>COUNTIF(AnalizaCzyste[Czy jesteś absolwentem uczelni wyższej?],"*"&amp;"Nie (przejście"&amp;"*")</f>
        <v>13</v>
      </c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7">
        <f>COUNTIF(AnalizaCzyste[Czy jesteś rodzicem / opiekunem absolwenta uczelni wyższej?],"*"&amp;"Nie (przejście"&amp;"*")</f>
        <v>116</v>
      </c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7">
        <f>COUNTIF(AnalizaCzyste[Czy jesteś aktualnie pracownikiem administracyjnym uczelni wyższej?],"*"&amp;"Nie (przejście"&amp;"*")</f>
        <v>129</v>
      </c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7">
        <f>COUNTIF(AnalizaCzyste[Czy jesteś aktualnie pracownikiem naukowym lub dydaktycznym uczelni wyższej?],"*"&amp;"Nie (przejście"&amp;"*")</f>
        <v>117</v>
      </c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7">
        <f>COUNTIF(AnalizaCzyste[Czy jesteś przedstawicielem władz uczelni z grupy rektorów, prorektorów, dziekanów, prodziekanów, członków senatu lub członków rady uczelni?],"*"&amp;"Nie (przejście"&amp;"*")</f>
        <v>128</v>
      </c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7">
        <f>COUNTIF(AnalizaCzyste[Czy jesteś przedstawicielem firmy, w której są zatrudniani absolwenci uczelni wyższych (tytuł licencjata, magistra lub wyższy)?],"*"&amp;"Nie (przejście"&amp;"*")</f>
        <v>115</v>
      </c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7">
        <f>COUNTIF(AnalizaCzyste[Czy jesteś przedstawicielem władz samorządowych lub centralnych Rzeczypospolitej Polskiej?],"*"&amp;"Nie (przejście"&amp;"*")</f>
        <v>131</v>
      </c>
      <c r="GC138" s="7">
        <f>COUNTIF(AnalizaCzyste[Proszę wskaż jaki poziom władzy samorządowej lub centralnej reprezentujesz.],"*"&amp;"Nie (przejście"&amp;"*")</f>
        <v>0</v>
      </c>
      <c r="GD138" s="7">
        <f>COUNTIF(AnalizaCzyste[Proszę o podanie nazwy organu władzy jaki reprezentujesz.],"*"&amp;"Nie (przejście"&amp;"*")</f>
        <v>0</v>
      </c>
      <c r="GE138" s="7">
        <f>COUNTIF(AnalizaCzyste[Ile uczelni będziesz oceniać?26],"*"&amp;"Nie (przejście"&amp;"*")</f>
        <v>0</v>
      </c>
      <c r="GF138" s="7">
        <f>COUNTIF(AnalizaCzyste[Jak się nazywa uczelnia, którą ocenisz?],"*"&amp;"Nie (przejście"&amp;"*")</f>
        <v>0</v>
      </c>
      <c r="GG138" s="7">
        <f>COUNTIF(AnalizaCzyste[Efekty działań ocenianej uczelni na rzesz jakości edukacji są zgodne ze strategią rozwoju w regionie.],"*"&amp;"Nie (przejście"&amp;"*")</f>
        <v>0</v>
      </c>
      <c r="GH138" s="7">
        <f>COUNTIF(AnalizaCzyste[Wartość wykształcenia zdobywanego przez studentów na ocenianej uczelni jest wysoka.27],"*"&amp;"Nie (przejście"&amp;"*")</f>
        <v>0</v>
      </c>
      <c r="GI138" s="7">
        <f>COUNTIF(AnalizaCzyste[Zdobyte przez studentów ocenianej uczelni wykształcenie miało/ma pozytywny wpływ na ich zarobki.28],"*"&amp;"Nie (przejście"&amp;"*")</f>
        <v>0</v>
      </c>
      <c r="GJ138" s="7">
        <f>COUNTIF(AnalizaCzyste[Efekty działań ocenianej uczelni na rzecz jakości edukacji mają dobry wpływ na rozwój regionu.29],"*"&amp;"Nie (przejście"&amp;"*")</f>
        <v>0</v>
      </c>
      <c r="GK138" s="7">
        <f>COUNTIF(AnalizaCzyste[Efekty działań ocenianej uczelni na rzecz jakości edukacji mają dobry wpływ na rozwój Polski.30],"*"&amp;"Nie (przejście"&amp;"*")</f>
        <v>0</v>
      </c>
      <c r="GL138" s="7">
        <f>COUNTIF(AnalizaCzyste[Współpraca ocenianej uczelni z biznesem ma pozytywne efekty dla rozwoju regionu / kraju.31],"*"&amp;"Nie (przejście"&amp;"*")</f>
        <v>0</v>
      </c>
      <c r="GM138" s="7">
        <f>COUNTIF(AnalizaCzyste[Ogólny poziom mojej satysfakcji z jakości usług edukacyjnych ocenianej uczelni jest wysoki.32],"*"&amp;"Nie (przejście"&amp;"*")</f>
        <v>0</v>
      </c>
      <c r="GN138" s="7"/>
      <c r="GO138" s="7">
        <f>COUNTIF(AnalizaCzyste[Pole dodatkowe33],"*"&amp;"Nie (przejście"&amp;"*")</f>
        <v>0</v>
      </c>
      <c r="GP138" s="7">
        <f>COUNTIF(AnalizaCzyste[Jakie inne efekty pracy ocenianej uczelni technicznej dostrzegasz obecnie?],"*"&amp;"Nie (przejście"&amp;"*")</f>
        <v>0</v>
      </c>
      <c r="GQ138" s="7">
        <f>COUNTIF(AnalizaCzyste[Czy będziesz oceniać drugą uczelnię?],"*"&amp;"Nie (przejście"&amp;"*")</f>
        <v>2</v>
      </c>
      <c r="GR138" s="7">
        <f>COUNTIF(AnalizaCzyste[Jak się nazywa uczelnia, którą ocenisz?34],"*"&amp;"Nie (przejście"&amp;"*")</f>
        <v>0</v>
      </c>
      <c r="GS138" s="7">
        <f>COUNTIF(AnalizaCzyste[Efekty działań ocenianej uczelni na rzesz jakości edukacji są zgodne ze strategią rozwoju w regionie.35],"*"&amp;"Nie (przejście"&amp;"*")</f>
        <v>0</v>
      </c>
      <c r="GT138" s="7">
        <f>COUNTIF(AnalizaCzyste[Wartość wykształcenia zdobywanego przez studentów na ocenianej uczelni jest wysoka.36],"*"&amp;"Nie (przejście"&amp;"*")</f>
        <v>0</v>
      </c>
      <c r="GU138" s="7">
        <f>COUNTIF(AnalizaCzyste[Zdobyte przez studentów ocenianej uczelni wykształcenie miało/ma pozytywny wpływ na ich zarobki.37],"*"&amp;"Nie (przejście"&amp;"*")</f>
        <v>0</v>
      </c>
      <c r="GV138" s="7">
        <f>COUNTIF(AnalizaCzyste[Efekty działań ocenianej uczelni na rzecz jakości edukacji mają dobry wpływ na rozwój regionu.38],"*"&amp;"Nie (przejście"&amp;"*")</f>
        <v>0</v>
      </c>
      <c r="GW138" s="7">
        <f>COUNTIF(AnalizaCzyste[Efekty działań ocenianej uczelni na rzecz jakości edukacji mają dobry wpływ na rozwój Polski.39],"*"&amp;"Nie (przejście"&amp;"*")</f>
        <v>0</v>
      </c>
      <c r="GX138" s="7">
        <f>COUNTIF(AnalizaCzyste[Współpraca ocenianej uczelni z biznesem ma pozytywne efekty dla rozwoju regionu / kraju.40],"*"&amp;"Nie (przejście"&amp;"*")</f>
        <v>0</v>
      </c>
      <c r="GY138" s="7">
        <f>COUNTIF(AnalizaCzyste[Ogólny poziom mojej satysfakcji z jakości usług edukacyjnych ocenianej uczelni jest wysoki.41],"*"&amp;"Nie (przejście"&amp;"*")</f>
        <v>0</v>
      </c>
      <c r="GZ138" s="7">
        <f>COUNTIF(AnalizaCzyste[Jakie inne efekty pracy ocenianej uczelni dostrzegasz obecnie?],"*"&amp;"Nie (przejście"&amp;"*")</f>
        <v>0</v>
      </c>
      <c r="HA138" s="7">
        <f>COUNTIF(AnalizaCzyste[Czy będziesz oceniać trzecią uczelnię?],"*"&amp;"Nie (przejście"&amp;"*")</f>
        <v>0</v>
      </c>
      <c r="HB138" s="7">
        <f>COUNTIF(AnalizaCzyste[Jak się nazywa uczelnia, którą ocenisz?42],"*"&amp;"Nie (przejście"&amp;"*")</f>
        <v>0</v>
      </c>
      <c r="HC138" s="7">
        <f>COUNTIF(AnalizaCzyste[Efekty działań ocenianej uczelni na rzesz jakości edukacji są zgodne ze strategią rozwoju w regionie.43],"*"&amp;"Nie (przejście"&amp;"*")</f>
        <v>0</v>
      </c>
      <c r="HD138" s="7">
        <f>COUNTIF(AnalizaCzyste[Wartość wykształcenia zdobywanego przez studentów na ocenianej uczelni jest wysoka.44],"*"&amp;"Nie (przejście"&amp;"*")</f>
        <v>0</v>
      </c>
      <c r="HE138" s="7">
        <f>COUNTIF(AnalizaCzyste[Zdobyte przez studentów ocenianej uczelni wykształcenie miało/ma pozytywny wpływ na ich zarobki.45],"*"&amp;"Nie (przejście"&amp;"*")</f>
        <v>0</v>
      </c>
      <c r="HF138" s="7">
        <f>COUNTIF(AnalizaCzyste[Efekty działań ocenianej uczelni na rzecz jakości edukacji mają dobry wpływ na rozwój regionu.46],"*"&amp;"Nie (przejście"&amp;"*")</f>
        <v>0</v>
      </c>
      <c r="HG138" s="7">
        <f>COUNTIF(AnalizaCzyste[Efekty działań ocenianej uczelni na rzecz jakości edukacji mają dobry wpływ na rozwój Polski.47],"*"&amp;"Nie (przejście"&amp;"*")</f>
        <v>0</v>
      </c>
      <c r="HH138" s="7">
        <f>COUNTIF(AnalizaCzyste[Współpraca ocenianej uczelni z biznesem ma pozytywne efekty dla rozwoju regionu / kraju.48],"*"&amp;"Nie (przejście"&amp;"*")</f>
        <v>0</v>
      </c>
      <c r="HI138" s="7">
        <f>COUNTIF(AnalizaCzyste[Ogólny poziom mojej satysfakcji z jakości usług edukacyjnych ocenianej uczelni jest wysoki.49],"*"&amp;"Nie (przejście"&amp;"*")</f>
        <v>0</v>
      </c>
      <c r="HJ138" s="7">
        <f>COUNTIF(AnalizaCzyste[Jakie inne efekty pracy ocenianej uczelni dostrzegasz obecnie?50],"*"&amp;"Nie (przejście"&amp;"*")</f>
        <v>0</v>
      </c>
      <c r="HK138" s="7">
        <f>COUNTIF(AnalizaCzyste[Jakie, Twoim zdaniem, elementy decydują o tym, że uczelnie są lepsze lub gorsze.],"*"&amp;"Nie (przejście"&amp;"*")</f>
        <v>0</v>
      </c>
      <c r="HL138" s="7">
        <f>COUNTIF(AnalizaCzyste[Kolumna51],"*"&amp;"Nie (przejście"&amp;"*")</f>
        <v>0</v>
      </c>
      <c r="HM138" s="7">
        <f>COUNTIF(AnalizaCzyste[Kolumna52],"*"&amp;"Nie (przejście"&amp;"*")</f>
        <v>0</v>
      </c>
      <c r="HN138" s="7">
        <f>COUNTIF(AnalizaCzyste[Płeć],"*"&amp;"Kobieta"&amp;"*")</f>
        <v>67</v>
      </c>
      <c r="HO138" s="7">
        <f>COUNTIF(AnalizaCzyste[Rok urodzenia],"*"&amp;"Nie (przejście"&amp;"*")</f>
        <v>0</v>
      </c>
      <c r="HP138" s="7"/>
      <c r="HQ138" s="7">
        <f>COUNTIF(AnalizaCzyste[Z jakiej wielkości miejscowości pochodzisz? (dotyczy miejscowości, w której się wychowałaś/eś],"*"&amp;"Nie (przejście"&amp;"*")</f>
        <v>0</v>
      </c>
    </row>
    <row r="139" spans="1:229" ht="14.65" thickTop="1" x14ac:dyDescent="0.45">
      <c r="B139" s="20" t="s">
        <v>2294</v>
      </c>
      <c r="P139" s="7">
        <f>COUNTBLANK(AnalizaCzyste[Czy jesteś osobą pełnoletnią?])</f>
        <v>0</v>
      </c>
      <c r="Q139" s="7">
        <f>COUNTBLANK(AnalizaCzyste[Czy jesteś studentem uczelni wyższej?])</f>
        <v>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7">
        <f>COUNTBLANK(AnalizaCzyste[Czy jesteś absolwentem uczelni wyższej?])</f>
        <v>0</v>
      </c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7">
        <f>COUNTBLANK(AnalizaCzyste[Czy jesteś rodzicem / opiekunem absolwenta uczelni wyższej?])</f>
        <v>0</v>
      </c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7">
        <f>COUNTBLANK(AnalizaCzyste[Czy jesteś aktualnie pracownikiem administracyjnym uczelni wyższej?])</f>
        <v>0</v>
      </c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7">
        <f>COUNTBLANK(AnalizaCzyste[Czy jesteś aktualnie pracownikiem naukowym lub dydaktycznym uczelni wyższej?])</f>
        <v>0</v>
      </c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7">
        <f>COUNTBLANK(AnalizaCzyste[Czy jesteś przedstawicielem władz uczelni z grupy rektorów, prorektorów, dziekanów, prodziekanów, członków senatu lub członków rady uczelni?])</f>
        <v>0</v>
      </c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7">
        <f>COUNTBLANK(AnalizaCzyste[Czy jesteś przedstawicielem firmy, w której są zatrudniani absolwenci uczelni wyższych (tytuł licencjata, magistra lub wyższy)?])</f>
        <v>0</v>
      </c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7">
        <f>COUNTBLANK(AnalizaCzyste[Czy jesteś przedstawicielem władz samorządowych lub centralnych Rzeczypospolitej Polskiej?])</f>
        <v>0</v>
      </c>
      <c r="GC139" s="7">
        <f>COUNTBLANK(AnalizaCzyste[Proszę wskaż jaki poziom władzy samorządowej lub centralnej reprezentujesz.])</f>
        <v>66</v>
      </c>
      <c r="GD139" s="7">
        <f>COUNTBLANK(AnalizaCzyste[Proszę o podanie nazwy organu władzy jaki reprezentujesz.])</f>
        <v>131</v>
      </c>
      <c r="GE139" s="7">
        <f>COUNTBLANK(AnalizaCzyste[Ile uczelni będziesz oceniać?26])</f>
        <v>96</v>
      </c>
      <c r="GF139" s="7">
        <f>COUNTBLANK(AnalizaCzyste[Jak się nazywa uczelnia, którą ocenisz?])</f>
        <v>131</v>
      </c>
      <c r="GG139" s="7">
        <f>COUNTBLANK(AnalizaCzyste[Efekty działań ocenianej uczelni na rzesz jakości edukacji są zgodne ze strategią rozwoju w regionie.])</f>
        <v>131</v>
      </c>
      <c r="GH139" s="7">
        <f>COUNTBLANK(AnalizaCzyste[Wartość wykształcenia zdobywanego przez studentów na ocenianej uczelni jest wysoka.27])</f>
        <v>131</v>
      </c>
      <c r="GI139" s="7">
        <f>COUNTBLANK(AnalizaCzyste[Zdobyte przez studentów ocenianej uczelni wykształcenie miało/ma pozytywny wpływ na ich zarobki.28])</f>
        <v>131</v>
      </c>
      <c r="GJ139" s="7">
        <f>COUNTBLANK(AnalizaCzyste[Efekty działań ocenianej uczelni na rzecz jakości edukacji mają dobry wpływ na rozwój regionu.29])</f>
        <v>131</v>
      </c>
      <c r="GK139" s="7">
        <f>COUNTBLANK(AnalizaCzyste[Efekty działań ocenianej uczelni na rzecz jakości edukacji mają dobry wpływ na rozwój Polski.30])</f>
        <v>131</v>
      </c>
      <c r="GL139" s="7">
        <f>COUNTBLANK(AnalizaCzyste[Współpraca ocenianej uczelni z biznesem ma pozytywne efekty dla rozwoju regionu / kraju.31])</f>
        <v>131</v>
      </c>
      <c r="GM139" s="7">
        <f>COUNTBLANK(AnalizaCzyste[Ogólny poziom mojej satysfakcji z jakości usług edukacyjnych ocenianej uczelni jest wysoki.32])</f>
        <v>131</v>
      </c>
      <c r="GN139" s="7"/>
      <c r="GO139" s="7">
        <f>COUNTBLANK(AnalizaCzyste[Pole dodatkowe33])</f>
        <v>133</v>
      </c>
      <c r="GP139" s="7">
        <f>COUNTBLANK(AnalizaCzyste[Jakie inne efekty pracy ocenianej uczelni technicznej dostrzegasz obecnie?])</f>
        <v>132</v>
      </c>
      <c r="GQ139" s="7">
        <f>COUNTBLANK(AnalizaCzyste[Czy będziesz oceniać drugą uczelnię?])</f>
        <v>131</v>
      </c>
      <c r="GR139" s="7">
        <f>COUNTBLANK(AnalizaCzyste[Jak się nazywa uczelnia, którą ocenisz?34])</f>
        <v>133</v>
      </c>
      <c r="GS139" s="7">
        <f>COUNTBLANK(AnalizaCzyste[Efekty działań ocenianej uczelni na rzesz jakości edukacji są zgodne ze strategią rozwoju w regionie.35])</f>
        <v>133</v>
      </c>
      <c r="GT139" s="7">
        <f>COUNTBLANK(AnalizaCzyste[Wartość wykształcenia zdobywanego przez studentów na ocenianej uczelni jest wysoka.36])</f>
        <v>133</v>
      </c>
      <c r="GU139" s="7">
        <f>COUNTBLANK(AnalizaCzyste[Zdobyte przez studentów ocenianej uczelni wykształcenie miało/ma pozytywny wpływ na ich zarobki.37])</f>
        <v>133</v>
      </c>
      <c r="GV139" s="7">
        <f>COUNTBLANK(AnalizaCzyste[Efekty działań ocenianej uczelni na rzecz jakości edukacji mają dobry wpływ na rozwój regionu.38])</f>
        <v>133</v>
      </c>
      <c r="GW139" s="7">
        <f>COUNTBLANK(AnalizaCzyste[Efekty działań ocenianej uczelni na rzecz jakości edukacji mają dobry wpływ na rozwój Polski.39])</f>
        <v>133</v>
      </c>
      <c r="GX139" s="7">
        <f>COUNTBLANK(AnalizaCzyste[Współpraca ocenianej uczelni z biznesem ma pozytywne efekty dla rozwoju regionu / kraju.40])</f>
        <v>133</v>
      </c>
      <c r="GY139" s="7">
        <f>COUNTBLANK(AnalizaCzyste[Ogólny poziom mojej satysfakcji z jakości usług edukacyjnych ocenianej uczelni jest wysoki.41])</f>
        <v>133</v>
      </c>
      <c r="GZ139" s="7">
        <f>COUNTBLANK(AnalizaCzyste[Jakie inne efekty pracy ocenianej uczelni dostrzegasz obecnie?])</f>
        <v>133</v>
      </c>
      <c r="HA139" s="7">
        <f>COUNTBLANK(AnalizaCzyste[Czy będziesz oceniać trzecią uczelnię?])</f>
        <v>133</v>
      </c>
      <c r="HB139" s="7">
        <f>COUNTBLANK(AnalizaCzyste[Jak się nazywa uczelnia, którą ocenisz?42])</f>
        <v>133</v>
      </c>
      <c r="HC139" s="7">
        <f>COUNTBLANK(AnalizaCzyste[Efekty działań ocenianej uczelni na rzesz jakości edukacji są zgodne ze strategią rozwoju w regionie.43])</f>
        <v>133</v>
      </c>
      <c r="HD139" s="7">
        <f>COUNTBLANK(AnalizaCzyste[Wartość wykształcenia zdobywanego przez studentów na ocenianej uczelni jest wysoka.44])</f>
        <v>133</v>
      </c>
      <c r="HE139" s="7">
        <f>COUNTBLANK(AnalizaCzyste[Zdobyte przez studentów ocenianej uczelni wykształcenie miało/ma pozytywny wpływ na ich zarobki.45])</f>
        <v>133</v>
      </c>
      <c r="HF139" s="7">
        <f>COUNTBLANK(AnalizaCzyste[Efekty działań ocenianej uczelni na rzecz jakości edukacji mają dobry wpływ na rozwój regionu.46])</f>
        <v>133</v>
      </c>
      <c r="HG139" s="7">
        <f>COUNTBLANK(AnalizaCzyste[Efekty działań ocenianej uczelni na rzecz jakości edukacji mają dobry wpływ na rozwój Polski.47])</f>
        <v>133</v>
      </c>
      <c r="HH139" s="7">
        <f>COUNTBLANK(AnalizaCzyste[Współpraca ocenianej uczelni z biznesem ma pozytywne efekty dla rozwoju regionu / kraju.48])</f>
        <v>133</v>
      </c>
      <c r="HI139" s="7">
        <f>COUNTBLANK(AnalizaCzyste[Ogólny poziom mojej satysfakcji z jakości usług edukacyjnych ocenianej uczelni jest wysoki.49])</f>
        <v>133</v>
      </c>
      <c r="HJ139" s="7">
        <f>COUNTBLANK(AnalizaCzyste[Jakie inne efekty pracy ocenianej uczelni dostrzegasz obecnie?50])</f>
        <v>133</v>
      </c>
      <c r="HK139" s="7">
        <f>COUNTBLANK(AnalizaCzyste[Jakie, Twoim zdaniem, elementy decydują o tym, że uczelnie są lepsze lub gorsze.])</f>
        <v>1</v>
      </c>
      <c r="HL139" s="7">
        <f>COUNTBLANK(AnalizaCzyste[Kolumna51])</f>
        <v>1</v>
      </c>
      <c r="HM139" s="7">
        <f>COUNTBLANK(AnalizaCzyste[Kolumna52])</f>
        <v>1</v>
      </c>
      <c r="HN139" s="7">
        <f>COUNTBLANK(AnalizaCzyste[Płeć])</f>
        <v>0</v>
      </c>
      <c r="HO139" s="7">
        <f>COUNTBLANK(AnalizaCzyste[Rok urodzenia])</f>
        <v>0</v>
      </c>
      <c r="HP139" s="7"/>
      <c r="HQ139" s="7">
        <f>COUNTBLANK(AnalizaCzyste[Z jakiej wielkości miejscowości pochodzisz? (dotyczy miejscowości, w której się wychowałaś/eś])</f>
        <v>0</v>
      </c>
    </row>
    <row r="140" spans="1:229" ht="14.65" thickBot="1" x14ac:dyDescent="0.5">
      <c r="P140">
        <f>SUM(P137:P139)</f>
        <v>133</v>
      </c>
      <c r="Q140">
        <f t="shared" ref="Q140:CJ140" si="7">SUM(Q137:Q139)</f>
        <v>133</v>
      </c>
      <c r="R140">
        <f t="shared" si="7"/>
        <v>0</v>
      </c>
      <c r="S140">
        <f t="shared" si="7"/>
        <v>0</v>
      </c>
      <c r="T140">
        <f t="shared" si="7"/>
        <v>0</v>
      </c>
      <c r="U140">
        <f t="shared" si="7"/>
        <v>0</v>
      </c>
      <c r="W140">
        <f t="shared" si="7"/>
        <v>0</v>
      </c>
      <c r="X140">
        <f t="shared" si="7"/>
        <v>0</v>
      </c>
      <c r="Y140">
        <f t="shared" si="7"/>
        <v>0</v>
      </c>
      <c r="Z140">
        <f t="shared" si="7"/>
        <v>0</v>
      </c>
      <c r="AA140">
        <f t="shared" si="7"/>
        <v>0</v>
      </c>
      <c r="AB140">
        <f t="shared" si="7"/>
        <v>0</v>
      </c>
      <c r="AC140">
        <f t="shared" si="7"/>
        <v>0</v>
      </c>
      <c r="AD140">
        <f t="shared" si="7"/>
        <v>0</v>
      </c>
      <c r="AE140">
        <f t="shared" si="7"/>
        <v>0</v>
      </c>
      <c r="AF140">
        <f t="shared" si="7"/>
        <v>0</v>
      </c>
      <c r="AG140">
        <f t="shared" si="7"/>
        <v>0</v>
      </c>
      <c r="AH140">
        <f t="shared" si="7"/>
        <v>133</v>
      </c>
      <c r="AI140">
        <f t="shared" si="7"/>
        <v>0</v>
      </c>
      <c r="AM140">
        <f t="shared" si="7"/>
        <v>0</v>
      </c>
      <c r="AN140">
        <f t="shared" si="7"/>
        <v>0</v>
      </c>
      <c r="AO140">
        <f t="shared" si="7"/>
        <v>0</v>
      </c>
      <c r="AP140">
        <f t="shared" si="7"/>
        <v>0</v>
      </c>
      <c r="AR140">
        <f t="shared" si="7"/>
        <v>0</v>
      </c>
      <c r="AS140">
        <f t="shared" si="7"/>
        <v>0</v>
      </c>
      <c r="AT140">
        <f t="shared" si="7"/>
        <v>0</v>
      </c>
      <c r="AU140">
        <f t="shared" si="7"/>
        <v>0</v>
      </c>
      <c r="AV140">
        <f t="shared" si="7"/>
        <v>0</v>
      </c>
      <c r="AW140">
        <f t="shared" si="7"/>
        <v>0</v>
      </c>
      <c r="AY140">
        <f t="shared" si="7"/>
        <v>0</v>
      </c>
      <c r="BA140">
        <f t="shared" si="7"/>
        <v>0</v>
      </c>
      <c r="BB140">
        <f t="shared" si="7"/>
        <v>0</v>
      </c>
      <c r="BC140">
        <f t="shared" si="7"/>
        <v>0</v>
      </c>
      <c r="BD140">
        <f t="shared" si="7"/>
        <v>0</v>
      </c>
      <c r="BE140">
        <f t="shared" si="7"/>
        <v>0</v>
      </c>
      <c r="BF140">
        <f t="shared" si="7"/>
        <v>133</v>
      </c>
      <c r="BG140">
        <f t="shared" si="7"/>
        <v>0</v>
      </c>
      <c r="BH140">
        <f t="shared" si="7"/>
        <v>0</v>
      </c>
      <c r="BI140">
        <f t="shared" si="7"/>
        <v>0</v>
      </c>
      <c r="BJ140">
        <f t="shared" si="7"/>
        <v>0</v>
      </c>
      <c r="BK140">
        <f t="shared" si="7"/>
        <v>0</v>
      </c>
      <c r="BL140">
        <f t="shared" si="7"/>
        <v>0</v>
      </c>
      <c r="BN140">
        <f t="shared" si="7"/>
        <v>0</v>
      </c>
      <c r="BO140">
        <f t="shared" si="7"/>
        <v>0</v>
      </c>
      <c r="BP140">
        <f t="shared" si="7"/>
        <v>0</v>
      </c>
      <c r="BQ140">
        <f t="shared" si="7"/>
        <v>0</v>
      </c>
      <c r="BR140">
        <f t="shared" si="7"/>
        <v>0</v>
      </c>
      <c r="BS140">
        <f t="shared" si="7"/>
        <v>0</v>
      </c>
      <c r="BT140">
        <f t="shared" si="7"/>
        <v>0</v>
      </c>
      <c r="BU140">
        <f t="shared" si="7"/>
        <v>0</v>
      </c>
      <c r="BV140">
        <f t="shared" si="7"/>
        <v>0</v>
      </c>
      <c r="BW140">
        <f t="shared" si="7"/>
        <v>0</v>
      </c>
      <c r="BX140">
        <f t="shared" si="7"/>
        <v>0</v>
      </c>
      <c r="BY140">
        <f t="shared" si="7"/>
        <v>0</v>
      </c>
      <c r="BZ140">
        <f t="shared" si="7"/>
        <v>0</v>
      </c>
      <c r="CA140">
        <f t="shared" si="7"/>
        <v>0</v>
      </c>
      <c r="CB140">
        <f t="shared" si="7"/>
        <v>0</v>
      </c>
      <c r="CC140">
        <f t="shared" si="7"/>
        <v>0</v>
      </c>
      <c r="CD140">
        <f t="shared" si="7"/>
        <v>0</v>
      </c>
      <c r="CE140">
        <f t="shared" si="7"/>
        <v>0</v>
      </c>
      <c r="CF140">
        <f t="shared" si="7"/>
        <v>0</v>
      </c>
      <c r="CG140">
        <f t="shared" si="7"/>
        <v>0</v>
      </c>
      <c r="CH140">
        <f t="shared" si="7"/>
        <v>0</v>
      </c>
      <c r="CI140">
        <f t="shared" si="7"/>
        <v>0</v>
      </c>
      <c r="CJ140">
        <f t="shared" si="7"/>
        <v>0</v>
      </c>
      <c r="CK140">
        <f t="shared" ref="CK140:DW140" si="8">SUM(CK137:CK139)</f>
        <v>0</v>
      </c>
      <c r="CL140">
        <f t="shared" si="8"/>
        <v>0</v>
      </c>
      <c r="CM140">
        <f t="shared" si="8"/>
        <v>0</v>
      </c>
      <c r="CN140">
        <f t="shared" si="8"/>
        <v>0</v>
      </c>
      <c r="CO140">
        <f t="shared" si="8"/>
        <v>0</v>
      </c>
      <c r="CP140">
        <f t="shared" si="8"/>
        <v>0</v>
      </c>
      <c r="CQ140">
        <f t="shared" si="8"/>
        <v>0</v>
      </c>
      <c r="CR140">
        <f t="shared" si="8"/>
        <v>0</v>
      </c>
      <c r="CS140">
        <f t="shared" si="8"/>
        <v>0</v>
      </c>
      <c r="CT140">
        <f t="shared" si="8"/>
        <v>0</v>
      </c>
      <c r="CU140">
        <f t="shared" si="8"/>
        <v>0</v>
      </c>
      <c r="CV140">
        <f t="shared" si="8"/>
        <v>0</v>
      </c>
      <c r="CW140">
        <f t="shared" si="8"/>
        <v>0</v>
      </c>
      <c r="CX140">
        <f t="shared" si="8"/>
        <v>0</v>
      </c>
      <c r="CY140">
        <f t="shared" si="8"/>
        <v>0</v>
      </c>
      <c r="CZ140">
        <f t="shared" si="8"/>
        <v>0</v>
      </c>
      <c r="DA140">
        <f t="shared" si="8"/>
        <v>133</v>
      </c>
      <c r="DB140">
        <f t="shared" si="8"/>
        <v>0</v>
      </c>
      <c r="DC140">
        <f t="shared" si="8"/>
        <v>0</v>
      </c>
      <c r="DD140">
        <f t="shared" si="8"/>
        <v>0</v>
      </c>
      <c r="DF140">
        <f t="shared" si="8"/>
        <v>0</v>
      </c>
      <c r="DG140">
        <f t="shared" si="8"/>
        <v>0</v>
      </c>
      <c r="DH140">
        <f t="shared" si="8"/>
        <v>0</v>
      </c>
      <c r="DI140">
        <f t="shared" si="8"/>
        <v>0</v>
      </c>
      <c r="DJ140">
        <f t="shared" si="8"/>
        <v>0</v>
      </c>
      <c r="DK140">
        <f t="shared" si="8"/>
        <v>0</v>
      </c>
      <c r="DL140">
        <f t="shared" si="8"/>
        <v>133</v>
      </c>
      <c r="DM140">
        <f t="shared" si="8"/>
        <v>0</v>
      </c>
      <c r="DN140">
        <f t="shared" si="8"/>
        <v>0</v>
      </c>
      <c r="DO140">
        <f t="shared" si="8"/>
        <v>0</v>
      </c>
      <c r="DQ140">
        <f t="shared" si="8"/>
        <v>0</v>
      </c>
      <c r="DR140">
        <f t="shared" si="8"/>
        <v>0</v>
      </c>
      <c r="DS140">
        <f t="shared" si="8"/>
        <v>0</v>
      </c>
      <c r="DT140">
        <f t="shared" si="8"/>
        <v>0</v>
      </c>
      <c r="DU140">
        <f t="shared" si="8"/>
        <v>0</v>
      </c>
      <c r="DV140">
        <f t="shared" si="8"/>
        <v>0</v>
      </c>
      <c r="DW140">
        <f t="shared" si="8"/>
        <v>133</v>
      </c>
      <c r="DX140">
        <f>SUM(DX137:DX139)</f>
        <v>0</v>
      </c>
      <c r="DY140">
        <f t="shared" ref="DY140:GL140" si="9">SUM(DY137:DY139)</f>
        <v>0</v>
      </c>
      <c r="DZ140">
        <f t="shared" si="9"/>
        <v>0</v>
      </c>
      <c r="EA140">
        <f t="shared" si="9"/>
        <v>0</v>
      </c>
      <c r="EB140">
        <f t="shared" si="9"/>
        <v>0</v>
      </c>
      <c r="EC140">
        <f t="shared" si="9"/>
        <v>0</v>
      </c>
      <c r="ED140">
        <f t="shared" si="9"/>
        <v>0</v>
      </c>
      <c r="EE140">
        <f t="shared" si="9"/>
        <v>0</v>
      </c>
      <c r="EF140">
        <f t="shared" si="9"/>
        <v>0</v>
      </c>
      <c r="EG140">
        <f t="shared" si="9"/>
        <v>0</v>
      </c>
      <c r="EH140">
        <f t="shared" si="9"/>
        <v>0</v>
      </c>
      <c r="EI140">
        <f t="shared" si="9"/>
        <v>0</v>
      </c>
      <c r="EK140">
        <f t="shared" si="9"/>
        <v>0</v>
      </c>
      <c r="EL140">
        <f t="shared" si="9"/>
        <v>0</v>
      </c>
      <c r="EM140">
        <f t="shared" si="9"/>
        <v>0</v>
      </c>
      <c r="EN140">
        <f t="shared" si="9"/>
        <v>0</v>
      </c>
      <c r="EO140">
        <f t="shared" si="9"/>
        <v>0</v>
      </c>
      <c r="EP140">
        <f t="shared" si="9"/>
        <v>0</v>
      </c>
      <c r="EQ140">
        <f t="shared" si="9"/>
        <v>0</v>
      </c>
      <c r="ER140">
        <f t="shared" si="9"/>
        <v>0</v>
      </c>
      <c r="ES140">
        <f t="shared" si="9"/>
        <v>0</v>
      </c>
      <c r="ET140">
        <f t="shared" si="9"/>
        <v>0</v>
      </c>
      <c r="EU140">
        <f t="shared" si="9"/>
        <v>0</v>
      </c>
      <c r="EV140">
        <f t="shared" si="9"/>
        <v>0</v>
      </c>
      <c r="EW140">
        <f t="shared" si="9"/>
        <v>0</v>
      </c>
      <c r="EX140">
        <f t="shared" si="9"/>
        <v>0</v>
      </c>
      <c r="EY140">
        <f t="shared" si="9"/>
        <v>0</v>
      </c>
      <c r="EZ140">
        <f t="shared" si="9"/>
        <v>0</v>
      </c>
      <c r="FA140">
        <f t="shared" si="9"/>
        <v>133</v>
      </c>
      <c r="FB140">
        <f t="shared" si="9"/>
        <v>0</v>
      </c>
      <c r="FC140">
        <f t="shared" si="9"/>
        <v>0</v>
      </c>
      <c r="FD140">
        <f t="shared" si="9"/>
        <v>0</v>
      </c>
      <c r="FE140">
        <f t="shared" si="9"/>
        <v>0</v>
      </c>
      <c r="FG140">
        <f t="shared" si="9"/>
        <v>0</v>
      </c>
      <c r="FH140">
        <f t="shared" si="9"/>
        <v>0</v>
      </c>
      <c r="FI140">
        <f t="shared" si="9"/>
        <v>0</v>
      </c>
      <c r="FJ140">
        <f t="shared" si="9"/>
        <v>0</v>
      </c>
      <c r="FK140">
        <f t="shared" si="9"/>
        <v>0</v>
      </c>
      <c r="FL140">
        <f t="shared" si="9"/>
        <v>0</v>
      </c>
      <c r="FM140">
        <f t="shared" si="9"/>
        <v>0</v>
      </c>
      <c r="FN140">
        <f t="shared" si="9"/>
        <v>0</v>
      </c>
      <c r="FO140">
        <f t="shared" si="9"/>
        <v>0</v>
      </c>
      <c r="FP140">
        <f t="shared" si="9"/>
        <v>0</v>
      </c>
      <c r="FQ140">
        <f t="shared" si="9"/>
        <v>0</v>
      </c>
      <c r="FR140">
        <f t="shared" si="9"/>
        <v>0</v>
      </c>
      <c r="FS140">
        <f t="shared" si="9"/>
        <v>0</v>
      </c>
      <c r="FT140">
        <f t="shared" si="9"/>
        <v>0</v>
      </c>
      <c r="FU140">
        <f t="shared" si="9"/>
        <v>0</v>
      </c>
      <c r="FV140">
        <f t="shared" si="9"/>
        <v>0</v>
      </c>
      <c r="FW140">
        <f t="shared" si="9"/>
        <v>0</v>
      </c>
      <c r="FX140">
        <f t="shared" si="9"/>
        <v>0</v>
      </c>
      <c r="FY140">
        <f t="shared" si="9"/>
        <v>0</v>
      </c>
      <c r="FZ140">
        <f t="shared" si="9"/>
        <v>0</v>
      </c>
      <c r="GA140">
        <f t="shared" si="9"/>
        <v>0</v>
      </c>
      <c r="GB140">
        <f t="shared" si="9"/>
        <v>133</v>
      </c>
      <c r="GC140">
        <f t="shared" si="9"/>
        <v>66</v>
      </c>
      <c r="GD140">
        <f t="shared" si="9"/>
        <v>131</v>
      </c>
      <c r="GE140">
        <f t="shared" si="9"/>
        <v>96</v>
      </c>
      <c r="GF140">
        <f t="shared" si="9"/>
        <v>131</v>
      </c>
      <c r="GG140">
        <f t="shared" si="9"/>
        <v>131</v>
      </c>
      <c r="GH140">
        <f t="shared" si="9"/>
        <v>131</v>
      </c>
      <c r="GI140">
        <f t="shared" si="9"/>
        <v>131</v>
      </c>
      <c r="GJ140">
        <f t="shared" si="9"/>
        <v>131</v>
      </c>
      <c r="GK140">
        <f t="shared" si="9"/>
        <v>131</v>
      </c>
      <c r="GL140">
        <f t="shared" si="9"/>
        <v>131</v>
      </c>
      <c r="GM140">
        <f t="shared" ref="GM140:HN140" si="10">SUM(GM137:GM139)</f>
        <v>131</v>
      </c>
      <c r="GO140">
        <f t="shared" si="10"/>
        <v>133</v>
      </c>
      <c r="GP140">
        <f t="shared" si="10"/>
        <v>132</v>
      </c>
      <c r="GQ140">
        <f t="shared" si="10"/>
        <v>133</v>
      </c>
      <c r="GR140">
        <f t="shared" si="10"/>
        <v>133</v>
      </c>
      <c r="GS140">
        <f t="shared" si="10"/>
        <v>133</v>
      </c>
      <c r="GT140">
        <f t="shared" si="10"/>
        <v>133</v>
      </c>
      <c r="GU140">
        <f t="shared" si="10"/>
        <v>133</v>
      </c>
      <c r="GV140">
        <f t="shared" si="10"/>
        <v>133</v>
      </c>
      <c r="GW140">
        <f t="shared" si="10"/>
        <v>133</v>
      </c>
      <c r="GX140">
        <f t="shared" si="10"/>
        <v>133</v>
      </c>
      <c r="GY140">
        <f t="shared" si="10"/>
        <v>133</v>
      </c>
      <c r="GZ140">
        <f t="shared" si="10"/>
        <v>133</v>
      </c>
      <c r="HA140">
        <f t="shared" si="10"/>
        <v>133</v>
      </c>
      <c r="HB140">
        <f t="shared" si="10"/>
        <v>133</v>
      </c>
      <c r="HC140">
        <f t="shared" si="10"/>
        <v>133</v>
      </c>
      <c r="HD140">
        <f t="shared" si="10"/>
        <v>133</v>
      </c>
      <c r="HE140">
        <f t="shared" si="10"/>
        <v>133</v>
      </c>
      <c r="HF140">
        <f t="shared" si="10"/>
        <v>133</v>
      </c>
      <c r="HG140">
        <f t="shared" si="10"/>
        <v>133</v>
      </c>
      <c r="HH140">
        <f t="shared" si="10"/>
        <v>133</v>
      </c>
      <c r="HI140">
        <f t="shared" si="10"/>
        <v>133</v>
      </c>
      <c r="HJ140">
        <f t="shared" si="10"/>
        <v>133</v>
      </c>
      <c r="HK140">
        <f t="shared" si="10"/>
        <v>6</v>
      </c>
      <c r="HL140">
        <f t="shared" si="10"/>
        <v>11</v>
      </c>
      <c r="HM140">
        <f t="shared" si="10"/>
        <v>4</v>
      </c>
      <c r="HN140">
        <f t="shared" si="10"/>
        <v>133</v>
      </c>
      <c r="HO140">
        <f>SUM(HO136,HO139)</f>
        <v>133</v>
      </c>
      <c r="HQ140">
        <f>SUM(HQ136,HQ139)</f>
        <v>133</v>
      </c>
    </row>
    <row r="141" spans="1:229" ht="14.65" thickTop="1" x14ac:dyDescent="0.45">
      <c r="Q141" s="7"/>
      <c r="EK141">
        <f t="shared" ref="EK141:EQ141" si="11">SUM(EK66,EK67,EK74,EK84,EK87)</f>
        <v>0</v>
      </c>
      <c r="EL141">
        <f t="shared" si="11"/>
        <v>0</v>
      </c>
      <c r="EM141">
        <f t="shared" si="11"/>
        <v>0</v>
      </c>
      <c r="EN141">
        <f t="shared" si="11"/>
        <v>0</v>
      </c>
      <c r="EO141">
        <f t="shared" si="11"/>
        <v>0</v>
      </c>
      <c r="EP141">
        <f t="shared" si="11"/>
        <v>0</v>
      </c>
      <c r="EQ141">
        <f t="shared" si="11"/>
        <v>0</v>
      </c>
      <c r="ER141">
        <f>SUM(EK141:EQ141)</f>
        <v>0</v>
      </c>
      <c r="ES141">
        <f t="shared" ref="ES141:EY141" si="12">SUM(ES66,ES67,ES74,ES84,ES87)</f>
        <v>0</v>
      </c>
      <c r="ET141">
        <f t="shared" si="12"/>
        <v>0</v>
      </c>
      <c r="EU141">
        <f t="shared" si="12"/>
        <v>0</v>
      </c>
      <c r="EV141">
        <f t="shared" si="12"/>
        <v>0</v>
      </c>
      <c r="EW141">
        <f t="shared" si="12"/>
        <v>0</v>
      </c>
      <c r="EX141">
        <f t="shared" si="12"/>
        <v>0</v>
      </c>
      <c r="EY141">
        <f t="shared" si="12"/>
        <v>0</v>
      </c>
      <c r="EZ141">
        <f>SUM(ES141:EY141)</f>
        <v>0</v>
      </c>
    </row>
    <row r="142" spans="1:229" x14ac:dyDescent="0.45">
      <c r="EK142" s="33" t="e">
        <f t="shared" ref="EK142:EQ142" si="13">EK141/$ER$141</f>
        <v>#DIV/0!</v>
      </c>
      <c r="EL142" s="33" t="e">
        <f t="shared" si="13"/>
        <v>#DIV/0!</v>
      </c>
      <c r="EM142" s="33" t="e">
        <f t="shared" si="13"/>
        <v>#DIV/0!</v>
      </c>
      <c r="EN142" s="33" t="e">
        <f t="shared" si="13"/>
        <v>#DIV/0!</v>
      </c>
      <c r="EO142" s="33" t="e">
        <f t="shared" si="13"/>
        <v>#DIV/0!</v>
      </c>
      <c r="EP142" s="33" t="e">
        <f t="shared" si="13"/>
        <v>#DIV/0!</v>
      </c>
      <c r="EQ142" s="33" t="e">
        <f t="shared" si="13"/>
        <v>#DIV/0!</v>
      </c>
      <c r="ER142" s="33" t="e">
        <f>SUM(EK142:EQ142)</f>
        <v>#DIV/0!</v>
      </c>
      <c r="ES142" s="33" t="e">
        <f t="shared" ref="ES142:EY142" si="14">ES141/$ER$141</f>
        <v>#DIV/0!</v>
      </c>
      <c r="ET142" s="33" t="e">
        <f t="shared" si="14"/>
        <v>#DIV/0!</v>
      </c>
      <c r="EU142" s="33" t="e">
        <f t="shared" si="14"/>
        <v>#DIV/0!</v>
      </c>
      <c r="EV142" s="33" t="e">
        <f t="shared" si="14"/>
        <v>#DIV/0!</v>
      </c>
      <c r="EW142" s="33" t="e">
        <f t="shared" si="14"/>
        <v>#DIV/0!</v>
      </c>
      <c r="EX142" s="33" t="e">
        <f t="shared" si="14"/>
        <v>#DIV/0!</v>
      </c>
      <c r="EY142" s="33" t="e">
        <f t="shared" si="14"/>
        <v>#DIV/0!</v>
      </c>
      <c r="EZ142" s="33" t="e">
        <f>SUM(ES142:EY142)</f>
        <v>#DIV/0!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L2:L135">
    <cfRule type="duplicateValues" dxfId="2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A2:V207"/>
  <sheetViews>
    <sheetView tabSelected="1" topLeftCell="A178" workbookViewId="0">
      <selection activeCell="E191" sqref="E191"/>
    </sheetView>
  </sheetViews>
  <sheetFormatPr defaultRowHeight="14.25" x14ac:dyDescent="0.45"/>
  <cols>
    <col min="1" max="1" width="18.33203125" customWidth="1"/>
    <col min="2" max="2" width="35.265625" customWidth="1"/>
    <col min="3" max="3" width="23.6640625" customWidth="1"/>
    <col min="4" max="4" width="12.73046875" customWidth="1"/>
    <col min="5" max="5" width="12.796875" customWidth="1"/>
    <col min="6" max="6" width="17.73046875" customWidth="1"/>
    <col min="7" max="7" width="20.6640625" customWidth="1"/>
  </cols>
  <sheetData>
    <row r="2" spans="2:4" x14ac:dyDescent="0.45">
      <c r="B2" s="20" t="s">
        <v>2315</v>
      </c>
      <c r="C2" s="20" t="s">
        <v>2312</v>
      </c>
    </row>
    <row r="3" spans="2:4" x14ac:dyDescent="0.45">
      <c r="B3">
        <v>1930</v>
      </c>
      <c r="C3" s="20" t="s">
        <v>2314</v>
      </c>
    </row>
    <row r="4" spans="2:4" x14ac:dyDescent="0.45">
      <c r="B4">
        <v>1955</v>
      </c>
      <c r="C4" s="20" t="s">
        <v>2449</v>
      </c>
    </row>
    <row r="5" spans="2:4" x14ac:dyDescent="0.45">
      <c r="B5">
        <v>1965</v>
      </c>
      <c r="C5" s="20" t="s">
        <v>2450</v>
      </c>
    </row>
    <row r="6" spans="2:4" x14ac:dyDescent="0.45">
      <c r="B6">
        <v>1975</v>
      </c>
      <c r="C6" s="20" t="s">
        <v>2451</v>
      </c>
    </row>
    <row r="7" spans="2:4" x14ac:dyDescent="0.45">
      <c r="B7">
        <v>1985</v>
      </c>
      <c r="C7" s="20" t="s">
        <v>2452</v>
      </c>
    </row>
    <row r="8" spans="2:4" x14ac:dyDescent="0.45">
      <c r="B8">
        <v>1995</v>
      </c>
      <c r="C8" s="20" t="s">
        <v>2313</v>
      </c>
    </row>
    <row r="9" spans="2:4" x14ac:dyDescent="0.45">
      <c r="C9" s="20"/>
    </row>
    <row r="10" spans="2:4" x14ac:dyDescent="0.45">
      <c r="C10" s="20"/>
    </row>
    <row r="11" spans="2:4" x14ac:dyDescent="0.45">
      <c r="B11" s="20" t="s">
        <v>2319</v>
      </c>
      <c r="C11" s="20" t="s">
        <v>2324</v>
      </c>
      <c r="D11" s="20" t="s">
        <v>2462</v>
      </c>
    </row>
    <row r="12" spans="2:4" x14ac:dyDescent="0.45">
      <c r="B12" s="28" t="s">
        <v>987</v>
      </c>
      <c r="C12" s="20" t="s">
        <v>2323</v>
      </c>
      <c r="D12" t="s">
        <v>2463</v>
      </c>
    </row>
    <row r="13" spans="2:4" x14ac:dyDescent="0.45">
      <c r="B13" s="28" t="s">
        <v>234</v>
      </c>
      <c r="C13" s="20" t="s">
        <v>2321</v>
      </c>
      <c r="D13" t="s">
        <v>2463</v>
      </c>
    </row>
    <row r="14" spans="2:4" x14ac:dyDescent="0.45">
      <c r="B14" s="28" t="s">
        <v>2270</v>
      </c>
      <c r="C14" s="20" t="s">
        <v>2321</v>
      </c>
      <c r="D14" t="s">
        <v>2463</v>
      </c>
    </row>
    <row r="15" spans="2:4" x14ac:dyDescent="0.45">
      <c r="B15" s="28" t="s">
        <v>2269</v>
      </c>
      <c r="C15" s="20" t="s">
        <v>2321</v>
      </c>
      <c r="D15" t="s">
        <v>2463</v>
      </c>
    </row>
    <row r="16" spans="2:4" x14ac:dyDescent="0.45">
      <c r="B16" s="28" t="s">
        <v>2268</v>
      </c>
      <c r="C16" s="20" t="s">
        <v>2321</v>
      </c>
      <c r="D16" t="s">
        <v>2463</v>
      </c>
    </row>
    <row r="17" spans="2:4" x14ac:dyDescent="0.45">
      <c r="B17" s="28" t="s">
        <v>995</v>
      </c>
      <c r="C17" s="20" t="s">
        <v>2321</v>
      </c>
      <c r="D17" t="s">
        <v>2463</v>
      </c>
    </row>
    <row r="18" spans="2:4" x14ac:dyDescent="0.45">
      <c r="B18" s="28" t="s">
        <v>1461</v>
      </c>
      <c r="C18" s="20" t="s">
        <v>2321</v>
      </c>
      <c r="D18" t="s">
        <v>2463</v>
      </c>
    </row>
    <row r="19" spans="2:4" x14ac:dyDescent="0.45">
      <c r="B19" s="28" t="s">
        <v>428</v>
      </c>
      <c r="C19" s="20" t="s">
        <v>2321</v>
      </c>
      <c r="D19" t="s">
        <v>2463</v>
      </c>
    </row>
    <row r="20" spans="2:4" x14ac:dyDescent="0.45">
      <c r="B20" s="28" t="s">
        <v>862</v>
      </c>
      <c r="C20" s="20" t="s">
        <v>2321</v>
      </c>
      <c r="D20" t="s">
        <v>2463</v>
      </c>
    </row>
    <row r="21" spans="2:4" x14ac:dyDescent="0.45">
      <c r="B21" s="28" t="s">
        <v>1290</v>
      </c>
      <c r="C21" s="20" t="s">
        <v>2323</v>
      </c>
      <c r="D21" t="s">
        <v>2463</v>
      </c>
    </row>
    <row r="22" spans="2:4" x14ac:dyDescent="0.45">
      <c r="B22" s="28" t="s">
        <v>1514</v>
      </c>
      <c r="C22" s="20" t="s">
        <v>2322</v>
      </c>
      <c r="D22" t="s">
        <v>2463</v>
      </c>
    </row>
    <row r="23" spans="2:4" ht="28.5" x14ac:dyDescent="0.45">
      <c r="B23" s="28" t="s">
        <v>2271</v>
      </c>
      <c r="C23" s="20" t="s">
        <v>2321</v>
      </c>
      <c r="D23" t="s">
        <v>2463</v>
      </c>
    </row>
    <row r="24" spans="2:4" x14ac:dyDescent="0.45">
      <c r="B24" s="28" t="s">
        <v>553</v>
      </c>
      <c r="C24" s="20" t="s">
        <v>2321</v>
      </c>
      <c r="D24" t="s">
        <v>2463</v>
      </c>
    </row>
    <row r="25" spans="2:4" x14ac:dyDescent="0.45">
      <c r="B25" s="28" t="s">
        <v>1472</v>
      </c>
      <c r="C25" s="20" t="s">
        <v>2321</v>
      </c>
      <c r="D25" t="s">
        <v>2463</v>
      </c>
    </row>
    <row r="26" spans="2:4" x14ac:dyDescent="0.45">
      <c r="B26" s="28" t="s">
        <v>223</v>
      </c>
      <c r="C26" s="20" t="s">
        <v>2321</v>
      </c>
      <c r="D26" t="s">
        <v>2463</v>
      </c>
    </row>
    <row r="27" spans="2:4" x14ac:dyDescent="0.45">
      <c r="B27" s="28" t="s">
        <v>445</v>
      </c>
      <c r="C27" s="20" t="s">
        <v>2321</v>
      </c>
      <c r="D27" t="s">
        <v>2463</v>
      </c>
    </row>
    <row r="28" spans="2:4" ht="28.5" x14ac:dyDescent="0.45">
      <c r="B28" s="28" t="s">
        <v>2272</v>
      </c>
      <c r="C28" s="20" t="s">
        <v>2321</v>
      </c>
      <c r="D28" t="s">
        <v>2463</v>
      </c>
    </row>
    <row r="29" spans="2:4" x14ac:dyDescent="0.45">
      <c r="B29" s="28" t="s">
        <v>813</v>
      </c>
      <c r="C29" s="20" t="s">
        <v>2321</v>
      </c>
      <c r="D29" t="s">
        <v>2463</v>
      </c>
    </row>
    <row r="30" spans="2:4" x14ac:dyDescent="0.45">
      <c r="B30" s="28" t="s">
        <v>1712</v>
      </c>
      <c r="C30" s="20" t="s">
        <v>2321</v>
      </c>
      <c r="D30" t="s">
        <v>2463</v>
      </c>
    </row>
    <row r="31" spans="2:4" x14ac:dyDescent="0.45">
      <c r="B31" s="28" t="s">
        <v>1636</v>
      </c>
      <c r="C31" s="20" t="s">
        <v>2321</v>
      </c>
      <c r="D31" t="s">
        <v>2463</v>
      </c>
    </row>
    <row r="32" spans="2:4" x14ac:dyDescent="0.45">
      <c r="B32" s="28" t="s">
        <v>975</v>
      </c>
      <c r="C32" s="20" t="s">
        <v>2321</v>
      </c>
      <c r="D32" t="s">
        <v>2463</v>
      </c>
    </row>
    <row r="33" spans="2:7" x14ac:dyDescent="0.45">
      <c r="B33" s="28" t="s">
        <v>701</v>
      </c>
      <c r="C33" s="20" t="s">
        <v>2321</v>
      </c>
      <c r="D33" t="s">
        <v>2463</v>
      </c>
    </row>
    <row r="34" spans="2:7" x14ac:dyDescent="0.45">
      <c r="B34" s="28" t="s">
        <v>800</v>
      </c>
      <c r="C34" s="20" t="s">
        <v>2321</v>
      </c>
      <c r="D34" t="s">
        <v>2463</v>
      </c>
    </row>
    <row r="35" spans="2:7" x14ac:dyDescent="0.45">
      <c r="B35" s="28" t="s">
        <v>160</v>
      </c>
      <c r="C35" s="20" t="s">
        <v>2321</v>
      </c>
      <c r="D35" t="s">
        <v>2463</v>
      </c>
    </row>
    <row r="36" spans="2:7" x14ac:dyDescent="0.45">
      <c r="B36" s="28" t="s">
        <v>1439</v>
      </c>
      <c r="C36" s="20" t="s">
        <v>2323</v>
      </c>
      <c r="D36" t="s">
        <v>2463</v>
      </c>
    </row>
    <row r="37" spans="2:7" x14ac:dyDescent="0.45">
      <c r="B37" s="28" t="s">
        <v>1503</v>
      </c>
      <c r="C37" s="20" t="s">
        <v>2321</v>
      </c>
      <c r="D37" t="s">
        <v>2462</v>
      </c>
    </row>
    <row r="38" spans="2:7" x14ac:dyDescent="0.45">
      <c r="B38" s="28" t="s">
        <v>191</v>
      </c>
      <c r="C38" s="20" t="s">
        <v>2321</v>
      </c>
      <c r="D38" t="s">
        <v>2462</v>
      </c>
    </row>
    <row r="39" spans="2:7" x14ac:dyDescent="0.45">
      <c r="B39" s="28" t="s">
        <v>2318</v>
      </c>
      <c r="C39" s="20" t="s">
        <v>2321</v>
      </c>
      <c r="D39" t="s">
        <v>2462</v>
      </c>
    </row>
    <row r="40" spans="2:7" x14ac:dyDescent="0.45">
      <c r="B40" s="28" t="s">
        <v>1415</v>
      </c>
      <c r="C40" s="20" t="s">
        <v>2321</v>
      </c>
      <c r="D40" t="s">
        <v>2462</v>
      </c>
    </row>
    <row r="41" spans="2:7" x14ac:dyDescent="0.45">
      <c r="B41" s="28" t="s">
        <v>1090</v>
      </c>
      <c r="C41" s="20" t="s">
        <v>2321</v>
      </c>
      <c r="D41" t="s">
        <v>2462</v>
      </c>
    </row>
    <row r="43" spans="2:7" x14ac:dyDescent="0.45">
      <c r="B43" s="29" t="s">
        <v>2328</v>
      </c>
    </row>
    <row r="44" spans="2:7" x14ac:dyDescent="0.45">
      <c r="B44" s="20" t="s">
        <v>2330</v>
      </c>
      <c r="C44" s="20" t="s">
        <v>2331</v>
      </c>
      <c r="D44" s="20" t="s">
        <v>2429</v>
      </c>
      <c r="F44" s="20" t="s">
        <v>2432</v>
      </c>
      <c r="G44" s="20" t="s">
        <v>2431</v>
      </c>
    </row>
    <row r="45" spans="2:7" x14ac:dyDescent="0.45">
      <c r="B45" t="s">
        <v>169</v>
      </c>
      <c r="C45">
        <v>7</v>
      </c>
      <c r="D45" s="37">
        <f t="shared" ref="D45:D49" si="0">D46+6/7</f>
        <v>6.9999999999999991</v>
      </c>
      <c r="F45">
        <f>C51</f>
        <v>1</v>
      </c>
      <c r="G45" s="42" t="s">
        <v>129</v>
      </c>
    </row>
    <row r="46" spans="2:7" x14ac:dyDescent="0.45">
      <c r="B46" t="s">
        <v>150</v>
      </c>
      <c r="C46">
        <v>6</v>
      </c>
      <c r="D46" s="37">
        <f t="shared" si="0"/>
        <v>6.1428571428571423</v>
      </c>
      <c r="F46" s="37">
        <f>D51</f>
        <v>1.8571428571428572</v>
      </c>
      <c r="G46" s="43" t="s">
        <v>236</v>
      </c>
    </row>
    <row r="47" spans="2:7" x14ac:dyDescent="0.45">
      <c r="B47" t="s">
        <v>162</v>
      </c>
      <c r="C47">
        <v>5</v>
      </c>
      <c r="D47" s="37">
        <f t="shared" si="0"/>
        <v>5.2857142857142856</v>
      </c>
      <c r="F47" s="37">
        <f>D50</f>
        <v>2.7142857142857144</v>
      </c>
      <c r="G47" s="42" t="s">
        <v>128</v>
      </c>
    </row>
    <row r="48" spans="2:7" x14ac:dyDescent="0.45">
      <c r="B48" t="s">
        <v>151</v>
      </c>
      <c r="C48">
        <v>4</v>
      </c>
      <c r="D48" s="37">
        <f t="shared" si="0"/>
        <v>4.4285714285714288</v>
      </c>
      <c r="F48" s="37">
        <f>D49</f>
        <v>3.5714285714285716</v>
      </c>
      <c r="G48" s="43" t="s">
        <v>151</v>
      </c>
    </row>
    <row r="49" spans="2:10" x14ac:dyDescent="0.45">
      <c r="B49" t="s">
        <v>128</v>
      </c>
      <c r="C49">
        <v>3</v>
      </c>
      <c r="D49" s="37">
        <f t="shared" si="0"/>
        <v>3.5714285714285716</v>
      </c>
      <c r="F49" s="37">
        <f>D48</f>
        <v>4.4285714285714288</v>
      </c>
      <c r="G49" s="42" t="s">
        <v>162</v>
      </c>
    </row>
    <row r="50" spans="2:10" x14ac:dyDescent="0.45">
      <c r="B50" t="s">
        <v>236</v>
      </c>
      <c r="C50">
        <v>2</v>
      </c>
      <c r="D50" s="37">
        <f>D51+6/7</f>
        <v>2.7142857142857144</v>
      </c>
      <c r="F50" s="37">
        <f>D47</f>
        <v>5.2857142857142856</v>
      </c>
      <c r="G50" s="43" t="s">
        <v>150</v>
      </c>
    </row>
    <row r="51" spans="2:10" x14ac:dyDescent="0.45">
      <c r="B51" t="s">
        <v>129</v>
      </c>
      <c r="C51">
        <v>1</v>
      </c>
      <c r="D51" s="37">
        <f t="shared" ref="D51" si="1">1+6/7</f>
        <v>1.8571428571428572</v>
      </c>
      <c r="F51" s="37">
        <f>D46</f>
        <v>6.1428571428571423</v>
      </c>
      <c r="G51" s="42" t="s">
        <v>169</v>
      </c>
    </row>
    <row r="52" spans="2:10" x14ac:dyDescent="0.45">
      <c r="B52" t="s">
        <v>132</v>
      </c>
      <c r="C52" s="20" t="s">
        <v>2329</v>
      </c>
    </row>
    <row r="55" spans="2:10" x14ac:dyDescent="0.45">
      <c r="C55" t="s">
        <v>2408</v>
      </c>
    </row>
    <row r="56" spans="2:10" ht="28.5" x14ac:dyDescent="0.45">
      <c r="C56" s="39" t="s">
        <v>2409</v>
      </c>
      <c r="D56" s="29" t="s">
        <v>2410</v>
      </c>
      <c r="E56" s="29" t="s">
        <v>2411</v>
      </c>
      <c r="F56" s="29" t="s">
        <v>2412</v>
      </c>
      <c r="G56" s="29" t="s">
        <v>2413</v>
      </c>
      <c r="H56" s="29" t="s">
        <v>2414</v>
      </c>
      <c r="I56" s="29" t="s">
        <v>2415</v>
      </c>
      <c r="J56" s="29" t="s">
        <v>2416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80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22" ht="71.25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  <c r="M161" s="49" t="s">
        <v>2453</v>
      </c>
      <c r="N161" s="49" t="s">
        <v>2454</v>
      </c>
      <c r="O161" s="49" t="s">
        <v>2456</v>
      </c>
      <c r="P161" s="49" t="s">
        <v>2457</v>
      </c>
      <c r="Q161" s="49" t="s">
        <v>2460</v>
      </c>
      <c r="R161" s="49" t="s">
        <v>2459</v>
      </c>
      <c r="S161" s="49" t="s">
        <v>2465</v>
      </c>
      <c r="T161" s="49" t="s">
        <v>2466</v>
      </c>
      <c r="U161" s="49" t="s">
        <v>2467</v>
      </c>
      <c r="V161" s="28" t="s">
        <v>2468</v>
      </c>
    </row>
    <row r="162" spans="3:22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  <c r="M162" t="s">
        <v>132</v>
      </c>
      <c r="N162" s="20" t="s">
        <v>2329</v>
      </c>
      <c r="O162">
        <f>COUNTIF(AnalizaCzyste[w pierwszym roku po ukończeniu studiów : wybierz wartość z listy rozwijanej4],Zarobki[[#This Row],[Kategoria zarobków]])</f>
        <v>11</v>
      </c>
      <c r="P162">
        <f>COUNTIF(AnalizaCzyste[w 3 lata po ukończeniu studiów : wybierz wartość z listy rozwijanej5],Zarobki[[#This Row],[Kategoria zarobków]])</f>
        <v>20</v>
      </c>
      <c r="S162">
        <f>SUMIFS(AnalizaCzyste[LicznikAbsolwentów],AnalizaCzyste[w pierwszym roku po ukończeniu studiów : wybierz wartość z listy rozwijanej4],Zarobki[[#This Row],[Kategoria zarobków]],AnalizaCzyste[CzyUczelniaTechniczna],"Techniczna")</f>
        <v>6</v>
      </c>
      <c r="T162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2">
        <f>SUMIFS(AnalizaCzyste[LicznikAbsolwentów],AnalizaCzyste[w 3 lata po ukończeniu studiów : wybierz wartość z listy rozwijanej5],Zarobki[[#This Row],[Kategoria zarobków]],AnalizaCzyste[CzyUczelniaTechniczna],"Techniczna")</f>
        <v>7</v>
      </c>
      <c r="V162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3" spans="3:22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  <c r="M163" t="s">
        <v>152</v>
      </c>
      <c r="N163">
        <v>500</v>
      </c>
      <c r="O163">
        <f>COUNTIF(AnalizaCzyste[w pierwszym roku po ukończeniu studiów : wybierz wartość z listy rozwijanej4],Zarobki[[#This Row],[Kategoria zarobków]])</f>
        <v>11</v>
      </c>
      <c r="P163">
        <f>COUNTIF(AnalizaCzyste[w 3 lata po ukończeniu studiów : wybierz wartość z listy rozwijanej5],Zarobki[[#This Row],[Kategoria zarobków]])</f>
        <v>5</v>
      </c>
      <c r="Q163">
        <f>Zarobki[[#This Row],[Wartość środkowa przedziału]]*Zarobki[[#This Row],[Absolwenci 1 rok]]</f>
        <v>5500</v>
      </c>
      <c r="R163">
        <f>Zarobki[[#This Row],[Wartość środkowa przedziału]]*Zarobki[[#This Row],[Absolwenci 3 lata]]</f>
        <v>2500</v>
      </c>
      <c r="S163">
        <f>SUMIFS(AnalizaCzyste[LicznikAbsolwentów],AnalizaCzyste[w pierwszym roku po ukończeniu studiów : wybierz wartość z listy rozwijanej4],Zarobki[[#This Row],[Kategoria zarobków]],AnalizaCzyste[CzyUczelniaTechniczna],"Techniczna")</f>
        <v>3</v>
      </c>
      <c r="T163">
        <f>SUMIFS(AnalizaCzyste[LicznikAbsolwentów],AnalizaCzyste[w pierwszym roku po ukończeniu studiów : wybierz wartość z listy rozwijanej4],Zarobki[[#This Row],[Kategoria zarobków]],AnalizaCzyste[CzyUczelniaTechniczna],"Nietechniczna")</f>
        <v>8</v>
      </c>
      <c r="U163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3">
        <f>SUMIFS(AnalizaCzyste[LicznikAbsolwentów],AnalizaCzyste[w 3 lata po ukończeniu studiów : wybierz wartość z listy rozwijanej5],Zarobki[[#This Row],[Kategoria zarobków]],AnalizaCzyste[CzyUczelniaTechniczna],"Nietechniczna")</f>
        <v>4</v>
      </c>
    </row>
    <row r="164" spans="3:22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  <c r="M164" t="s">
        <v>131</v>
      </c>
      <c r="N164">
        <v>1500</v>
      </c>
      <c r="O164">
        <f>COUNTIF(AnalizaCzyste[w pierwszym roku po ukończeniu studiów : wybierz wartość z listy rozwijanej4],Zarobki[[#This Row],[Kategoria zarobków]])</f>
        <v>43</v>
      </c>
      <c r="P164">
        <f>COUNTIF(AnalizaCzyste[w 3 lata po ukończeniu studiów : wybierz wartość z listy rozwijanej5],Zarobki[[#This Row],[Kategoria zarobków]])</f>
        <v>15</v>
      </c>
      <c r="Q164">
        <f>Zarobki[[#This Row],[Wartość środkowa przedziału]]*Zarobki[[#This Row],[Absolwenci 1 rok]]</f>
        <v>64500</v>
      </c>
      <c r="R164">
        <f>Zarobki[[#This Row],[Wartość środkowa przedziału]]*Zarobki[[#This Row],[Absolwenci 3 lata]]</f>
        <v>22500</v>
      </c>
      <c r="S164">
        <f>SUMIFS(AnalizaCzyste[LicznikAbsolwentów],AnalizaCzyste[w pierwszym roku po ukończeniu studiów : wybierz wartość z listy rozwijanej4],Zarobki[[#This Row],[Kategoria zarobków]],AnalizaCzyste[CzyUczelniaTechniczna],"Techniczna")</f>
        <v>14</v>
      </c>
      <c r="T164">
        <f>SUMIFS(AnalizaCzyste[LicznikAbsolwentów],AnalizaCzyste[w pierwszym roku po ukończeniu studiów : wybierz wartość z listy rozwijanej4],Zarobki[[#This Row],[Kategoria zarobków]],AnalizaCzyste[CzyUczelniaTechniczna],"Nietechniczna")</f>
        <v>29</v>
      </c>
      <c r="U164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4">
        <f>SUMIFS(AnalizaCzyste[LicznikAbsolwentów],AnalizaCzyste[w 3 lata po ukończeniu studiów : wybierz wartość z listy rozwijanej5],Zarobki[[#This Row],[Kategoria zarobków]],AnalizaCzyste[CzyUczelniaTechniczna],"Nietechniczna")</f>
        <v>14</v>
      </c>
    </row>
    <row r="165" spans="3:22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  <c r="M165" t="s">
        <v>302</v>
      </c>
      <c r="N165">
        <v>2500</v>
      </c>
      <c r="O165">
        <f>COUNTIF(AnalizaCzyste[w pierwszym roku po ukończeniu studiów : wybierz wartość z listy rozwijanej4],Zarobki[[#This Row],[Kategoria zarobków]])</f>
        <v>33</v>
      </c>
      <c r="P165">
        <f>COUNTIF(AnalizaCzyste[w 3 lata po ukończeniu studiów : wybierz wartość z listy rozwijanej5],Zarobki[[#This Row],[Kategoria zarobków]])</f>
        <v>23</v>
      </c>
      <c r="Q165">
        <f>Zarobki[[#This Row],[Wartość środkowa przedziału]]*Zarobki[[#This Row],[Absolwenci 1 rok]]</f>
        <v>82500</v>
      </c>
      <c r="R165">
        <f>Zarobki[[#This Row],[Wartość środkowa przedziału]]*Zarobki[[#This Row],[Absolwenci 3 lata]]</f>
        <v>57500</v>
      </c>
      <c r="S165">
        <f>SUMIFS(AnalizaCzyste[LicznikAbsolwentów],AnalizaCzyste[w pierwszym roku po ukończeniu studiów : wybierz wartość z listy rozwijanej4],Zarobki[[#This Row],[Kategoria zarobków]],AnalizaCzyste[CzyUczelniaTechniczna],"Techniczna")</f>
        <v>15</v>
      </c>
      <c r="T165">
        <f>SUMIFS(AnalizaCzyste[LicznikAbsolwentów],AnalizaCzyste[w pierwszym roku po ukończeniu studiów : wybierz wartość z listy rozwijanej4],Zarobki[[#This Row],[Kategoria zarobków]],AnalizaCzyste[CzyUczelniaTechniczna],"Nietechniczna")</f>
        <v>18</v>
      </c>
      <c r="U165">
        <f>SUMIFS(AnalizaCzyste[LicznikAbsolwentów],AnalizaCzyste[w 3 lata po ukończeniu studiów : wybierz wartość z listy rozwijanej5],Zarobki[[#This Row],[Kategoria zarobków]],AnalizaCzyste[CzyUczelniaTechniczna],"Techniczna")</f>
        <v>10</v>
      </c>
      <c r="V165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6" spans="3:22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  <c r="M166" t="s">
        <v>153</v>
      </c>
      <c r="N166">
        <v>3500</v>
      </c>
      <c r="O166">
        <f>COUNTIF(AnalizaCzyste[w pierwszym roku po ukończeniu studiów : wybierz wartość z listy rozwijanej4],Zarobki[[#This Row],[Kategoria zarobków]])</f>
        <v>13</v>
      </c>
      <c r="P166">
        <f>COUNTIF(AnalizaCzyste[w 3 lata po ukończeniu studiów : wybierz wartość z listy rozwijanej5],Zarobki[[#This Row],[Kategoria zarobków]])</f>
        <v>28</v>
      </c>
      <c r="Q166">
        <f>Zarobki[[#This Row],[Wartość środkowa przedziału]]*Zarobki[[#This Row],[Absolwenci 1 rok]]</f>
        <v>45500</v>
      </c>
      <c r="R166">
        <f>Zarobki[[#This Row],[Wartość środkowa przedziału]]*Zarobki[[#This Row],[Absolwenci 3 lata]]</f>
        <v>98000</v>
      </c>
      <c r="S166">
        <f>SUMIFS(AnalizaCzyste[LicznikAbsolwentów],AnalizaCzyste[w pierwszym roku po ukończeniu studiów : wybierz wartość z listy rozwijanej4],Zarobki[[#This Row],[Kategoria zarobków]],AnalizaCzyste[CzyUczelniaTechniczna],"Techniczna")</f>
        <v>8</v>
      </c>
      <c r="T166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6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6">
        <f>SUMIFS(AnalizaCzyste[LicznikAbsolwentów],AnalizaCzyste[w 3 lata po ukończeniu studiów : wybierz wartość z listy rozwijanej5],Zarobki[[#This Row],[Kategoria zarobków]],AnalizaCzyste[CzyUczelniaTechniczna],"Nietechniczna")</f>
        <v>17</v>
      </c>
    </row>
    <row r="167" spans="3:22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  <c r="M167" t="s">
        <v>226</v>
      </c>
      <c r="N167">
        <v>4500</v>
      </c>
      <c r="O167">
        <f>COUNTIF(AnalizaCzyste[w pierwszym roku po ukończeniu studiów : wybierz wartość z listy rozwijanej4],Zarobki[[#This Row],[Kategoria zarobków]])</f>
        <v>5</v>
      </c>
      <c r="P167">
        <f>COUNTIF(AnalizaCzyste[w 3 lata po ukończeniu studiów : wybierz wartość z listy rozwijanej5],Zarobki[[#This Row],[Kategoria zarobków]])</f>
        <v>13</v>
      </c>
      <c r="Q167">
        <f>Zarobki[[#This Row],[Wartość środkowa przedziału]]*Zarobki[[#This Row],[Absolwenci 1 rok]]</f>
        <v>22500</v>
      </c>
      <c r="R167">
        <f>Zarobki[[#This Row],[Wartość środkowa przedziału]]*Zarobki[[#This Row],[Absolwenci 3 lata]]</f>
        <v>58500</v>
      </c>
      <c r="S167">
        <f>SUMIFS(AnalizaCzyste[LicznikAbsolwentów],AnalizaCzyste[w pierwszym roku po ukończeniu studiów : wybierz wartość z listy rozwijanej4],Zarobki[[#This Row],[Kategoria zarobków]],AnalizaCzyste[CzyUczelniaTechniczna],"Techniczna")</f>
        <v>4</v>
      </c>
      <c r="T167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67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7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68" spans="3:22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  <c r="M168" t="s">
        <v>759</v>
      </c>
      <c r="N168">
        <v>5500</v>
      </c>
      <c r="O168">
        <f>COUNTIF(AnalizaCzyste[w pierwszym roku po ukończeniu studiów : wybierz wartość z listy rozwijanej4],Zarobki[[#This Row],[Kategoria zarobków]])</f>
        <v>0</v>
      </c>
      <c r="P168">
        <f>COUNTIF(AnalizaCzyste[w 3 lata po ukończeniu studiów : wybierz wartość z listy rozwijanej5],Zarobki[[#This Row],[Kategoria zarobków]])</f>
        <v>7</v>
      </c>
      <c r="Q168">
        <f>Zarobki[[#This Row],[Wartość środkowa przedziału]]*Zarobki[[#This Row],[Absolwenci 1 rok]]</f>
        <v>0</v>
      </c>
      <c r="R168">
        <f>Zarobki[[#This Row],[Wartość środkowa przedziału]]*Zarobki[[#This Row],[Absolwenci 3 lata]]</f>
        <v>38500</v>
      </c>
      <c r="S168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8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8">
        <f>SUMIFS(AnalizaCzyste[LicznikAbsolwentów],AnalizaCzyste[w 3 lata po ukończeniu studiów : wybierz wartość z listy rozwijanej5],Zarobki[[#This Row],[Kategoria zarobków]],AnalizaCzyste[CzyUczelniaTechniczna],"Techniczna")</f>
        <v>6</v>
      </c>
      <c r="V168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69" spans="3:22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  <c r="M169" t="s">
        <v>1428</v>
      </c>
      <c r="N169">
        <v>6500</v>
      </c>
      <c r="O169">
        <f>COUNTIF(AnalizaCzyste[w pierwszym roku po ukończeniu studiów : wybierz wartość z listy rozwijanej4],Zarobki[[#This Row],[Kategoria zarobków]])</f>
        <v>0</v>
      </c>
      <c r="P169">
        <f>COUNTIF(AnalizaCzyste[w 3 lata po ukończeniu studiów : wybierz wartość z listy rozwijanej5],Zarobki[[#This Row],[Kategoria zarobków]])</f>
        <v>2</v>
      </c>
      <c r="Q169">
        <f>Zarobki[[#This Row],[Wartość środkowa przedziału]]*Zarobki[[#This Row],[Absolwenci 1 rok]]</f>
        <v>0</v>
      </c>
      <c r="R169">
        <f>Zarobki[[#This Row],[Wartość środkowa przedziału]]*Zarobki[[#This Row],[Absolwenci 3 lata]]</f>
        <v>13000</v>
      </c>
      <c r="S169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9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9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69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0" spans="3:22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  <c r="M170" t="s">
        <v>209</v>
      </c>
      <c r="N170">
        <v>7500</v>
      </c>
      <c r="O170">
        <f>COUNTIF(AnalizaCzyste[w pierwszym roku po ukończeniu studiów : wybierz wartość z listy rozwijanej4],Zarobki[[#This Row],[Kategoria zarobków]])</f>
        <v>1</v>
      </c>
      <c r="P170">
        <f>COUNTIF(AnalizaCzyste[w 3 lata po ukończeniu studiów : wybierz wartość z listy rozwijanej5],Zarobki[[#This Row],[Kategoria zarobków]])</f>
        <v>2</v>
      </c>
      <c r="Q170">
        <f>Zarobki[[#This Row],[Wartość środkowa przedziału]]*Zarobki[[#This Row],[Absolwenci 1 rok]]</f>
        <v>7500</v>
      </c>
      <c r="R170">
        <f>Zarobki[[#This Row],[Wartość środkowa przedziału]]*Zarobki[[#This Row],[Absolwenci 3 lata]]</f>
        <v>15000</v>
      </c>
      <c r="S170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0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0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70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1" spans="3:22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  <c r="M171" t="s">
        <v>943</v>
      </c>
      <c r="N171">
        <v>8500</v>
      </c>
      <c r="O171">
        <f>COUNTIF(AnalizaCzyste[w pierwszym roku po ukończeniu studiów : wybierz wartość z listy rozwijanej4],Zarobki[[#This Row],[Kategoria zarobków]])</f>
        <v>0</v>
      </c>
      <c r="P171">
        <f>COUNTIF(AnalizaCzyste[w 3 lata po ukończeniu studiów : wybierz wartość z listy rozwijanej5],Zarobki[[#This Row],[Kategoria zarobków]])</f>
        <v>2</v>
      </c>
      <c r="Q171">
        <f>Zarobki[[#This Row],[Wartość środkowa przedziału]]*Zarobki[[#This Row],[Absolwenci 1 rok]]</f>
        <v>0</v>
      </c>
      <c r="R171">
        <f>Zarobki[[#This Row],[Wartość środkowa przedziału]]*Zarobki[[#This Row],[Absolwenci 3 lata]]</f>
        <v>17000</v>
      </c>
      <c r="S171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1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1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1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72" spans="3:22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  <c r="M172" s="20" t="s">
        <v>2455</v>
      </c>
      <c r="N172">
        <v>9500</v>
      </c>
      <c r="O172">
        <f>COUNTIF(AnalizaCzyste[w pierwszym roku po ukończeniu studiów : wybierz wartość z listy rozwijanej4],Zarobki[[#This Row],[Kategoria zarobków]])</f>
        <v>0</v>
      </c>
      <c r="P172">
        <f>COUNTIF(AnalizaCzyste[w 3 lata po ukończeniu studiów : wybierz wartość z listy rozwijanej5],Zarobki[[#This Row],[Kategoria zarobków]])</f>
        <v>0</v>
      </c>
      <c r="Q172">
        <f>Zarobki[[#This Row],[Wartość środkowa przedziału]]*Zarobki[[#This Row],[Absolwenci 1 rok]]</f>
        <v>0</v>
      </c>
      <c r="R172">
        <f>Zarobki[[#This Row],[Wartość środkowa przedziału]]*Zarobki[[#This Row],[Absolwenci 3 lata]]</f>
        <v>0</v>
      </c>
      <c r="S172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2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2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2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3" spans="3:22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  <c r="M173" t="s">
        <v>194</v>
      </c>
      <c r="N173">
        <v>10500</v>
      </c>
      <c r="O173">
        <f>COUNTIF(AnalizaCzyste[w pierwszym roku po ukończeniu studiów : wybierz wartość z listy rozwijanej4],Zarobki[[#This Row],[Kategoria zarobków]])</f>
        <v>3</v>
      </c>
      <c r="P173">
        <f>COUNTIF(AnalizaCzyste[w 3 lata po ukończeniu studiów : wybierz wartość z listy rozwijanej5],Zarobki[[#This Row],[Kategoria zarobków]])</f>
        <v>3</v>
      </c>
      <c r="Q173">
        <f>Zarobki[[#This Row],[Wartość środkowa przedziału]]*Zarobki[[#This Row],[Absolwenci 1 rok]]</f>
        <v>31500</v>
      </c>
      <c r="R173">
        <f>Zarobki[[#This Row],[Wartość środkowa przedziału]]*Zarobki[[#This Row],[Absolwenci 3 lata]]</f>
        <v>31500</v>
      </c>
      <c r="S173">
        <f>SUMIFS(AnalizaCzyste[LicznikAbsolwentów],AnalizaCzyste[w pierwszym roku po ukończeniu studiów : wybierz wartość z listy rozwijanej4],Zarobki[[#This Row],[Kategoria zarobków]],AnalizaCzyste[CzyUczelniaTechniczna],"Techniczna")</f>
        <v>2</v>
      </c>
      <c r="T173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3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73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4" spans="3:22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  <c r="O174">
        <f>SUBTOTAL(109,Zarobki[Absolwenci 1 rok])</f>
        <v>120</v>
      </c>
      <c r="P174">
        <f>SUBTOTAL(109,Zarobki[Absolwenci 3 lata])</f>
        <v>120</v>
      </c>
      <c r="Q174">
        <f>SUBTOTAL(109,Zarobki[Iloczyny 1 rok])</f>
        <v>259500</v>
      </c>
      <c r="R174">
        <f>SUBTOTAL(109,Zarobki[iloczyny 3 lata])</f>
        <v>354000</v>
      </c>
      <c r="S174">
        <f>SUBTOTAL(109,Zarobki[Abloswenci Techniczna 1 rok])</f>
        <v>52</v>
      </c>
      <c r="T174">
        <f>SUBTOTAL(109,Zarobki[Absolwenci Nietechniczna 1 rok])</f>
        <v>68</v>
      </c>
      <c r="U174">
        <f>SUBTOTAL(109,Zarobki[Absolwenci Techniczna 3 lata])</f>
        <v>52</v>
      </c>
      <c r="V174">
        <f>SUBTOTAL(109,Zarobki[Absolwenci Nietechniczna 3 lata])</f>
        <v>68</v>
      </c>
    </row>
    <row r="175" spans="3:22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  <c r="N175" s="20" t="s">
        <v>2458</v>
      </c>
      <c r="O175">
        <f>SUM(O163:O173)</f>
        <v>109</v>
      </c>
      <c r="P175">
        <f>SUM(P163:P173)</f>
        <v>100</v>
      </c>
      <c r="Q175" s="51">
        <f>Zarobki[[#Totals],[Iloczyny 1 rok]]/O175</f>
        <v>2380.7339449541282</v>
      </c>
      <c r="R175" s="29">
        <f>Zarobki[[#Totals],[iloczyny 3 lata]]/P175</f>
        <v>3540</v>
      </c>
      <c r="S175">
        <f>SUM(S163:S173)</f>
        <v>46</v>
      </c>
      <c r="T175">
        <f>SUM(T163:T173)</f>
        <v>63</v>
      </c>
      <c r="U175">
        <f>SUM(U163:U173)</f>
        <v>45</v>
      </c>
      <c r="V175">
        <f>SUM(V163:V173)</f>
        <v>55</v>
      </c>
    </row>
    <row r="176" spans="3:22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  <c r="P176" s="20" t="s">
        <v>2461</v>
      </c>
      <c r="Q176">
        <f>SUMPRODUCT($N$163:$N$173,O163:O173)/O175</f>
        <v>2380.7339449541282</v>
      </c>
      <c r="R176">
        <f>SUMPRODUCT($N$163:$N$173,P163:P173)/P175</f>
        <v>3540</v>
      </c>
      <c r="S176" s="51">
        <f>SUMPRODUCT($N$163:$N$173,S163:S173)/S175</f>
        <v>2760.8695652173915</v>
      </c>
      <c r="T176" s="51">
        <f>SUMPRODUCT($N$163:$N$173,T163:T173)/T175</f>
        <v>2103.1746031746034</v>
      </c>
      <c r="U176" s="51">
        <f>SUMPRODUCT($N$163:$N$173,U163:U173)/U175</f>
        <v>4211.1111111111113</v>
      </c>
      <c r="V176" s="51">
        <f>SUMPRODUCT($N$163:$N$173,V163:V173)/V175</f>
        <v>2990.909090909091</v>
      </c>
    </row>
    <row r="177" spans="1:10" x14ac:dyDescent="0.45">
      <c r="C177" s="29">
        <v>448</v>
      </c>
      <c r="D177">
        <f t="shared" ref="D177:J179" si="7">TINV(D$56,$C177)</f>
        <v>0.67503776879589694</v>
      </c>
      <c r="E177">
        <f t="shared" si="7"/>
        <v>1.2834441110026851</v>
      </c>
      <c r="F177">
        <f t="shared" si="7"/>
        <v>1.6482619844204791</v>
      </c>
      <c r="G177">
        <f t="shared" si="7"/>
        <v>1.9652733242778837</v>
      </c>
      <c r="H177">
        <f t="shared" si="7"/>
        <v>2.5868478943802389</v>
      </c>
      <c r="I177">
        <f t="shared" si="7"/>
        <v>2.8210069984078263</v>
      </c>
      <c r="J177">
        <f t="shared" si="7"/>
        <v>3.3123756803626621</v>
      </c>
    </row>
    <row r="178" spans="1:10" x14ac:dyDescent="0.45">
      <c r="C178" s="29">
        <v>468</v>
      </c>
      <c r="D178">
        <f t="shared" si="7"/>
        <v>0.6750143330002164</v>
      </c>
      <c r="E178">
        <f t="shared" si="7"/>
        <v>1.2833631163987524</v>
      </c>
      <c r="F178">
        <f t="shared" si="7"/>
        <v>1.6481160377670006</v>
      </c>
      <c r="G178">
        <f t="shared" si="7"/>
        <v>1.9650458518371487</v>
      </c>
      <c r="H178">
        <f t="shared" si="7"/>
        <v>2.5863752028234046</v>
      </c>
      <c r="I178">
        <f t="shared" si="7"/>
        <v>2.8204072143947889</v>
      </c>
      <c r="J178">
        <f t="shared" si="7"/>
        <v>3.3114365904226029</v>
      </c>
    </row>
    <row r="179" spans="1:10" x14ac:dyDescent="0.45">
      <c r="C179" s="29">
        <v>469</v>
      </c>
      <c r="D179">
        <f t="shared" si="7"/>
        <v>0.67501321371477618</v>
      </c>
      <c r="E179">
        <f t="shared" si="7"/>
        <v>1.2833592482605005</v>
      </c>
      <c r="F179">
        <f t="shared" si="7"/>
        <v>1.6481090678301824</v>
      </c>
      <c r="G179">
        <f t="shared" si="7"/>
        <v>1.9650349887745884</v>
      </c>
      <c r="H179">
        <f t="shared" si="7"/>
        <v>2.586352630569301</v>
      </c>
      <c r="I179">
        <f t="shared" si="7"/>
        <v>2.8203785739060443</v>
      </c>
      <c r="J179">
        <f t="shared" si="7"/>
        <v>3.3113917504239749</v>
      </c>
    </row>
    <row r="180" spans="1:10" x14ac:dyDescent="0.45">
      <c r="C180" s="29">
        <v>470</v>
      </c>
      <c r="D180">
        <f t="shared" si="6"/>
        <v>0.67501209919556038</v>
      </c>
      <c r="E180">
        <f t="shared" si="6"/>
        <v>1.2833553966060056</v>
      </c>
      <c r="F180">
        <f t="shared" si="6"/>
        <v>1.64810212761149</v>
      </c>
      <c r="G180">
        <f t="shared" si="6"/>
        <v>1.9650241720549269</v>
      </c>
      <c r="H180">
        <f t="shared" si="6"/>
        <v>2.5863301547349753</v>
      </c>
      <c r="I180">
        <f t="shared" si="6"/>
        <v>2.8203500558271801</v>
      </c>
      <c r="J180">
        <f t="shared" si="6"/>
        <v>3.3113471023259367</v>
      </c>
    </row>
    <row r="183" spans="1:10" x14ac:dyDescent="0.45">
      <c r="A183" s="20" t="s">
        <v>2538</v>
      </c>
    </row>
    <row r="185" spans="1:10" x14ac:dyDescent="0.45">
      <c r="A185">
        <v>1</v>
      </c>
      <c r="B185" t="s">
        <v>2519</v>
      </c>
    </row>
    <row r="186" spans="1:10" x14ac:dyDescent="0.45">
      <c r="A186">
        <v>2</v>
      </c>
      <c r="B186" t="s">
        <v>2537</v>
      </c>
    </row>
    <row r="187" spans="1:10" x14ac:dyDescent="0.45">
      <c r="A187">
        <v>3</v>
      </c>
      <c r="B187" t="s">
        <v>2536</v>
      </c>
    </row>
    <row r="188" spans="1:10" x14ac:dyDescent="0.45">
      <c r="A188">
        <v>4</v>
      </c>
      <c r="B188" t="s">
        <v>2530</v>
      </c>
    </row>
    <row r="189" spans="1:10" x14ac:dyDescent="0.45">
      <c r="A189">
        <v>5</v>
      </c>
      <c r="B189" t="s">
        <v>2526</v>
      </c>
    </row>
    <row r="190" spans="1:10" x14ac:dyDescent="0.45">
      <c r="A190">
        <v>6</v>
      </c>
      <c r="B190" t="s">
        <v>191</v>
      </c>
    </row>
    <row r="191" spans="1:10" x14ac:dyDescent="0.45">
      <c r="A191">
        <v>7</v>
      </c>
      <c r="B191" t="s">
        <v>2534</v>
      </c>
    </row>
    <row r="192" spans="1:10" x14ac:dyDescent="0.45">
      <c r="A192">
        <v>8</v>
      </c>
      <c r="B192" t="s">
        <v>2525</v>
      </c>
    </row>
    <row r="193" spans="1:2" x14ac:dyDescent="0.45">
      <c r="A193">
        <v>9</v>
      </c>
      <c r="B193" t="s">
        <v>2523</v>
      </c>
    </row>
    <row r="194" spans="1:2" x14ac:dyDescent="0.45">
      <c r="A194">
        <v>10</v>
      </c>
      <c r="B194" t="s">
        <v>1415</v>
      </c>
    </row>
    <row r="195" spans="1:2" x14ac:dyDescent="0.45">
      <c r="A195">
        <v>11</v>
      </c>
      <c r="B195" t="s">
        <v>2532</v>
      </c>
    </row>
    <row r="196" spans="1:2" x14ac:dyDescent="0.45">
      <c r="A196">
        <v>12</v>
      </c>
      <c r="B196" t="s">
        <v>2522</v>
      </c>
    </row>
    <row r="197" spans="1:2" x14ac:dyDescent="0.45">
      <c r="A197">
        <v>13</v>
      </c>
      <c r="B197" t="s">
        <v>2531</v>
      </c>
    </row>
    <row r="198" spans="1:2" x14ac:dyDescent="0.45">
      <c r="A198">
        <v>14</v>
      </c>
      <c r="B198" t="s">
        <v>2521</v>
      </c>
    </row>
    <row r="199" spans="1:2" x14ac:dyDescent="0.45">
      <c r="A199">
        <v>15</v>
      </c>
      <c r="B199" t="s">
        <v>2529</v>
      </c>
    </row>
    <row r="200" spans="1:2" x14ac:dyDescent="0.45">
      <c r="A200">
        <v>16</v>
      </c>
      <c r="B200" t="s">
        <v>1090</v>
      </c>
    </row>
    <row r="201" spans="1:2" x14ac:dyDescent="0.45">
      <c r="A201">
        <v>17</v>
      </c>
      <c r="B201" t="s">
        <v>2520</v>
      </c>
    </row>
    <row r="202" spans="1:2" x14ac:dyDescent="0.45">
      <c r="A202">
        <v>18</v>
      </c>
      <c r="B202" s="35" t="s">
        <v>2528</v>
      </c>
    </row>
    <row r="203" spans="1:2" x14ac:dyDescent="0.45">
      <c r="A203">
        <v>19</v>
      </c>
      <c r="B203" t="s">
        <v>2533</v>
      </c>
    </row>
    <row r="204" spans="1:2" x14ac:dyDescent="0.45">
      <c r="A204">
        <v>20</v>
      </c>
      <c r="B204" t="s">
        <v>2535</v>
      </c>
    </row>
    <row r="205" spans="1:2" x14ac:dyDescent="0.45">
      <c r="A205">
        <v>21</v>
      </c>
      <c r="B205" s="20" t="s">
        <v>2539</v>
      </c>
    </row>
    <row r="206" spans="1:2" x14ac:dyDescent="0.45">
      <c r="A206">
        <v>22</v>
      </c>
      <c r="B206" t="s">
        <v>2527</v>
      </c>
    </row>
    <row r="207" spans="1:2" x14ac:dyDescent="0.45">
      <c r="A207">
        <v>23</v>
      </c>
      <c r="B207" t="s">
        <v>2524</v>
      </c>
    </row>
  </sheetData>
  <sortState xmlns:xlrd2="http://schemas.microsoft.com/office/spreadsheetml/2017/richdata2" ref="B185:B207">
    <sortCondition ref="B185:B207"/>
  </sortState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/>
  </sheetViews>
  <sheetFormatPr defaultRowHeight="14.25" x14ac:dyDescent="0.45"/>
  <cols>
    <col min="1" max="1" width="44.9296875" style="28" bestFit="1" customWidth="1"/>
    <col min="2" max="2" width="58.398437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72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x14ac:dyDescent="0.45">
      <c r="A13" s="26" t="s">
        <v>124</v>
      </c>
      <c r="B13" s="72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x14ac:dyDescent="0.45">
      <c r="A20" s="26" t="s">
        <v>159</v>
      </c>
      <c r="B20" s="72">
        <v>17</v>
      </c>
      <c r="E20" s="26" t="s">
        <v>159</v>
      </c>
      <c r="F20" s="72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72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28.5" x14ac:dyDescent="0.45">
      <c r="A34" s="26" t="s">
        <v>214</v>
      </c>
      <c r="B34" s="72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42.75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72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28.5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72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28.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72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64">
        <v>15</v>
      </c>
      <c r="C15" s="65">
        <v>7</v>
      </c>
      <c r="D15" s="62">
        <v>22</v>
      </c>
    </row>
    <row r="16" spans="1:4" x14ac:dyDescent="0.45">
      <c r="A16" s="17" t="s">
        <v>2284</v>
      </c>
      <c r="B16" s="64">
        <v>13</v>
      </c>
      <c r="C16" s="65">
        <v>6</v>
      </c>
      <c r="D16" s="62">
        <v>19</v>
      </c>
    </row>
    <row r="17" spans="1:4" x14ac:dyDescent="0.45">
      <c r="A17" s="17" t="s">
        <v>2285</v>
      </c>
      <c r="B17" s="64">
        <v>10</v>
      </c>
      <c r="C17" s="65">
        <v>5</v>
      </c>
      <c r="D17" s="62">
        <v>15</v>
      </c>
    </row>
    <row r="18" spans="1:4" x14ac:dyDescent="0.45">
      <c r="A18" s="17" t="s">
        <v>2286</v>
      </c>
      <c r="B18" s="64">
        <v>8</v>
      </c>
      <c r="C18" s="65">
        <v>5</v>
      </c>
      <c r="D18" s="62">
        <v>13</v>
      </c>
    </row>
    <row r="19" spans="1:4" x14ac:dyDescent="0.45">
      <c r="A19" s="17" t="s">
        <v>2289</v>
      </c>
      <c r="B19" s="64">
        <v>8</v>
      </c>
      <c r="C19" s="65">
        <v>5</v>
      </c>
      <c r="D19" s="62">
        <v>13</v>
      </c>
    </row>
    <row r="20" spans="1:4" x14ac:dyDescent="0.45">
      <c r="A20" s="17" t="s">
        <v>2290</v>
      </c>
      <c r="B20" s="64">
        <v>5</v>
      </c>
      <c r="C20" s="65">
        <v>4</v>
      </c>
      <c r="D20" s="62">
        <v>9</v>
      </c>
    </row>
    <row r="21" spans="1:4" x14ac:dyDescent="0.45">
      <c r="A21" s="19" t="s">
        <v>2291</v>
      </c>
      <c r="B21" s="69">
        <v>7</v>
      </c>
      <c r="C21" s="70">
        <v>5</v>
      </c>
      <c r="D21" s="7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/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2342</v>
      </c>
    </row>
    <row r="174" spans="2:210" x14ac:dyDescent="0.45">
      <c r="P174" t="s">
        <v>2343</v>
      </c>
    </row>
    <row r="175" spans="2:210" x14ac:dyDescent="0.45">
      <c r="P175" t="s">
        <v>2340</v>
      </c>
    </row>
    <row r="176" spans="2:210" x14ac:dyDescent="0.45">
      <c r="P176" t="s">
        <v>2344</v>
      </c>
    </row>
    <row r="177" spans="16:16" x14ac:dyDescent="0.45">
      <c r="P177" t="s">
        <v>2345</v>
      </c>
    </row>
    <row r="178" spans="16:16" x14ac:dyDescent="0.45">
      <c r="P178" t="s">
        <v>2340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workbookViewId="0"/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2336</v>
      </c>
    </row>
    <row r="275" spans="14:15" x14ac:dyDescent="0.45">
      <c r="N275" t="s">
        <v>2337</v>
      </c>
    </row>
    <row r="276" spans="14:15" x14ac:dyDescent="0.45">
      <c r="N276" t="s">
        <v>2340</v>
      </c>
      <c r="O276" s="30">
        <f>138/259</f>
        <v>0.53281853281853286</v>
      </c>
    </row>
    <row r="277" spans="14:15" x14ac:dyDescent="0.45">
      <c r="N277" t="s">
        <v>2339</v>
      </c>
    </row>
    <row r="278" spans="14:15" x14ac:dyDescent="0.45">
      <c r="N278" t="s">
        <v>2338</v>
      </c>
    </row>
    <row r="279" spans="14:15" x14ac:dyDescent="0.45">
      <c r="N279" t="s">
        <v>2340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Zestawienia</vt:lpstr>
      <vt:lpstr>Pivot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2023-06-14T13:27:15Z</dcterms:modified>
  <cp:category>wyniki indywidualne</cp:category>
</cp:coreProperties>
</file>