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00C106BC-3876-47CE-94EE-A2AACEF1F075}" xr6:coauthVersionLast="47" xr6:coauthVersionMax="47" xr10:uidLastSave="{00000000-0000-0000-0000-000000000000}"/>
  <bookViews>
    <workbookView xWindow="915" yWindow="-98" windowWidth="23183" windowHeight="13695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</sheet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7" l="1"/>
  <c r="C26" i="7" s="1"/>
  <c r="A25" i="7"/>
  <c r="C25" i="7" s="1"/>
  <c r="A24" i="7"/>
  <c r="C24" i="7" s="1"/>
  <c r="A23" i="7"/>
  <c r="C23" i="7" s="1"/>
  <c r="A22" i="7"/>
  <c r="C22" i="7" s="1"/>
  <c r="A21" i="7"/>
  <c r="C21" i="7" s="1"/>
  <c r="C20" i="7"/>
  <c r="A13" i="7"/>
  <c r="A12" i="7"/>
  <c r="A11" i="7"/>
  <c r="A10" i="7"/>
  <c r="A9" i="7"/>
  <c r="A8" i="7"/>
  <c r="A7" i="7"/>
  <c r="A5" i="7"/>
  <c r="A6" i="7"/>
  <c r="C6" i="7" s="1"/>
  <c r="A19" i="7"/>
  <c r="C19" i="7" s="1"/>
  <c r="FN142" i="5"/>
  <c r="FM142" i="5"/>
  <c r="FL142" i="5"/>
  <c r="FK142" i="5"/>
  <c r="FJ142" i="5"/>
  <c r="FI142" i="5"/>
  <c r="FH142" i="5"/>
  <c r="FG142" i="5"/>
  <c r="FF142" i="5"/>
  <c r="FE142" i="5"/>
  <c r="FD142" i="5"/>
  <c r="FC142" i="5"/>
  <c r="FB142" i="5"/>
  <c r="FA142" i="5"/>
  <c r="EZ142" i="5"/>
  <c r="EY142" i="5"/>
  <c r="EX142" i="5"/>
  <c r="EW142" i="5"/>
  <c r="EV142" i="5"/>
  <c r="EU142" i="5"/>
  <c r="ET142" i="5"/>
  <c r="ES142" i="5"/>
  <c r="ER142" i="5"/>
  <c r="EQ142" i="5"/>
  <c r="EP142" i="5"/>
  <c r="EN142" i="5"/>
  <c r="EM142" i="5"/>
  <c r="EL142" i="5"/>
  <c r="EK142" i="5"/>
  <c r="EJ142" i="5"/>
  <c r="EI142" i="5"/>
  <c r="EH142" i="5"/>
  <c r="EG142" i="5"/>
  <c r="EF142" i="5"/>
  <c r="EE142" i="5"/>
  <c r="ED142" i="5"/>
  <c r="EC142" i="5"/>
  <c r="EB142" i="5"/>
  <c r="EA142" i="5"/>
  <c r="DZ142" i="5"/>
  <c r="DY142" i="5"/>
  <c r="DX142" i="5"/>
  <c r="DW142" i="5"/>
  <c r="DV142" i="5"/>
  <c r="DU142" i="5"/>
  <c r="DT142" i="5"/>
  <c r="DS142" i="5"/>
  <c r="DR142" i="5"/>
  <c r="DQ142" i="5"/>
  <c r="DP142" i="5"/>
  <c r="DO142" i="5"/>
  <c r="DN142" i="5"/>
  <c r="DM142" i="5"/>
  <c r="DK142" i="5"/>
  <c r="DJ142" i="5"/>
  <c r="DI142" i="5"/>
  <c r="DH142" i="5"/>
  <c r="DG142" i="5"/>
  <c r="DF142" i="5"/>
  <c r="DE142" i="5"/>
  <c r="DD142" i="5"/>
  <c r="DC142" i="5"/>
  <c r="DA142" i="5"/>
  <c r="CZ142" i="5"/>
  <c r="CY142" i="5"/>
  <c r="CX142" i="5"/>
  <c r="CW142" i="5"/>
  <c r="CV142" i="5"/>
  <c r="CU142" i="5"/>
  <c r="CT142" i="5"/>
  <c r="CS142" i="5"/>
  <c r="CQ142" i="5"/>
  <c r="CP142" i="5"/>
  <c r="CO142" i="5"/>
  <c r="CN142" i="5"/>
  <c r="CM142" i="5"/>
  <c r="CL142" i="5"/>
  <c r="CK142" i="5"/>
  <c r="CJ142" i="5"/>
  <c r="CI142" i="5"/>
  <c r="CH142" i="5"/>
  <c r="CG142" i="5"/>
  <c r="CF142" i="5"/>
  <c r="CE142" i="5"/>
  <c r="CD142" i="5"/>
  <c r="CC142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HB141" i="5"/>
  <c r="HA141" i="5"/>
  <c r="GZ141" i="5"/>
  <c r="GY141" i="5"/>
  <c r="GX141" i="5"/>
  <c r="GW141" i="5"/>
  <c r="GV141" i="5"/>
  <c r="GU141" i="5"/>
  <c r="GT141" i="5"/>
  <c r="GS141" i="5"/>
  <c r="GR141" i="5"/>
  <c r="GQ141" i="5"/>
  <c r="GP141" i="5"/>
  <c r="GO141" i="5"/>
  <c r="GN141" i="5"/>
  <c r="GM141" i="5"/>
  <c r="GL141" i="5"/>
  <c r="GK141" i="5"/>
  <c r="GJ141" i="5"/>
  <c r="GI141" i="5"/>
  <c r="GH141" i="5"/>
  <c r="GG141" i="5"/>
  <c r="GF141" i="5"/>
  <c r="GE141" i="5"/>
  <c r="GD141" i="5"/>
  <c r="GC141" i="5"/>
  <c r="GB141" i="5"/>
  <c r="GA141" i="5"/>
  <c r="FZ141" i="5"/>
  <c r="FY141" i="5"/>
  <c r="FX141" i="5"/>
  <c r="FW141" i="5"/>
  <c r="FV141" i="5"/>
  <c r="FU141" i="5"/>
  <c r="FT141" i="5"/>
  <c r="FS141" i="5"/>
  <c r="FR141" i="5"/>
  <c r="FQ141" i="5"/>
  <c r="FP141" i="5"/>
  <c r="FO141" i="5"/>
  <c r="EO141" i="5"/>
  <c r="DL141" i="5"/>
  <c r="DB141" i="5"/>
  <c r="CR141" i="5"/>
  <c r="AX141" i="5"/>
  <c r="AF141" i="5"/>
  <c r="P141" i="5"/>
  <c r="O141" i="5"/>
  <c r="HB140" i="5"/>
  <c r="HA140" i="5"/>
  <c r="GZ140" i="5"/>
  <c r="GY140" i="5"/>
  <c r="GX140" i="5"/>
  <c r="GW140" i="5"/>
  <c r="GV140" i="5"/>
  <c r="GU140" i="5"/>
  <c r="GT140" i="5"/>
  <c r="GS140" i="5"/>
  <c r="GR140" i="5"/>
  <c r="GQ140" i="5"/>
  <c r="GP140" i="5"/>
  <c r="GO140" i="5"/>
  <c r="GN140" i="5"/>
  <c r="GM140" i="5"/>
  <c r="GL140" i="5"/>
  <c r="GK140" i="5"/>
  <c r="GJ140" i="5"/>
  <c r="GI140" i="5"/>
  <c r="GH140" i="5"/>
  <c r="GG140" i="5"/>
  <c r="GF140" i="5"/>
  <c r="GE140" i="5"/>
  <c r="GD140" i="5"/>
  <c r="GC140" i="5"/>
  <c r="GB140" i="5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EO140" i="5"/>
  <c r="DL140" i="5"/>
  <c r="DB140" i="5"/>
  <c r="CR140" i="5"/>
  <c r="AX140" i="5"/>
  <c r="AF140" i="5"/>
  <c r="P140" i="5"/>
  <c r="O140" i="5"/>
  <c r="HB139" i="5"/>
  <c r="HA139" i="5"/>
  <c r="GZ139" i="5"/>
  <c r="GZ142" i="5" s="1"/>
  <c r="GY139" i="5"/>
  <c r="GX139" i="5"/>
  <c r="GX142" i="5" s="1"/>
  <c r="GW139" i="5"/>
  <c r="GV139" i="5"/>
  <c r="GV142" i="5" s="1"/>
  <c r="GU139" i="5"/>
  <c r="GU142" i="5" s="1"/>
  <c r="GT139" i="5"/>
  <c r="GT142" i="5" s="1"/>
  <c r="GS139" i="5"/>
  <c r="GS142" i="5" s="1"/>
  <c r="GR139" i="5"/>
  <c r="GR142" i="5" s="1"/>
  <c r="GQ139" i="5"/>
  <c r="GQ142" i="5" s="1"/>
  <c r="GP139" i="5"/>
  <c r="GP142" i="5" s="1"/>
  <c r="GO139" i="5"/>
  <c r="GO142" i="5" s="1"/>
  <c r="GN139" i="5"/>
  <c r="GN142" i="5" s="1"/>
  <c r="GM139" i="5"/>
  <c r="GM142" i="5" s="1"/>
  <c r="GL139" i="5"/>
  <c r="GL142" i="5" s="1"/>
  <c r="GK139" i="5"/>
  <c r="GK142" i="5" s="1"/>
  <c r="GJ139" i="5"/>
  <c r="GJ142" i="5" s="1"/>
  <c r="GI139" i="5"/>
  <c r="GI142" i="5" s="1"/>
  <c r="GH139" i="5"/>
  <c r="GH142" i="5" s="1"/>
  <c r="GG139" i="5"/>
  <c r="GG142" i="5" s="1"/>
  <c r="GF139" i="5"/>
  <c r="GF142" i="5" s="1"/>
  <c r="GE139" i="5"/>
  <c r="GE142" i="5" s="1"/>
  <c r="GD139" i="5"/>
  <c r="GD142" i="5" s="1"/>
  <c r="GC139" i="5"/>
  <c r="GC142" i="5" s="1"/>
  <c r="GB139" i="5"/>
  <c r="GB142" i="5" s="1"/>
  <c r="GA139" i="5"/>
  <c r="GA142" i="5" s="1"/>
  <c r="FZ139" i="5"/>
  <c r="FZ142" i="5" s="1"/>
  <c r="FY139" i="5"/>
  <c r="FY142" i="5" s="1"/>
  <c r="FX139" i="5"/>
  <c r="FX142" i="5" s="1"/>
  <c r="FW139" i="5"/>
  <c r="FW142" i="5" s="1"/>
  <c r="FV139" i="5"/>
  <c r="FV142" i="5" s="1"/>
  <c r="FU139" i="5"/>
  <c r="FU142" i="5" s="1"/>
  <c r="FT139" i="5"/>
  <c r="FT142" i="5" s="1"/>
  <c r="FS139" i="5"/>
  <c r="FS142" i="5" s="1"/>
  <c r="FR139" i="5"/>
  <c r="FR142" i="5" s="1"/>
  <c r="FQ139" i="5"/>
  <c r="FQ142" i="5" s="1"/>
  <c r="FP139" i="5"/>
  <c r="FP142" i="5" s="1"/>
  <c r="FO139" i="5"/>
  <c r="FO142" i="5" s="1"/>
  <c r="EO139" i="5"/>
  <c r="EO142" i="5" s="1"/>
  <c r="DL139" i="5"/>
  <c r="DL142" i="5" s="1"/>
  <c r="DB139" i="5"/>
  <c r="DB142" i="5" s="1"/>
  <c r="CR139" i="5"/>
  <c r="CR142" i="5" s="1"/>
  <c r="AX139" i="5"/>
  <c r="AX142" i="5" s="1"/>
  <c r="AF139" i="5"/>
  <c r="P139" i="5"/>
  <c r="P142" i="5" s="1"/>
  <c r="O139" i="5"/>
  <c r="HF138" i="5"/>
  <c r="HE138" i="5"/>
  <c r="HD138" i="5"/>
  <c r="HC138" i="5"/>
  <c r="HB138" i="5"/>
  <c r="HB142" i="5" s="1"/>
  <c r="HA138" i="5"/>
  <c r="HA142" i="5" s="1"/>
  <c r="GZ138" i="5"/>
  <c r="FO138" i="5"/>
  <c r="EO138" i="5"/>
  <c r="DL138" i="5"/>
  <c r="DB138" i="5"/>
  <c r="CR138" i="5"/>
  <c r="CQ138" i="5"/>
  <c r="CP138" i="5"/>
  <c r="CO138" i="5"/>
  <c r="CN138" i="5"/>
  <c r="CM138" i="5"/>
  <c r="CL138" i="5"/>
  <c r="CK138" i="5"/>
  <c r="CJ138" i="5"/>
  <c r="CI138" i="5"/>
  <c r="CH138" i="5"/>
  <c r="CG138" i="5"/>
  <c r="CF138" i="5"/>
  <c r="CE138" i="5"/>
  <c r="CD138" i="5"/>
  <c r="CC138" i="5"/>
  <c r="CB138" i="5"/>
  <c r="CA138" i="5"/>
  <c r="BZ138" i="5"/>
  <c r="BY138" i="5"/>
  <c r="BX138" i="5"/>
  <c r="BW138" i="5"/>
  <c r="BV138" i="5"/>
  <c r="BU138" i="5"/>
  <c r="BT138" i="5"/>
  <c r="BS138" i="5"/>
  <c r="BR138" i="5"/>
  <c r="BQ138" i="5"/>
  <c r="BP138" i="5"/>
  <c r="BO138" i="5"/>
  <c r="BN138" i="5"/>
  <c r="BM138" i="5"/>
  <c r="BL138" i="5"/>
  <c r="BK138" i="5"/>
  <c r="BJ138" i="5"/>
  <c r="BI138" i="5"/>
  <c r="BH138" i="5"/>
  <c r="BG138" i="5"/>
  <c r="BF138" i="5"/>
  <c r="BE138" i="5"/>
  <c r="BD138" i="5"/>
  <c r="BC138" i="5"/>
  <c r="BB138" i="5"/>
  <c r="BA138" i="5"/>
  <c r="AZ138" i="5"/>
  <c r="AY138" i="5"/>
  <c r="AX138" i="5"/>
  <c r="AW138" i="5"/>
  <c r="AV138" i="5"/>
  <c r="AU138" i="5"/>
  <c r="AT138" i="5"/>
  <c r="AS138" i="5"/>
  <c r="AR138" i="5"/>
  <c r="AQ138" i="5"/>
  <c r="AP138" i="5"/>
  <c r="AO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C98" i="5"/>
  <c r="B98" i="5"/>
  <c r="C101" i="5"/>
  <c r="B101" i="5"/>
  <c r="C73" i="5"/>
  <c r="B73" i="5"/>
  <c r="C102" i="5"/>
  <c r="B102" i="5"/>
  <c r="C69" i="5"/>
  <c r="B69" i="5"/>
  <c r="C59" i="5"/>
  <c r="B59" i="5"/>
  <c r="C47" i="5"/>
  <c r="B47" i="5"/>
  <c r="C89" i="5"/>
  <c r="B89" i="5"/>
  <c r="C90" i="5"/>
  <c r="B90" i="5"/>
  <c r="C116" i="5"/>
  <c r="B116" i="5"/>
  <c r="C60" i="5"/>
  <c r="B60" i="5"/>
  <c r="C50" i="5"/>
  <c r="B50" i="5"/>
  <c r="C46" i="5"/>
  <c r="B46" i="5"/>
  <c r="C53" i="5"/>
  <c r="B53" i="5"/>
  <c r="C58" i="5"/>
  <c r="B58" i="5"/>
  <c r="C43" i="5"/>
  <c r="B43" i="5"/>
  <c r="C31" i="5"/>
  <c r="B31" i="5"/>
  <c r="C45" i="5"/>
  <c r="B45" i="5"/>
  <c r="C137" i="5"/>
  <c r="B137" i="5"/>
  <c r="C52" i="5"/>
  <c r="B52" i="5"/>
  <c r="C94" i="5"/>
  <c r="B94" i="5"/>
  <c r="C132" i="5"/>
  <c r="B132" i="5"/>
  <c r="C92" i="5"/>
  <c r="B92" i="5"/>
  <c r="C42" i="5"/>
  <c r="B42" i="5"/>
  <c r="C75" i="5"/>
  <c r="B75" i="5"/>
  <c r="C110" i="5"/>
  <c r="B110" i="5"/>
  <c r="C74" i="5"/>
  <c r="B74" i="5"/>
  <c r="C121" i="5"/>
  <c r="B121" i="5"/>
  <c r="C128" i="5"/>
  <c r="B128" i="5"/>
  <c r="C83" i="5"/>
  <c r="B83" i="5"/>
  <c r="C81" i="5"/>
  <c r="B81" i="5"/>
  <c r="C41" i="5"/>
  <c r="B41" i="5"/>
  <c r="C64" i="5"/>
  <c r="B64" i="5"/>
  <c r="C38" i="5"/>
  <c r="B38" i="5"/>
  <c r="C35" i="5"/>
  <c r="B35" i="5"/>
  <c r="C40" i="5"/>
  <c r="B40" i="5"/>
  <c r="C70" i="5"/>
  <c r="B70" i="5"/>
  <c r="C22" i="5"/>
  <c r="B22" i="5"/>
  <c r="C79" i="5"/>
  <c r="B79" i="5"/>
  <c r="C29" i="5"/>
  <c r="B29" i="5"/>
  <c r="C28" i="5"/>
  <c r="B28" i="5"/>
  <c r="C93" i="5"/>
  <c r="B93" i="5"/>
  <c r="C104" i="5"/>
  <c r="B104" i="5"/>
  <c r="C62" i="5"/>
  <c r="B62" i="5"/>
  <c r="C80" i="5"/>
  <c r="B80" i="5"/>
  <c r="C25" i="5"/>
  <c r="B25" i="5"/>
  <c r="C84" i="5"/>
  <c r="B84" i="5"/>
  <c r="C68" i="5"/>
  <c r="B68" i="5"/>
  <c r="C32" i="5"/>
  <c r="B32" i="5"/>
  <c r="C39" i="5"/>
  <c r="B39" i="5"/>
  <c r="C49" i="5"/>
  <c r="B49" i="5"/>
  <c r="C36" i="5"/>
  <c r="B36" i="5"/>
  <c r="C23" i="5"/>
  <c r="B23" i="5"/>
  <c r="C17" i="5"/>
  <c r="B17" i="5"/>
  <c r="C3" i="5"/>
  <c r="B3" i="5"/>
  <c r="C127" i="5"/>
  <c r="B127" i="5"/>
  <c r="C99" i="5"/>
  <c r="B99" i="5"/>
  <c r="C120" i="5"/>
  <c r="B120" i="5"/>
  <c r="C82" i="5"/>
  <c r="B82" i="5"/>
  <c r="C63" i="5"/>
  <c r="B63" i="5"/>
  <c r="C136" i="5"/>
  <c r="B136" i="5"/>
  <c r="C7" i="5"/>
  <c r="B7" i="5"/>
  <c r="C56" i="5"/>
  <c r="B56" i="5"/>
  <c r="C33" i="5"/>
  <c r="B33" i="5"/>
  <c r="C65" i="5"/>
  <c r="B65" i="5"/>
  <c r="C66" i="5"/>
  <c r="B66" i="5"/>
  <c r="C16" i="5"/>
  <c r="B16" i="5"/>
  <c r="C26" i="5"/>
  <c r="B26" i="5"/>
  <c r="C112" i="5"/>
  <c r="B112" i="5"/>
  <c r="C14" i="5"/>
  <c r="B14" i="5"/>
  <c r="C76" i="5"/>
  <c r="B76" i="5"/>
  <c r="C135" i="5"/>
  <c r="B135" i="5"/>
  <c r="C130" i="5"/>
  <c r="B130" i="5"/>
  <c r="C125" i="5"/>
  <c r="B125" i="5"/>
  <c r="C6" i="5"/>
  <c r="B6" i="5"/>
  <c r="C124" i="5"/>
  <c r="B124" i="5"/>
  <c r="C109" i="5"/>
  <c r="B109" i="5"/>
  <c r="C129" i="5"/>
  <c r="B129" i="5"/>
  <c r="C123" i="5"/>
  <c r="B123" i="5"/>
  <c r="C11" i="5"/>
  <c r="B11" i="5"/>
  <c r="C108" i="5"/>
  <c r="B108" i="5"/>
  <c r="C106" i="5"/>
  <c r="B106" i="5"/>
  <c r="C87" i="5"/>
  <c r="B87" i="5"/>
  <c r="C88" i="5"/>
  <c r="B88" i="5"/>
  <c r="C103" i="5"/>
  <c r="B103" i="5"/>
  <c r="C37" i="5"/>
  <c r="B37" i="5"/>
  <c r="C72" i="5"/>
  <c r="B72" i="5"/>
  <c r="C118" i="5"/>
  <c r="B118" i="5"/>
  <c r="C10" i="5"/>
  <c r="B10" i="5"/>
  <c r="C85" i="5"/>
  <c r="B85" i="5"/>
  <c r="C134" i="5"/>
  <c r="B134" i="5"/>
  <c r="C71" i="5"/>
  <c r="B71" i="5"/>
  <c r="C131" i="5"/>
  <c r="B131" i="5"/>
  <c r="C115" i="5"/>
  <c r="B115" i="5"/>
  <c r="C114" i="5"/>
  <c r="B114" i="5"/>
  <c r="C126" i="5"/>
  <c r="B126" i="5"/>
  <c r="C96" i="5"/>
  <c r="B96" i="5"/>
  <c r="C100" i="5"/>
  <c r="B100" i="5"/>
  <c r="C133" i="5"/>
  <c r="B133" i="5"/>
  <c r="C113" i="5"/>
  <c r="B113" i="5"/>
  <c r="C54" i="5"/>
  <c r="B54" i="5"/>
  <c r="C61" i="5"/>
  <c r="B61" i="5"/>
  <c r="C4" i="5"/>
  <c r="B4" i="5"/>
  <c r="C51" i="5"/>
  <c r="B51" i="5"/>
  <c r="C13" i="5"/>
  <c r="B13" i="5"/>
  <c r="C34" i="5"/>
  <c r="B34" i="5"/>
  <c r="C19" i="5"/>
  <c r="B19" i="5"/>
  <c r="C67" i="5"/>
  <c r="B67" i="5"/>
  <c r="C55" i="5"/>
  <c r="B55" i="5"/>
  <c r="C97" i="5"/>
  <c r="B97" i="5"/>
  <c r="C15" i="5"/>
  <c r="B15" i="5"/>
  <c r="C78" i="5"/>
  <c r="B78" i="5"/>
  <c r="C20" i="5"/>
  <c r="B20" i="5"/>
  <c r="C44" i="5"/>
  <c r="B44" i="5"/>
  <c r="C95" i="5"/>
  <c r="B95" i="5"/>
  <c r="C77" i="5"/>
  <c r="B77" i="5"/>
  <c r="C24" i="5"/>
  <c r="B24" i="5"/>
  <c r="C27" i="5"/>
  <c r="B27" i="5"/>
  <c r="C86" i="5"/>
  <c r="B86" i="5"/>
  <c r="C91" i="5"/>
  <c r="B91" i="5"/>
  <c r="C9" i="5"/>
  <c r="B9" i="5"/>
  <c r="C12" i="5"/>
  <c r="B12" i="5"/>
  <c r="C57" i="5"/>
  <c r="B57" i="5"/>
  <c r="C119" i="5"/>
  <c r="B119" i="5"/>
  <c r="C105" i="5"/>
  <c r="B105" i="5"/>
  <c r="C21" i="5"/>
  <c r="B21" i="5"/>
  <c r="C48" i="5"/>
  <c r="B48" i="5"/>
  <c r="C8" i="5"/>
  <c r="B8" i="5"/>
  <c r="C111" i="5"/>
  <c r="B111" i="5"/>
  <c r="C18" i="5"/>
  <c r="B18" i="5"/>
  <c r="C5" i="5"/>
  <c r="B5" i="5"/>
  <c r="C30" i="5"/>
  <c r="B30" i="5"/>
  <c r="C122" i="5"/>
  <c r="B122" i="5"/>
  <c r="C107" i="5"/>
  <c r="B107" i="5"/>
  <c r="C117" i="5"/>
  <c r="B117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G164" i="3" s="1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P164" i="3" s="1"/>
  <c r="FQ163" i="3"/>
  <c r="FR163" i="3"/>
  <c r="FS163" i="3"/>
  <c r="FT163" i="3"/>
  <c r="FU163" i="3"/>
  <c r="FV163" i="3"/>
  <c r="FW163" i="3"/>
  <c r="FX163" i="3"/>
  <c r="FX164" i="3" s="1"/>
  <c r="FY163" i="3"/>
  <c r="FZ163" i="3"/>
  <c r="GA163" i="3"/>
  <c r="GB163" i="3"/>
  <c r="GC163" i="3"/>
  <c r="GD163" i="3"/>
  <c r="GE163" i="3"/>
  <c r="GF163" i="3"/>
  <c r="GF164" i="3" s="1"/>
  <c r="GG163" i="3"/>
  <c r="GH163" i="3"/>
  <c r="GI163" i="3"/>
  <c r="GJ163" i="3"/>
  <c r="GK163" i="3"/>
  <c r="GL163" i="3"/>
  <c r="GM163" i="3"/>
  <c r="GN163" i="3"/>
  <c r="GN164" i="3" s="1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79" i="3"/>
  <c r="C91" i="3"/>
  <c r="C25" i="3"/>
  <c r="C7" i="3"/>
  <c r="C41" i="3"/>
  <c r="C26" i="3"/>
  <c r="C27" i="3"/>
  <c r="C92" i="3"/>
  <c r="C29" i="3"/>
  <c r="C75" i="3"/>
  <c r="C32" i="3"/>
  <c r="C34" i="3"/>
  <c r="C108" i="3"/>
  <c r="C12" i="3"/>
  <c r="C142" i="3"/>
  <c r="C22" i="3"/>
  <c r="C109" i="3"/>
  <c r="C17" i="3"/>
  <c r="C24" i="3"/>
  <c r="C111" i="3"/>
  <c r="C93" i="3"/>
  <c r="C131" i="3"/>
  <c r="C31" i="3"/>
  <c r="C134" i="3"/>
  <c r="C33" i="3"/>
  <c r="C135" i="3"/>
  <c r="C36" i="3"/>
  <c r="C38" i="3"/>
  <c r="C40" i="3"/>
  <c r="C100" i="3"/>
  <c r="C98" i="3"/>
  <c r="C143" i="3"/>
  <c r="C44" i="3"/>
  <c r="C45" i="3"/>
  <c r="C46" i="3"/>
  <c r="C48" i="3"/>
  <c r="C49" i="3"/>
  <c r="C50" i="3"/>
  <c r="C51" i="3"/>
  <c r="C52" i="3"/>
  <c r="C159" i="3"/>
  <c r="C54" i="3"/>
  <c r="C55" i="3"/>
  <c r="C137" i="3"/>
  <c r="C138" i="3"/>
  <c r="C141" i="3"/>
  <c r="C139" i="3"/>
  <c r="C140" i="3"/>
  <c r="C150" i="3"/>
  <c r="C35" i="3"/>
  <c r="C77" i="3"/>
  <c r="C14" i="3"/>
  <c r="C101" i="3"/>
  <c r="C151" i="3"/>
  <c r="C82" i="3"/>
  <c r="C144" i="3"/>
  <c r="C145" i="3"/>
  <c r="C73" i="3"/>
  <c r="C19" i="3"/>
  <c r="C110" i="3"/>
  <c r="C37" i="3"/>
  <c r="C107" i="3"/>
  <c r="C23" i="3"/>
  <c r="C42" i="3"/>
  <c r="C83" i="3"/>
  <c r="C106" i="3"/>
  <c r="C84" i="3"/>
  <c r="C43" i="3"/>
  <c r="C149" i="3"/>
  <c r="C3" i="3"/>
  <c r="C13" i="3"/>
  <c r="C97" i="3"/>
  <c r="C102" i="3"/>
  <c r="C85" i="3"/>
  <c r="C95" i="3"/>
  <c r="C158" i="3"/>
  <c r="C112" i="3"/>
  <c r="C157" i="3"/>
  <c r="C88" i="3"/>
  <c r="C89" i="3"/>
  <c r="C90" i="3"/>
  <c r="C11" i="3"/>
  <c r="C47" i="3"/>
  <c r="C156" i="3"/>
  <c r="C53" i="3"/>
  <c r="C70" i="3"/>
  <c r="C57" i="3"/>
  <c r="C114" i="3"/>
  <c r="C113" i="3"/>
  <c r="C16" i="3"/>
  <c r="C8" i="3"/>
  <c r="C115" i="3"/>
  <c r="C116" i="3"/>
  <c r="C65" i="3"/>
  <c r="C58" i="3"/>
  <c r="C59" i="3"/>
  <c r="C146" i="3"/>
  <c r="C153" i="3"/>
  <c r="C117" i="3"/>
  <c r="C118" i="3"/>
  <c r="C132" i="3"/>
  <c r="C133" i="3"/>
  <c r="C60" i="3"/>
  <c r="C103" i="3"/>
  <c r="C86" i="3"/>
  <c r="C87" i="3"/>
  <c r="C155" i="3"/>
  <c r="C119" i="3"/>
  <c r="C99" i="3"/>
  <c r="C15" i="3"/>
  <c r="C120" i="3"/>
  <c r="C121" i="3"/>
  <c r="C5" i="3"/>
  <c r="C96" i="3"/>
  <c r="C21" i="3"/>
  <c r="C6" i="3"/>
  <c r="C61" i="3"/>
  <c r="C62" i="3"/>
  <c r="C63" i="3"/>
  <c r="C148" i="3"/>
  <c r="C18" i="3"/>
  <c r="C64" i="3"/>
  <c r="C28" i="3"/>
  <c r="C4" i="3"/>
  <c r="C66" i="3"/>
  <c r="C122" i="3"/>
  <c r="C136" i="3"/>
  <c r="C152" i="3"/>
  <c r="C104" i="3"/>
  <c r="C129" i="3"/>
  <c r="C147" i="3"/>
  <c r="C80" i="3"/>
  <c r="C67" i="3"/>
  <c r="C20" i="3"/>
  <c r="C68" i="3"/>
  <c r="C123" i="3"/>
  <c r="C69" i="3"/>
  <c r="C127" i="3"/>
  <c r="C124" i="3"/>
  <c r="C125" i="3"/>
  <c r="C126" i="3"/>
  <c r="C94" i="3"/>
  <c r="C71" i="3"/>
  <c r="C81" i="3"/>
  <c r="C72" i="3"/>
  <c r="C105" i="3"/>
  <c r="C74" i="3"/>
  <c r="C10" i="3"/>
  <c r="C128" i="3"/>
  <c r="C130" i="3"/>
  <c r="C154" i="3"/>
  <c r="C76" i="3"/>
  <c r="C30" i="3"/>
  <c r="C9" i="3"/>
  <c r="C56" i="3"/>
  <c r="C39" i="3"/>
  <c r="C78" i="3"/>
  <c r="HF160" i="3"/>
  <c r="HE160" i="3"/>
  <c r="HD160" i="3"/>
  <c r="HC160" i="3"/>
  <c r="HB160" i="3"/>
  <c r="HB164" i="3" s="1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78" i="3"/>
  <c r="B39" i="3"/>
  <c r="B56" i="3"/>
  <c r="B9" i="3"/>
  <c r="B30" i="3"/>
  <c r="B159" i="3"/>
  <c r="B52" i="3"/>
  <c r="B76" i="3"/>
  <c r="B154" i="3"/>
  <c r="B130" i="3"/>
  <c r="B128" i="3"/>
  <c r="B10" i="3"/>
  <c r="B74" i="3"/>
  <c r="B105" i="3"/>
  <c r="B72" i="3"/>
  <c r="B81" i="3"/>
  <c r="B36" i="3"/>
  <c r="B71" i="3"/>
  <c r="B94" i="3"/>
  <c r="B126" i="3"/>
  <c r="B125" i="3"/>
  <c r="B33" i="3"/>
  <c r="B124" i="3"/>
  <c r="B127" i="3"/>
  <c r="B69" i="3"/>
  <c r="B123" i="3"/>
  <c r="B68" i="3"/>
  <c r="B20" i="3"/>
  <c r="B67" i="3"/>
  <c r="B80" i="3"/>
  <c r="B147" i="3"/>
  <c r="B129" i="3"/>
  <c r="B104" i="3"/>
  <c r="B152" i="3"/>
  <c r="B136" i="3"/>
  <c r="B122" i="3"/>
  <c r="B66" i="3"/>
  <c r="B4" i="3"/>
  <c r="B28" i="3"/>
  <c r="B64" i="3"/>
  <c r="B18" i="3"/>
  <c r="B148" i="3"/>
  <c r="B63" i="3"/>
  <c r="B62" i="3"/>
  <c r="B61" i="3"/>
  <c r="B6" i="3"/>
  <c r="B21" i="3"/>
  <c r="B55" i="3"/>
  <c r="B96" i="3"/>
  <c r="B5" i="3"/>
  <c r="B121" i="3"/>
  <c r="B120" i="3"/>
  <c r="B15" i="3"/>
  <c r="B99" i="3"/>
  <c r="B119" i="3"/>
  <c r="B155" i="3"/>
  <c r="B87" i="3"/>
  <c r="B86" i="3"/>
  <c r="B103" i="3"/>
  <c r="B60" i="3"/>
  <c r="B133" i="3"/>
  <c r="B132" i="3"/>
  <c r="B118" i="3"/>
  <c r="B117" i="3"/>
  <c r="B153" i="3"/>
  <c r="B146" i="3"/>
  <c r="B59" i="3"/>
  <c r="B58" i="3"/>
  <c r="B24" i="3"/>
  <c r="B65" i="3"/>
  <c r="B116" i="3"/>
  <c r="B115" i="3"/>
  <c r="B8" i="3"/>
  <c r="B16" i="3"/>
  <c r="B113" i="3"/>
  <c r="B114" i="3"/>
  <c r="B57" i="3"/>
  <c r="B70" i="3"/>
  <c r="B53" i="3"/>
  <c r="B156" i="3"/>
  <c r="B47" i="3"/>
  <c r="B11" i="3"/>
  <c r="B90" i="3"/>
  <c r="B89" i="3"/>
  <c r="B111" i="3"/>
  <c r="B88" i="3"/>
  <c r="B157" i="3"/>
  <c r="B112" i="3"/>
  <c r="B158" i="3"/>
  <c r="B95" i="3"/>
  <c r="B85" i="3"/>
  <c r="B102" i="3"/>
  <c r="B97" i="3"/>
  <c r="B13" i="3"/>
  <c r="B3" i="3"/>
  <c r="B149" i="3"/>
  <c r="B43" i="3"/>
  <c r="B84" i="3"/>
  <c r="B31" i="3"/>
  <c r="B106" i="3"/>
  <c r="B83" i="3"/>
  <c r="B42" i="3"/>
  <c r="B23" i="3"/>
  <c r="B107" i="3"/>
  <c r="B37" i="3"/>
  <c r="B110" i="3"/>
  <c r="B93" i="3"/>
  <c r="B19" i="3"/>
  <c r="B73" i="3"/>
  <c r="B145" i="3"/>
  <c r="B144" i="3"/>
  <c r="B82" i="3"/>
  <c r="B151" i="3"/>
  <c r="B101" i="3"/>
  <c r="B14" i="3"/>
  <c r="B109" i="3"/>
  <c r="B77" i="3"/>
  <c r="B35" i="3"/>
  <c r="B150" i="3"/>
  <c r="B140" i="3"/>
  <c r="B139" i="3"/>
  <c r="B141" i="3"/>
  <c r="B138" i="3"/>
  <c r="B137" i="3"/>
  <c r="B54" i="3"/>
  <c r="B38" i="3"/>
  <c r="B51" i="3"/>
  <c r="B50" i="3"/>
  <c r="B49" i="3"/>
  <c r="B48" i="3"/>
  <c r="B143" i="3"/>
  <c r="B98" i="3"/>
  <c r="B100" i="3"/>
  <c r="B46" i="3"/>
  <c r="B45" i="3"/>
  <c r="B44" i="3"/>
  <c r="B135" i="3"/>
  <c r="B134" i="3"/>
  <c r="B131" i="3"/>
  <c r="B40" i="3"/>
  <c r="B17" i="3"/>
  <c r="B22" i="3"/>
  <c r="B142" i="3"/>
  <c r="B12" i="3"/>
  <c r="B108" i="3"/>
  <c r="B34" i="3"/>
  <c r="B32" i="3"/>
  <c r="B75" i="3"/>
  <c r="B29" i="3"/>
  <c r="B92" i="3"/>
  <c r="B27" i="3"/>
  <c r="B26" i="3"/>
  <c r="B41" i="3"/>
  <c r="B7" i="3"/>
  <c r="B25" i="3"/>
  <c r="B91" i="3"/>
  <c r="B79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K268" i="1" s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D19" i="7" l="1"/>
  <c r="C5" i="7"/>
  <c r="D26" i="7"/>
  <c r="D25" i="7"/>
  <c r="D24" i="7"/>
  <c r="D23" i="7"/>
  <c r="D22" i="7"/>
  <c r="D21" i="7"/>
  <c r="D20" i="7"/>
  <c r="C7" i="7"/>
  <c r="C8" i="7"/>
  <c r="C9" i="7"/>
  <c r="C10" i="7"/>
  <c r="C11" i="7"/>
  <c r="C12" i="7"/>
  <c r="C27" i="7"/>
  <c r="GY142" i="5"/>
  <c r="O142" i="5"/>
  <c r="AF142" i="5"/>
  <c r="GW142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C13" i="7" l="1"/>
</calcChain>
</file>

<file path=xl/sharedStrings.xml><?xml version="1.0" encoding="utf-8"?>
<sst xmlns="http://schemas.openxmlformats.org/spreadsheetml/2006/main" count="26191" uniqueCount="2312">
  <si>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</si>
  <si>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</si>
  <si>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</si>
  <si>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</si>
  <si>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</si>
  <si>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</si>
  <si>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</si>
  <si>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</si>
  <si>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</si>
  <si>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</si>
  <si>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</si>
  <si>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</si>
  <si>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</si>
  <si>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</si>
  <si>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</si>
  <si>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</si>
  <si>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</si>
  <si>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</si>
  <si>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</si>
  <si>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</si>
  <si>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</si>
  <si>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</si>
  <si>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</si>
  <si>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</si>
  <si>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</si>
  <si>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</si>
  <si>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</si>
  <si>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</si>
  <si>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</si>
  <si>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</si>
  <si>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</si>
  <si>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</si>
  <si>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</si>
  <si>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</si>
  <si>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</si>
  <si>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</si>
  <si>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</si>
  <si>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</si>
  <si>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</si>
  <si>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</si>
  <si>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</si>
  <si>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</si>
  <si>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</si>
  <si>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</si>
  <si>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</si>
  <si>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</si>
  <si>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</si>
  <si>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</si>
  <si>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</si>
  <si>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</si>
  <si>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</si>
  <si>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</si>
  <si>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</si>
  <si>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</si>
  <si>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</si>
  <si>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</si>
  <si>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</si>
  <si>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</si>
  <si>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</si>
  <si>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</si>
  <si>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</si>
  <si>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</si>
  <si>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</si>
  <si>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</si>
  <si>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</si>
  <si>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</si>
  <si>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</si>
  <si>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</si>
  <si>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</si>
  <si>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</si>
  <si>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</si>
  <si>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</si>
  <si>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</si>
  <si>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</si>
  <si>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</si>
  <si>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</si>
  <si>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</si>
  <si>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</si>
  <si>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</si>
  <si>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</si>
  <si>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</si>
  <si>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</si>
  <si>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</si>
  <si>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</si>
  <si>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</si>
  <si>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</si>
  <si>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</si>
  <si>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</si>
  <si>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</si>
  <si>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</si>
  <si>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</si>
  <si>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</si>
  <si>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</si>
  <si>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</si>
  <si>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</si>
  <si>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</si>
  <si>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</si>
  <si>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</si>
  <si>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</si>
  <si>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</si>
  <si>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</si>
  <si>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</si>
  <si>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</si>
  <si>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</si>
  <si>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</si>
  <si>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</si>
  <si>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</si>
  <si>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</si>
  <si>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</si>
  <si>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</si>
  <si>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</si>
  <si>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</si>
  <si>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</si>
  <si>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</si>
  <si>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</si>
  <si>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</si>
  <si>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</si>
  <si>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</si>
  <si>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</si>
  <si>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</si>
  <si>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</si>
  <si>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</si>
  <si>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</si>
  <si>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</si>
  <si>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</si>
  <si>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</si>
  <si>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</si>
  <si>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</si>
  <si>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</si>
  <si>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</si>
  <si>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</si>
  <si>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</si>
  <si>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</si>
  <si>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</si>
  <si>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</si>
  <si>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</si>
  <si>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</si>
  <si>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</si>
  <si>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</si>
  <si>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</si>
  <si>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</si>
  <si>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</si>
  <si>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</si>
  <si>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</si>
  <si>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</si>
  <si>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</si>
  <si>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</si>
  <si>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</si>
  <si>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</si>
  <si>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</si>
  <si>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</si>
  <si>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</si>
  <si>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</si>
  <si>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</si>
  <si>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</si>
  <si>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</si>
  <si>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</si>
  <si>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</si>
  <si>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</si>
  <si>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</si>
  <si>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</si>
  <si>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</si>
  <si>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</si>
  <si>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</si>
  <si>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</si>
  <si>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</si>
  <si>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</si>
  <si>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</si>
  <si>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</si>
  <si>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</si>
  <si>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</si>
  <si>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</si>
  <si>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</si>
  <si>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</si>
  <si>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</si>
  <si>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</si>
  <si>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</si>
  <si>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</si>
  <si>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</si>
  <si>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</si>
  <si>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</si>
  <si>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</si>
  <si>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</si>
  <si>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</si>
  <si>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</si>
  <si>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</si>
  <si>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</si>
  <si>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</si>
  <si>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</si>
  <si>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</si>
  <si>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</si>
  <si>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</si>
  <si>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</si>
  <si>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</si>
  <si>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</si>
  <si>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</si>
  <si>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</si>
  <si>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</si>
  <si>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</si>
  <si>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</si>
  <si>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</si>
  <si>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</si>
  <si>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</si>
  <si>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</si>
  <si>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</si>
  <si>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</si>
  <si>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</si>
  <si>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</si>
  <si>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</si>
  <si>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</si>
  <si>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</si>
  <si>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</si>
  <si>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</si>
  <si>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</si>
  <si>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</si>
  <si>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</si>
  <si>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</si>
  <si>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</si>
  <si>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</si>
  <si>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</si>
  <si>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</si>
  <si>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</si>
  <si>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</si>
  <si>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</si>
  <si>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</si>
  <si>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</si>
  <si>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</si>
  <si>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</si>
  <si>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</si>
  <si>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</si>
  <si>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</si>
  <si>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</si>
  <si>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</si>
  <si>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</si>
  <si>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</si>
  <si>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</si>
  <si>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</si>
  <si>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</si>
  <si>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</si>
  <si>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</si>
  <si>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</si>
  <si>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</si>
  <si>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</si>
  <si>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</si>
  <si>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</si>
  <si>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</si>
  <si>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</si>
  <si>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</si>
  <si>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</si>
  <si>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</si>
  <si>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</si>
  <si>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</si>
  <si>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</si>
  <si>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</si>
  <si>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</si>
  <si>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</si>
  <si>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</si>
  <si>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</si>
  <si>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</si>
  <si>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</si>
  <si>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</si>
  <si>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</si>
  <si>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</si>
  <si>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</si>
  <si>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</si>
  <si>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</si>
  <si>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</si>
  <si>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</si>
  <si>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</si>
  <si>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</si>
  <si>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</si>
  <si>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</si>
  <si>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</si>
  <si>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</si>
  <si>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</si>
  <si>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</si>
  <si>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</si>
  <si>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</si>
  <si>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</si>
  <si>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</si>
  <si>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</si>
  <si>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</si>
  <si>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</si>
  <si>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</si>
  <si>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</si>
  <si>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</si>
  <si>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</si>
  <si>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</si>
  <si>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</si>
  <si>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</si>
  <si>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</si>
  <si>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</si>
  <si>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</si>
  <si>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</si>
  <si>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</si>
  <si>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</si>
  <si>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</si>
  <si>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</si>
  <si>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</si>
  <si>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</si>
  <si>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</si>
  <si>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</si>
  <si>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</si>
  <si>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</si>
  <si>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</si>
  <si>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</si>
  <si>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</si>
  <si>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</si>
  <si>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</si>
  <si>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</si>
  <si>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</si>
  <si>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</si>
  <si>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</si>
  <si>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</si>
  <si>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</si>
  <si>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</si>
  <si>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</si>
  <si>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</si>
  <si>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</si>
  <si>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</si>
  <si>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</si>
  <si>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</si>
  <si>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</si>
  <si>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</si>
  <si>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</si>
  <si>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</si>
  <si>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</si>
  <si>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</si>
  <si>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</si>
  <si>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</si>
  <si>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</si>
  <si>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</si>
  <si>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</si>
  <si>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</si>
  <si>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</si>
  <si>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</si>
  <si>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</si>
  <si>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</si>
  <si>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</si>
  <si>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</si>
  <si>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</si>
  <si>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</si>
  <si>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</si>
  <si>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</si>
  <si>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</si>
  <si>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</si>
  <si>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</si>
  <si>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</si>
  <si>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</si>
  <si>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</si>
  <si>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</si>
  <si>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</si>
  <si>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</si>
  <si>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</si>
  <si>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</si>
  <si>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</si>
  <si>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</si>
  <si>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</si>
  <si>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</si>
  <si>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</si>
  <si>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</si>
  <si>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</si>
  <si>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</si>
  <si>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</si>
  <si>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</si>
  <si>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</si>
  <si>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</si>
  <si>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</si>
  <si>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</si>
  <si>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</si>
  <si>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</si>
  <si>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</si>
  <si>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</si>
  <si>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</si>
  <si>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</si>
  <si>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</si>
  <si>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</si>
  <si>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</si>
  <si>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</si>
  <si>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</si>
  <si>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</si>
  <si>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</si>
  <si>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</si>
  <si>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</si>
  <si>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</si>
  <si>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</si>
  <si>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</si>
  <si>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</si>
  <si>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</si>
  <si>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</si>
  <si>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</si>
  <si>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</si>
  <si>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</si>
  <si>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</si>
  <si>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</si>
  <si>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</si>
  <si>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</si>
  <si>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</si>
  <si>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</si>
  <si>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</si>
  <si>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</si>
  <si>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</si>
  <si>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</si>
  <si>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</si>
  <si>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</si>
  <si>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</si>
  <si>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</si>
  <si>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</si>
  <si>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</si>
  <si>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</si>
  <si>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</si>
  <si>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</si>
  <si>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</si>
  <si>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</si>
  <si>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</si>
  <si>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</si>
  <si>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</si>
  <si>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</si>
  <si>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</si>
  <si>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</si>
  <si>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</si>
  <si>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</si>
  <si>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</si>
  <si>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</si>
  <si>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</si>
  <si>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</si>
  <si>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</si>
  <si>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</si>
  <si>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</si>
  <si>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</si>
  <si>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</si>
  <si>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</si>
  <si>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</si>
  <si>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</si>
  <si>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</si>
  <si>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</si>
  <si>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</si>
  <si>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</si>
  <si>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</si>
  <si>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</si>
  <si>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</si>
  <si>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</si>
  <si>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</si>
  <si>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</si>
  <si>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</si>
  <si>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</si>
  <si>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</si>
  <si>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</si>
  <si>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</si>
  <si>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</si>
  <si>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</si>
  <si>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</si>
  <si>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</si>
  <si>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</si>
  <si>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</si>
  <si>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</si>
  <si>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</si>
  <si>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</si>
  <si>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</si>
  <si>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</si>
  <si>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</si>
  <si>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</si>
  <si>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</si>
  <si>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</si>
  <si>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</si>
  <si>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</si>
  <si>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</si>
  <si>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</si>
  <si>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</si>
  <si>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</si>
  <si>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</si>
  <si>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</si>
  <si>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</si>
  <si>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</si>
  <si>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</si>
  <si>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</si>
  <si>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</si>
  <si>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</si>
  <si>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</si>
  <si>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</si>
  <si>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</si>
  <si>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</si>
  <si>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</si>
  <si>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</si>
  <si>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</si>
  <si>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</si>
  <si>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</si>
  <si>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</si>
  <si>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</si>
  <si>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</si>
  <si>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</si>
  <si>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</si>
  <si>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</si>
  <si>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</si>
  <si>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</si>
  <si>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</si>
  <si>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</si>
  <si>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</si>
  <si>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</si>
  <si>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</si>
  <si>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</si>
  <si>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</si>
  <si>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</si>
  <si>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</si>
  <si>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</si>
  <si>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</si>
  <si>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</si>
  <si>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</si>
  <si>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</si>
  <si>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</si>
  <si>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</si>
  <si>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</si>
  <si>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</si>
  <si>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</si>
  <si>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</si>
  <si>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</si>
  <si>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</si>
  <si>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</si>
  <si>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</si>
  <si>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</si>
  <si>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</si>
  <si>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</si>
  <si>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</si>
  <si>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</si>
  <si>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</si>
  <si>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</si>
  <si>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</si>
  <si>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</si>
  <si>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</si>
  <si>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</si>
  <si>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</si>
  <si>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</si>
  <si>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</si>
  <si>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</si>
  <si>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</si>
  <si>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</si>
  <si>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</si>
  <si>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</si>
  <si>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</si>
  <si>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</si>
  <si>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</si>
  <si>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</si>
  <si>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</si>
  <si>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</si>
  <si>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</si>
  <si>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</si>
  <si>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</si>
  <si>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</si>
  <si>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</si>
  <si>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</si>
  <si>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</si>
  <si>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</si>
  <si>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</si>
  <si>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</si>
  <si>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</si>
  <si>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</si>
  <si>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</si>
  <si>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</si>
  <si>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</si>
  <si>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</si>
  <si>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</si>
  <si>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</si>
  <si>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</si>
  <si>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</si>
  <si>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</si>
  <si>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</si>
  <si>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</si>
  <si>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</si>
  <si>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</si>
  <si>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</si>
  <si>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</si>
  <si>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</si>
  <si>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</si>
  <si>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</si>
  <si>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</si>
  <si>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</si>
  <si>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</si>
  <si>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</si>
  <si>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</si>
  <si>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</si>
  <si>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</si>
  <si>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</si>
  <si>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</si>
  <si>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</si>
  <si>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</si>
  <si>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</si>
  <si>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</si>
  <si>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</si>
  <si>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</si>
  <si>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</si>
  <si>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</si>
  <si>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</si>
  <si>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</si>
  <si>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</si>
  <si>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</si>
  <si>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</si>
  <si>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</si>
  <si>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</si>
  <si>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</si>
  <si>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</si>
  <si>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</si>
  <si>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</si>
  <si>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</si>
  <si>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</si>
  <si>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</si>
  <si>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</si>
  <si>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</si>
  <si>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</si>
  <si>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</si>
  <si>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</si>
  <si>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</si>
  <si>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</si>
  <si>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</si>
  <si>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</si>
  <si>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</si>
  <si>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</si>
  <si>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</si>
  <si>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</si>
  <si>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</si>
  <si>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</si>
  <si>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</si>
  <si>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</si>
  <si>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</si>
  <si>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</si>
  <si>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</si>
  <si>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</si>
  <si>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</si>
  <si>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</si>
  <si>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</si>
  <si>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</si>
  <si>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</si>
  <si>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</si>
  <si>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</si>
  <si>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</si>
  <si>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</si>
  <si>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</si>
  <si>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</si>
  <si>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</si>
  <si>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</si>
  <si>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</si>
  <si>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</si>
  <si>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</si>
  <si>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</si>
  <si>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</si>
  <si>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</si>
  <si>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</si>
  <si>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</si>
  <si>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</si>
  <si>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</si>
  <si>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</si>
  <si>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</si>
  <si>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</si>
  <si>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</si>
  <si>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</si>
  <si>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</si>
  <si>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</si>
  <si>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</si>
  <si>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</si>
  <si>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</si>
  <si>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</si>
  <si>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</si>
  <si>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</si>
  <si>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</si>
  <si>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</si>
  <si>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</si>
  <si>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</si>
  <si>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</si>
  <si>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</si>
  <si>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</si>
  <si>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</si>
  <si>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</si>
  <si>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</si>
  <si>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</si>
  <si>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</si>
  <si>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</si>
  <si>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</si>
  <si>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</si>
  <si>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</si>
  <si>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</si>
  <si>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</si>
  <si>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</si>
  <si>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</si>
  <si>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</si>
  <si>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</si>
  <si>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</si>
  <si>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</si>
  <si>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</si>
  <si>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</si>
  <si>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</si>
  <si>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</si>
  <si>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</si>
  <si>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</si>
  <si>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</si>
  <si>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</si>
  <si>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</si>
  <si>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</si>
  <si>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</si>
  <si>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</si>
  <si>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</si>
  <si>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</si>
  <si>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</si>
  <si>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</si>
  <si>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</si>
  <si>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</si>
  <si>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</si>
  <si>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</si>
  <si>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</si>
  <si>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</si>
  <si>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</si>
  <si>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</si>
  <si>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</si>
  <si>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</si>
  <si>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</si>
  <si>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</si>
  <si>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</si>
  <si>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</si>
  <si>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</si>
  <si>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</si>
  <si>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</si>
  <si>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</si>
  <si>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</si>
  <si>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</si>
  <si>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</si>
  <si>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</si>
  <si>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</si>
  <si>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</si>
  <si>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</si>
  <si>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</si>
  <si>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</si>
  <si>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</si>
  <si>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</si>
  <si>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</si>
  <si>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</si>
  <si>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</si>
  <si>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</si>
  <si>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</si>
  <si>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</si>
  <si>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</si>
  <si>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</si>
  <si>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</si>
  <si>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</si>
  <si>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</si>
  <si>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</si>
  <si>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</si>
  <si>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</si>
  <si>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</si>
  <si>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</si>
  <si>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</si>
  <si>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</si>
  <si>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</si>
  <si>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</si>
  <si>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</si>
  <si>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</si>
  <si>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</si>
  <si>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</si>
  <si>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</si>
  <si>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</si>
  <si>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</si>
  <si>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</si>
  <si>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</si>
  <si>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</si>
  <si>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</si>
  <si>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</si>
  <si>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</si>
  <si>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</si>
  <si>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</si>
  <si>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</si>
  <si>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</si>
  <si>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</si>
  <si>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</si>
  <si>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</si>
  <si>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</si>
  <si>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</si>
  <si>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</si>
  <si>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</si>
  <si>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</si>
  <si>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</si>
  <si>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</si>
  <si>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</si>
  <si>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</si>
  <si>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</si>
  <si>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</si>
  <si>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</si>
  <si>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</si>
  <si>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</si>
  <si>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</si>
  <si>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</si>
  <si>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</si>
  <si>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</si>
  <si>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</si>
  <si>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</si>
  <si>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</si>
  <si>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</si>
  <si>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</si>
  <si>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</si>
  <si>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</si>
  <si>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</si>
  <si>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</si>
  <si>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</si>
  <si>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</si>
  <si>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</si>
  <si>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</si>
  <si>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</si>
  <si>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</si>
  <si>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</si>
  <si>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</si>
  <si>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</si>
  <si>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</si>
  <si>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</si>
  <si>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</si>
  <si>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</si>
  <si>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</si>
  <si>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</si>
  <si>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</si>
  <si>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</si>
  <si>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</si>
  <si>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</si>
  <si>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</si>
  <si>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</si>
  <si>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</si>
  <si>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</si>
  <si>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</si>
  <si>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</si>
  <si>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</si>
  <si>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</si>
  <si>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</si>
  <si>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</si>
  <si>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</si>
  <si>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</si>
  <si>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</si>
  <si>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</si>
  <si>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</si>
  <si>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</si>
  <si>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</si>
  <si>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</si>
  <si>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</si>
  <si>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</si>
  <si>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</si>
  <si>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</si>
  <si>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</si>
  <si>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</si>
  <si>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</si>
  <si>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</si>
  <si>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</si>
  <si>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</si>
  <si>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</si>
  <si>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</si>
  <si>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</si>
  <si>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</si>
  <si>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</si>
  <si>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</si>
  <si>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</si>
  <si>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</si>
  <si>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</si>
  <si>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</si>
  <si>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</si>
  <si>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</si>
  <si>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</si>
  <si>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</si>
  <si>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</si>
  <si>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</si>
  <si>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</si>
  <si>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</si>
  <si>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</si>
  <si>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</si>
  <si>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</si>
  <si>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</si>
  <si>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</si>
  <si>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</si>
  <si>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</si>
  <si>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</si>
  <si>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</si>
  <si>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</si>
  <si>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</si>
  <si>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</si>
  <si>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</si>
  <si>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</si>
  <si>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</si>
  <si>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</si>
  <si>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</si>
  <si>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</si>
  <si>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</si>
  <si>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</si>
  <si>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</si>
  <si>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</si>
  <si>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</si>
  <si>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</si>
  <si>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</si>
  <si>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</si>
  <si>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</si>
  <si>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</si>
  <si>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</si>
  <si>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</si>
  <si>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</si>
  <si>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</si>
  <si>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</si>
  <si>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</si>
  <si>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</si>
  <si>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</si>
  <si>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</si>
  <si>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</si>
  <si>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</si>
  <si>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</si>
  <si>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</si>
  <si>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</si>
  <si>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</si>
  <si>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</si>
  <si>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</si>
  <si>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</si>
  <si>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</si>
  <si>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</si>
  <si>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</si>
  <si>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</si>
  <si>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</si>
  <si>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</si>
  <si>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</si>
  <si>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</si>
  <si>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</si>
  <si>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</si>
  <si>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</si>
  <si>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</si>
  <si>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</si>
  <si>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</si>
  <si>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</si>
  <si>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</si>
  <si>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</si>
  <si>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</si>
  <si>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</si>
  <si>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</si>
  <si>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</si>
  <si>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</si>
  <si>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</si>
  <si>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</si>
  <si>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</si>
  <si>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</si>
  <si>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</si>
  <si>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</si>
  <si>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</si>
  <si>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</si>
  <si>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</si>
  <si>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</si>
  <si>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</si>
  <si>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</si>
  <si>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</si>
  <si>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</si>
  <si>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</si>
  <si>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</si>
  <si>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</si>
  <si>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</si>
  <si>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</si>
  <si>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</si>
  <si>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</si>
  <si>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</si>
  <si>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</si>
  <si>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</si>
  <si>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</si>
  <si>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</si>
  <si>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</si>
  <si>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</si>
  <si>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</si>
  <si>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</si>
  <si>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</si>
  <si>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</si>
  <si>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</si>
  <si>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</si>
  <si>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</si>
  <si>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</si>
  <si>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</si>
  <si>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</si>
  <si>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</si>
  <si>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</si>
  <si>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</si>
  <si>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</si>
  <si>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</si>
  <si>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</si>
  <si>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</si>
  <si>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</si>
  <si>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</si>
  <si>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</si>
  <si>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</si>
  <si>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</si>
  <si>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</si>
  <si>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</si>
  <si>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</si>
  <si>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</si>
  <si>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</si>
  <si>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</si>
  <si>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</si>
  <si>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</si>
  <si>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</si>
  <si>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</si>
  <si>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</si>
  <si>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</si>
  <si>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</si>
  <si>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</si>
  <si>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</si>
  <si>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</si>
  <si>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</si>
  <si>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</si>
  <si>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</si>
  <si>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</si>
  <si>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</si>
  <si>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</si>
  <si>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</si>
  <si>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</si>
  <si>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</si>
  <si>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</si>
  <si>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</si>
  <si>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</si>
  <si>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</si>
  <si>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</si>
  <si>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</si>
  <si>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</si>
  <si>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</si>
  <si>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</si>
  <si>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</si>
  <si>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</si>
  <si>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</si>
  <si>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</si>
  <si>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</si>
  <si>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</si>
  <si>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</si>
  <si>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</si>
  <si>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</si>
  <si>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</si>
  <si>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</si>
  <si>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</si>
  <si>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</si>
  <si>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</si>
  <si>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</si>
  <si>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</si>
  <si>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</si>
  <si>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</si>
  <si>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</si>
  <si>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</si>
  <si>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</si>
  <si>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</si>
  <si>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</si>
  <si>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</si>
  <si>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</si>
  <si>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</si>
  <si>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</si>
  <si>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</si>
  <si>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</si>
  <si>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</si>
  <si>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</si>
  <si>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</si>
  <si>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</si>
  <si>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</si>
  <si>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</si>
  <si>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</si>
  <si>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</si>
  <si>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</si>
  <si>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</si>
  <si>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</si>
  <si>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</si>
  <si>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</si>
  <si>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</si>
  <si>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</si>
  <si>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</si>
  <si>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</si>
  <si>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</si>
  <si>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</si>
  <si>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</si>
  <si>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</si>
  <si>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</si>
  <si>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</si>
  <si>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</si>
  <si>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</si>
  <si>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</si>
  <si>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</si>
  <si>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</si>
  <si>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</si>
  <si>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</si>
  <si>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</si>
  <si>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</si>
  <si>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</si>
  <si>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</si>
  <si>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</si>
  <si>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</si>
  <si>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</si>
  <si>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</si>
  <si>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</si>
  <si>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</si>
  <si>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</si>
  <si>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</si>
  <si>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</si>
  <si>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</si>
  <si>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</si>
  <si>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</si>
  <si>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</si>
  <si>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</si>
  <si>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</si>
  <si>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</si>
  <si>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</si>
  <si>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</si>
  <si>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</si>
  <si>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</si>
  <si>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</si>
  <si>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</si>
  <si>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</si>
  <si>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</si>
  <si>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</si>
  <si>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</si>
  <si>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</si>
  <si>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</si>
  <si>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</si>
  <si>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</si>
  <si>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</si>
  <si>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</si>
  <si>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</si>
  <si>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</si>
  <si>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</si>
  <si>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</si>
  <si>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</si>
  <si>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</si>
  <si>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</si>
  <si>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</si>
  <si>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</si>
  <si>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</si>
  <si>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</si>
  <si>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</si>
  <si>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</si>
  <si>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</si>
  <si>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</si>
  <si>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</si>
  <si>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</si>
  <si>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</si>
  <si>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</si>
  <si>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</si>
  <si>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</si>
  <si>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</si>
  <si>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</si>
  <si>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</si>
  <si>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</si>
  <si>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</si>
  <si>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</si>
  <si>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</si>
  <si>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</si>
  <si>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</si>
  <si>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</si>
  <si>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</si>
  <si>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</si>
  <si>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</si>
  <si>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</si>
  <si>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</si>
  <si>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</si>
  <si>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</si>
  <si>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</si>
  <si>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</si>
  <si>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</si>
  <si>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</si>
  <si>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</si>
  <si>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</si>
  <si>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</si>
  <si>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</si>
  <si>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</si>
  <si>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</si>
  <si>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</si>
  <si>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</si>
  <si>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</si>
  <si>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</si>
  <si>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</si>
  <si>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</si>
  <si>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</si>
  <si>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</si>
  <si>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</si>
  <si>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</si>
  <si>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</si>
  <si>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</si>
  <si>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</si>
  <si>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</si>
  <si>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</si>
  <si>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</si>
  <si>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</si>
  <si>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</si>
  <si>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</si>
  <si>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</si>
  <si>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</si>
  <si>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</si>
  <si>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</si>
  <si>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</si>
  <si>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</si>
  <si>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</si>
  <si>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</si>
  <si>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</si>
  <si>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</si>
  <si>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</si>
  <si>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</si>
  <si>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</si>
  <si>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</si>
  <si>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</si>
  <si>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</si>
  <si>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</si>
  <si>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</si>
  <si>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</si>
  <si>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</si>
  <si>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</si>
  <si>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</si>
  <si>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</si>
  <si>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</si>
  <si>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</si>
  <si>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</si>
  <si>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</si>
  <si>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</si>
  <si>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</si>
  <si>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</si>
  <si>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</si>
  <si>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</si>
  <si>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</si>
  <si>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</si>
  <si>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</si>
  <si>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</si>
  <si>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</si>
  <si>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</si>
  <si>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</si>
  <si>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</si>
  <si>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</si>
  <si>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</si>
  <si>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</si>
  <si>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</si>
  <si>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</si>
  <si>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</si>
  <si>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</si>
  <si>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</si>
  <si>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</si>
  <si>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</si>
  <si>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</si>
  <si>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</si>
  <si>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</si>
  <si>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</si>
  <si>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</si>
  <si>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</si>
  <si>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</si>
  <si>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</si>
  <si>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</si>
  <si>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</si>
  <si>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</si>
  <si>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</si>
  <si>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</si>
  <si>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</si>
  <si>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</si>
  <si>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</si>
  <si>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</si>
  <si>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</si>
  <si>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</si>
  <si>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</si>
  <si>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</si>
  <si>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</si>
  <si>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</si>
  <si>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</si>
  <si>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</si>
  <si>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</si>
  <si>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</si>
  <si>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</si>
  <si>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</si>
  <si>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</si>
  <si>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</si>
  <si>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</si>
  <si>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</si>
  <si>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</si>
  <si>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</si>
  <si>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</si>
  <si>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</si>
  <si>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</si>
  <si>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</si>
  <si>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</si>
  <si>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</si>
  <si>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</si>
  <si>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</si>
  <si>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</si>
  <si>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</si>
  <si>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</si>
  <si>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</si>
  <si>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</si>
  <si>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</si>
  <si>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</si>
  <si>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</si>
  <si>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</si>
  <si>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</si>
  <si>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</si>
  <si>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</si>
  <si>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</si>
  <si>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</si>
  <si>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</si>
  <si>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</si>
  <si>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</si>
  <si>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</si>
  <si>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</si>
  <si>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</si>
  <si>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</si>
  <si>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</si>
  <si>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</si>
  <si>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</si>
  <si>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</si>
  <si>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</si>
  <si>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</si>
  <si>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</si>
  <si>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</si>
  <si>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</si>
  <si>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</si>
  <si>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</si>
  <si>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</si>
  <si>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</si>
  <si>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</si>
  <si>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</si>
  <si>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</si>
  <si>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</si>
  <si>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</si>
  <si>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</si>
  <si>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</si>
  <si>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</si>
  <si>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</si>
  <si>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</si>
  <si>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</si>
  <si>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</si>
  <si>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</si>
  <si>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</si>
  <si>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</si>
  <si>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</si>
  <si>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</si>
  <si>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</si>
  <si>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</si>
  <si>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</si>
  <si>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</si>
  <si>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</si>
  <si>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</si>
  <si>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</si>
  <si>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</si>
  <si>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</si>
  <si>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</si>
  <si>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</si>
  <si>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</si>
  <si>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</si>
  <si>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</si>
  <si>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</si>
  <si>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</si>
  <si>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</si>
  <si>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</si>
  <si>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</si>
  <si>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</si>
  <si>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</si>
  <si>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</si>
  <si>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</si>
  <si>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</si>
  <si>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</si>
  <si>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</si>
  <si>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</si>
  <si>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</si>
  <si>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</si>
  <si>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</si>
  <si>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</si>
  <si>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</si>
  <si>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</si>
  <si>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</si>
  <si>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</si>
  <si>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</si>
  <si>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</si>
  <si>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</si>
  <si>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</si>
  <si>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</si>
  <si>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</si>
  <si>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</si>
  <si>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</si>
  <si>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</si>
  <si>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</si>
  <si>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</si>
  <si>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</si>
  <si>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</si>
  <si>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</si>
  <si>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</si>
  <si>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</si>
  <si>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</si>
  <si>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</si>
  <si>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</si>
  <si>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</si>
  <si>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</si>
  <si>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</si>
  <si>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</si>
  <si>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</si>
  <si>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</si>
  <si>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</si>
  <si>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</si>
  <si>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</si>
  <si>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</si>
  <si>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</si>
  <si>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</si>
  <si>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</si>
  <si>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</si>
  <si>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</si>
  <si>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</si>
  <si>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</si>
  <si>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</si>
  <si>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</si>
  <si>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</si>
  <si>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</si>
  <si>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</si>
  <si>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</si>
  <si>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</si>
  <si>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</si>
  <si>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</si>
  <si>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</si>
  <si>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</si>
  <si>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</si>
  <si>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</si>
  <si>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</si>
  <si>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</si>
  <si>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</si>
  <si>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</si>
  <si>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</si>
  <si>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</si>
  <si>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</si>
  <si>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</si>
  <si>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</si>
  <si>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</si>
  <si>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</si>
  <si>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</si>
  <si>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</si>
  <si>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</si>
  <si>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</si>
  <si>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</si>
  <si>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</si>
  <si>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</si>
  <si>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</si>
  <si>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</si>
  <si>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</si>
  <si>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</si>
  <si>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</si>
  <si>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</si>
  <si>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</si>
  <si>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</si>
  <si>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</si>
  <si>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</si>
  <si>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</si>
  <si>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</si>
  <si>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</si>
  <si>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</si>
  <si>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</si>
  <si>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</si>
  <si>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</si>
  <si>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</si>
  <si>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</si>
  <si>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</si>
  <si>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</si>
  <si>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</si>
  <si>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</si>
  <si>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</si>
  <si>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</si>
  <si>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</si>
  <si>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</si>
  <si>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</si>
  <si>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</si>
  <si>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</si>
  <si>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</si>
  <si>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</si>
  <si>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</si>
  <si>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</si>
  <si>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</si>
  <si>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</si>
  <si>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</si>
  <si>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</si>
  <si>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</si>
  <si>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</si>
  <si>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</si>
  <si>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</si>
  <si>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</si>
  <si>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</si>
  <si>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</si>
  <si>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</si>
  <si>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</si>
  <si>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</si>
  <si>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</si>
  <si>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</si>
  <si>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</si>
  <si>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</si>
  <si>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</si>
  <si>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</si>
  <si>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</si>
  <si>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</si>
  <si>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</si>
  <si>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</si>
  <si>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</si>
  <si>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</si>
  <si>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</si>
  <si>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</si>
  <si>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</si>
  <si>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</si>
  <si>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</si>
  <si>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</si>
  <si>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</si>
  <si>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</si>
  <si>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</si>
  <si>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</si>
  <si>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</si>
  <si>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</si>
  <si>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</si>
  <si>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</si>
  <si>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</si>
  <si>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</si>
  <si>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</si>
  <si>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</si>
  <si>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</si>
  <si>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</si>
  <si>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</si>
  <si>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</si>
  <si>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</si>
  <si>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</si>
  <si>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</si>
  <si>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</si>
  <si>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</si>
  <si>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</si>
  <si>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</si>
  <si>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</si>
  <si>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</si>
  <si>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</si>
  <si>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</si>
  <si>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</si>
  <si>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</si>
  <si>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</si>
  <si>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</si>
  <si>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</si>
  <si>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</si>
  <si>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</si>
  <si>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</si>
  <si>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</si>
  <si>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</si>
  <si>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</si>
  <si>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</si>
  <si>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</si>
  <si>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</si>
  <si>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</si>
  <si>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</si>
  <si>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</si>
  <si>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</si>
  <si>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</si>
  <si>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</si>
  <si>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</si>
  <si>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</si>
  <si>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</si>
  <si>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</si>
  <si>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</si>
  <si>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</si>
  <si>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</si>
  <si>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</si>
  <si>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</si>
  <si>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</si>
  <si>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</si>
  <si>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</si>
  <si>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</si>
  <si>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</si>
  <si>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</si>
  <si>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</si>
  <si>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</si>
  <si>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</si>
  <si>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</si>
  <si>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</si>
  <si>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</si>
  <si>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</si>
  <si>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</si>
  <si>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</si>
  <si>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</si>
  <si>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</si>
  <si>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</si>
  <si>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</si>
  <si>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</si>
  <si>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</si>
  <si>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</si>
  <si>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</si>
  <si>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</si>
  <si>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</si>
  <si>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</si>
  <si>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</si>
  <si>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</si>
  <si>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</si>
  <si>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</si>
  <si>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</si>
  <si>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</si>
  <si>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</si>
  <si>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</si>
  <si>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</si>
  <si>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</si>
  <si>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</si>
  <si>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</si>
  <si>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</si>
  <si>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</si>
  <si>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</si>
  <si>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</si>
  <si>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</si>
  <si>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</si>
  <si>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</si>
  <si>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</si>
  <si>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</si>
  <si>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</si>
  <si>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</si>
  <si>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</si>
  <si>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</si>
  <si>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</si>
  <si>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</si>
  <si>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</si>
  <si>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</si>
  <si>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</si>
  <si>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</si>
  <si>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</si>
  <si>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</si>
  <si>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</si>
  <si>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</si>
  <si>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</si>
  <si>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</si>
  <si>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</si>
  <si>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</si>
  <si>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</si>
  <si>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</si>
  <si>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</si>
  <si>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</si>
  <si>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</si>
  <si>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</si>
  <si>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</si>
  <si>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</si>
  <si>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</si>
  <si>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</si>
  <si>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</si>
  <si>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</si>
  <si>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</si>
  <si>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</si>
  <si>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</si>
  <si>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</si>
  <si>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</si>
  <si>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</si>
  <si>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</si>
  <si>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</si>
  <si>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</si>
  <si>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</si>
  <si>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</si>
  <si>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</si>
  <si>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</si>
  <si>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</si>
  <si>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</si>
  <si>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</si>
  <si>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</si>
  <si>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</si>
  <si>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</si>
  <si>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</si>
  <si>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</si>
  <si>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</si>
  <si>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</si>
  <si>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</si>
  <si>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</si>
  <si>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</si>
  <si>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</si>
  <si>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</si>
  <si>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</si>
  <si>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</si>
  <si>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</si>
  <si>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</si>
  <si>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</si>
  <si>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</si>
  <si>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</si>
  <si>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</si>
  <si>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</si>
  <si>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</si>
  <si>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</si>
  <si>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</si>
  <si>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</si>
  <si>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</si>
  <si>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</si>
  <si>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</si>
  <si>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</si>
  <si>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</si>
  <si>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</si>
  <si>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</si>
  <si>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</si>
  <si>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</si>
  <si>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</si>
  <si>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</si>
  <si>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</si>
  <si>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</si>
  <si>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</si>
  <si>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</si>
  <si>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</si>
  <si>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</si>
  <si>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</si>
  <si>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</si>
  <si>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</si>
  <si>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</si>
  <si>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</si>
  <si>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</si>
  <si>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</si>
  <si>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</si>
  <si>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</si>
  <si>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</si>
  <si>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</si>
  <si>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</si>
  <si>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</si>
  <si>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</si>
  <si>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</si>
  <si>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</si>
  <si>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</si>
  <si>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</si>
  <si>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</si>
  <si>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</si>
  <si>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</si>
  <si>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</si>
  <si>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</si>
  <si>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</si>
  <si>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</si>
  <si>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</si>
  <si>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</si>
  <si>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</si>
  <si>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</si>
  <si>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</si>
  <si>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</si>
  <si>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</si>
  <si>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</si>
  <si>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</si>
  <si>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</si>
  <si>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</si>
  <si>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</si>
  <si>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</si>
  <si>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</si>
  <si>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</si>
  <si>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</si>
  <si>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</si>
  <si>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</si>
  <si>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</si>
  <si>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</si>
  <si>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</si>
  <si>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</si>
  <si>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</si>
  <si>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</si>
  <si>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</si>
  <si>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</si>
  <si>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</si>
  <si>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</si>
  <si>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</si>
  <si>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</si>
  <si>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</si>
  <si>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</si>
  <si>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</si>
  <si>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</si>
  <si>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</si>
  <si>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</si>
  <si>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</si>
  <si>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</si>
  <si>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</si>
  <si>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</si>
  <si>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</si>
  <si>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</si>
  <si>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</si>
  <si>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</si>
  <si>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</si>
  <si>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</si>
  <si>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</si>
  <si>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</si>
  <si>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</si>
  <si>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</si>
  <si>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</si>
  <si>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</si>
  <si>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</si>
  <si>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</si>
  <si>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</si>
  <si>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</si>
  <si>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</si>
  <si>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</si>
  <si>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</si>
  <si>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</si>
  <si>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</si>
  <si>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</si>
  <si>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</si>
  <si>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</si>
  <si>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</si>
  <si>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</si>
  <si>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</si>
  <si>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</si>
  <si>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</si>
  <si>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</si>
  <si>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</si>
  <si>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</si>
  <si>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</si>
  <si>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</si>
  <si>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</si>
  <si>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</si>
  <si>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</si>
  <si>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</si>
  <si>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</si>
  <si>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</si>
  <si>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</si>
  <si>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</si>
  <si>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</si>
  <si>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</si>
  <si>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</si>
  <si>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</si>
  <si>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</si>
  <si>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</si>
  <si>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</si>
  <si>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</si>
  <si>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</si>
  <si>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</si>
  <si>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</si>
  <si>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</si>
  <si>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</si>
  <si>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</si>
  <si>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</si>
  <si>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</si>
  <si>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</si>
  <si>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</si>
  <si>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</si>
  <si>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</si>
  <si>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</si>
  <si>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</si>
  <si>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</si>
  <si>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</si>
  <si>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</si>
  <si>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</si>
  <si>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</si>
  <si>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</si>
  <si>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</si>
  <si>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</si>
  <si>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</si>
  <si>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</si>
  <si>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</si>
  <si>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</si>
  <si>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</si>
  <si>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</si>
  <si>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</si>
  <si>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</si>
  <si>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</si>
  <si>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</si>
  <si>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</si>
  <si>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</si>
  <si>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</si>
  <si>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</si>
  <si>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</si>
  <si>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</si>
  <si>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</si>
  <si>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</si>
  <si>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</si>
  <si>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</si>
  <si>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</si>
  <si>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</si>
  <si>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</si>
  <si>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</si>
  <si>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</si>
  <si>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</si>
  <si>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</si>
  <si>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</si>
  <si>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</si>
  <si>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</si>
  <si>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</si>
  <si>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</si>
  <si>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</si>
  <si>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</si>
  <si>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</si>
  <si>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</si>
  <si>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</si>
  <si>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</si>
  <si>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</si>
  <si>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</si>
  <si>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</si>
  <si>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</si>
  <si>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</si>
  <si>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</si>
  <si>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</si>
  <si>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</si>
  <si>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</si>
  <si>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</si>
  <si>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</si>
  <si>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</si>
  <si>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</si>
  <si>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</si>
  <si>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</si>
  <si>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</si>
  <si>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</si>
  <si>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</si>
  <si>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</si>
  <si>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</si>
  <si>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</si>
  <si>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</si>
  <si>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</si>
  <si>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</si>
  <si>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</si>
  <si>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</si>
  <si>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</si>
  <si>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</si>
  <si>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</si>
  <si>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</si>
  <si>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</si>
  <si>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</si>
  <si>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</si>
  <si>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</si>
  <si>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</si>
  <si>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</si>
  <si>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</si>
  <si>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</si>
  <si>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</si>
  <si>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</si>
  <si>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</si>
  <si>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</si>
  <si>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</si>
  <si>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</si>
  <si>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</si>
  <si>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</si>
  <si>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</si>
  <si>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</si>
  <si>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</si>
  <si>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</si>
  <si>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</si>
  <si>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</si>
  <si>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</si>
  <si>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</si>
  <si>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</si>
  <si>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</si>
  <si>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</si>
  <si>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</si>
  <si>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</si>
  <si>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</si>
  <si>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</si>
  <si>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</si>
  <si>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</si>
  <si>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</si>
  <si>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</si>
  <si>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</si>
  <si>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</si>
  <si>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</si>
  <si>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</si>
  <si>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</si>
  <si>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</si>
  <si>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</si>
  <si>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</si>
  <si>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</si>
  <si>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</si>
  <si>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</si>
  <si>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</si>
  <si>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</si>
  <si>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</si>
  <si>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</si>
  <si>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</si>
  <si>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</si>
  <si>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</si>
  <si>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</si>
  <si>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</si>
  <si>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</si>
  <si>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</si>
  <si>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</si>
  <si>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</si>
  <si>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</si>
  <si>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</si>
  <si>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</si>
  <si>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</si>
  <si>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</si>
  <si>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</si>
  <si>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</si>
  <si>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</si>
  <si>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</si>
  <si>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</si>
  <si>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</si>
  <si>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</si>
  <si>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</si>
  <si>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</si>
  <si>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</si>
  <si>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</si>
  <si>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</si>
  <si>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</si>
  <si>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</si>
  <si>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</si>
  <si>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</si>
  <si>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</si>
  <si>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</si>
  <si>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</si>
  <si>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</si>
  <si>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</si>
  <si>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</si>
  <si>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</si>
  <si>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</si>
  <si>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</si>
  <si>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</si>
  <si>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</si>
  <si>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</si>
  <si>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</si>
  <si>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</si>
  <si>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</si>
  <si>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</si>
  <si>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</si>
  <si>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</si>
  <si>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</si>
  <si>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</si>
  <si>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</si>
  <si>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</si>
  <si>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</si>
  <si>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</si>
  <si>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</si>
  <si>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</si>
  <si>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</si>
  <si>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</si>
  <si>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</si>
  <si>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</si>
  <si>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</si>
  <si>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</si>
  <si>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</si>
  <si>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</si>
  <si>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</si>
  <si>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</si>
  <si>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</si>
  <si>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</si>
  <si>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</si>
  <si>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</si>
  <si>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</si>
  <si>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</si>
  <si>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</si>
  <si>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</si>
  <si>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</si>
  <si>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</si>
  <si>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</si>
  <si>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</si>
  <si>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</si>
  <si>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</si>
  <si>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</si>
  <si>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</si>
  <si>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</si>
  <si>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</si>
  <si>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</si>
  <si>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</si>
  <si>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</si>
  <si>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</si>
  <si>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</si>
  <si>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</si>
  <si>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</si>
  <si>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</si>
  <si>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</si>
  <si>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</si>
  <si>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</si>
  <si>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</si>
  <si>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</si>
  <si>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</si>
  <si>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</si>
  <si>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</si>
  <si>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</si>
  <si>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</si>
  <si>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</si>
  <si>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</si>
  <si>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</si>
  <si>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</si>
  <si>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</si>
  <si>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</si>
  <si>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</si>
  <si>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</si>
  <si>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</si>
  <si>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</si>
  <si>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</si>
  <si>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</si>
  <si>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</si>
  <si>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</si>
  <si>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</si>
  <si>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</si>
  <si>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</si>
  <si>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</si>
  <si>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</si>
  <si>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</si>
  <si>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</si>
  <si>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</si>
  <si>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</si>
  <si>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</si>
  <si>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</si>
  <si>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</si>
  <si>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</si>
  <si>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</si>
  <si>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</si>
  <si>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</si>
  <si>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</si>
  <si>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</si>
  <si>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</si>
  <si>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</si>
  <si>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</si>
  <si>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</si>
  <si>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</si>
  <si>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</si>
  <si>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</si>
  <si>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</si>
  <si>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</si>
  <si>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</si>
  <si>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</si>
  <si>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</si>
  <si>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</si>
  <si>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</si>
  <si>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</si>
  <si>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</si>
  <si>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</si>
  <si>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</si>
  <si>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</si>
  <si>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</si>
  <si>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</si>
  <si>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</si>
  <si>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</si>
  <si>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</si>
  <si>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</si>
  <si>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</si>
  <si>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</si>
  <si>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</si>
  <si>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</si>
  <si>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</si>
  <si>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</si>
  <si>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</si>
  <si>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</si>
  <si>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</si>
  <si>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</si>
  <si>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</si>
  <si>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</si>
  <si>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</si>
  <si>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</si>
  <si>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</si>
  <si>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</si>
  <si>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</si>
  <si>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</si>
  <si>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</si>
  <si>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</si>
  <si>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</si>
  <si>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</si>
  <si>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</si>
  <si>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</si>
  <si>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</si>
  <si>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</si>
  <si>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</si>
  <si>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</si>
  <si>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</si>
  <si>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</si>
  <si>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</si>
  <si>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</si>
  <si>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</si>
  <si>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</si>
  <si>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</si>
  <si>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</si>
  <si>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</si>
  <si>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</si>
  <si>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</si>
  <si>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</si>
  <si>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</si>
  <si>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</si>
  <si>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</si>
  <si>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</si>
  <si>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</si>
  <si>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</si>
  <si>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</si>
  <si>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</si>
  <si>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</si>
  <si>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</si>
  <si>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</si>
  <si>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</si>
  <si>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</si>
  <si>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</si>
  <si>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</si>
  <si>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</si>
  <si>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</si>
  <si>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</si>
  <si>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</si>
  <si>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</si>
  <si>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</si>
  <si>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</si>
  <si>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</si>
  <si>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</si>
  <si>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</si>
  <si>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</si>
  <si>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</si>
  <si>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</si>
  <si>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</si>
  <si>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</si>
  <si>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</si>
  <si>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</si>
  <si>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</si>
  <si>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</si>
  <si>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</si>
  <si>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</si>
  <si>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</si>
  <si>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</si>
  <si>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</si>
  <si>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</si>
  <si>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</si>
  <si>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</si>
  <si>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</si>
  <si>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</si>
  <si>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</si>
  <si>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</si>
  <si>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</si>
  <si>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</si>
  <si>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</si>
  <si>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</si>
  <si>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</si>
  <si>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</si>
  <si>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</si>
  <si>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</si>
  <si>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</si>
  <si>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</si>
  <si>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</si>
  <si>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</si>
  <si>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</si>
  <si>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</si>
  <si>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</si>
  <si>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</si>
  <si>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</si>
  <si>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</si>
  <si>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</si>
  <si>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</si>
  <si>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</si>
  <si>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</si>
  <si>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</si>
  <si>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</si>
  <si>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</si>
  <si>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</si>
  <si>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</si>
  <si>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</si>
  <si>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</si>
  <si>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</si>
  <si>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</si>
  <si>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</si>
  <si>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</si>
  <si>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</si>
  <si>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</si>
  <si>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</si>
  <si>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</si>
  <si>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</si>
  <si>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</si>
  <si>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</si>
  <si>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</si>
  <si>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</si>
  <si>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</si>
  <si>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</si>
  <si>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</si>
  <si>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</si>
  <si>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</si>
  <si>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</si>
  <si>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</si>
  <si>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</si>
  <si>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</si>
  <si>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</si>
  <si>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</si>
  <si>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</si>
  <si>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</si>
  <si>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</si>
  <si>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</si>
  <si>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</si>
  <si>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</si>
  <si>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</si>
  <si>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</si>
  <si>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</si>
  <si>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</si>
  <si>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</si>
  <si>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</si>
  <si>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</si>
  <si>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</si>
  <si>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</si>
  <si>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</si>
  <si>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</si>
  <si>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</si>
  <si>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</si>
  <si>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</si>
  <si>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</si>
  <si>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</si>
  <si>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</si>
  <si>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</si>
  <si>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</si>
  <si>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</si>
  <si>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</si>
  <si>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</si>
  <si>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</si>
  <si>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</si>
  <si>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</si>
  <si>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</si>
  <si>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</si>
  <si>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</si>
  <si>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</si>
  <si>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</si>
  <si>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</si>
  <si>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</si>
  <si>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</si>
  <si>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</si>
  <si>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</si>
  <si>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</si>
  <si>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</si>
  <si>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</si>
  <si>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</si>
  <si>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</si>
  <si>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</si>
  <si>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</si>
  <si>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</si>
  <si>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</si>
  <si>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</si>
  <si>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</si>
  <si>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</si>
  <si>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</si>
  <si>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</si>
  <si>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</si>
  <si>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</si>
  <si>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</si>
  <si>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</si>
  <si>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</si>
  <si>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</si>
  <si>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</si>
  <si>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Liczba respondentów przynależących do grupy interesariuszy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</si>
  <si>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</si>
  <si>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</si>
  <si>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</si>
  <si>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</si>
  <si>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</si>
  <si>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</si>
  <si>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</si>
  <si>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</si>
  <si>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</si>
  <si>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</si>
  <si>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</si>
  <si>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</si>
  <si>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</si>
  <si>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wśród absolwentów</t>
  </si>
  <si>
    <t>Udział absolwentów wśród pozostałych ról</t>
  </si>
  <si>
    <t>nie powinno się sumować do 100%!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</si>
</sst>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Zestawienia!$A$4</c:f>
              <c:strCache>
                <c:ptCount val="1"/>
                <c:pt idx="0">
                  <c:v>Liczba respondentów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Zestawienia!$B$5:$B$12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Zestawienia!$A$5:$A$12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</xdr:row>
      <xdr:rowOff>128586</xdr:rowOff>
    </xdr:from>
    <xdr:to>
      <xdr:col>28</xdr:col>
      <xdr:colOff>133349</xdr:colOff>
      <xdr:row>17</xdr:row>
      <xdr:rowOff>139700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893.99457372685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894.006655787038" createdVersion="8" refreshedVersion="8" minRefreshableVersion="3" recordCount="135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17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Nie (przejście do kolejnej części)"/>
        <s v="Tak (kontynuowanie badania rodziców absolwentów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Nie (przejście do kolejnej części)"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Kobieta"/>
        <s v="Mężczyzn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54">
      <pivotArea type="all" dataOnly="0" outline="0" fieldPosition="0"/>
    </format>
    <format dxfId="453">
      <pivotArea outline="0" collapsedLevelsAreSubtotals="1" fieldPosition="0"/>
    </format>
    <format dxfId="452">
      <pivotArea field="115" type="button" dataOnly="0" labelOnly="1" outline="0" axis="axisRow" fieldPosition="0"/>
    </format>
    <format dxfId="451">
      <pivotArea dataOnly="0" labelOnly="1" fieldPosition="0">
        <references count="1">
          <reference field="115" count="0"/>
        </references>
      </pivotArea>
    </format>
    <format dxfId="450">
      <pivotArea dataOnly="0" labelOnly="1" grandRow="1" outline="0" fieldPosition="0"/>
    </format>
    <format dxfId="44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60">
      <pivotArea type="all" dataOnly="0" outline="0" fieldPosition="0"/>
    </format>
    <format dxfId="459">
      <pivotArea outline="0" collapsedLevelsAreSubtotals="1" fieldPosition="0"/>
    </format>
    <format dxfId="458">
      <pivotArea field="105" type="button" dataOnly="0" labelOnly="1" outline="0" axis="axisRow" fieldPosition="0"/>
    </format>
    <format dxfId="457">
      <pivotArea dataOnly="0" labelOnly="1" fieldPosition="0">
        <references count="1">
          <reference field="105" count="0"/>
        </references>
      </pivotArea>
    </format>
    <format dxfId="456">
      <pivotArea dataOnly="0" labelOnly="1" grandRow="1" outline="0" fieldPosition="0"/>
    </format>
    <format dxfId="45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66">
      <pivotArea type="all" dataOnly="0" outline="0" fieldPosition="0"/>
    </format>
    <format dxfId="465">
      <pivotArea outline="0" collapsedLevelsAreSubtotals="1" fieldPosition="0"/>
    </format>
    <format dxfId="464">
      <pivotArea field="144" type="button" dataOnly="0" labelOnly="1" outline="0" axis="axisRow" fieldPosition="0"/>
    </format>
    <format dxfId="463">
      <pivotArea dataOnly="0" labelOnly="1" fieldPosition="0">
        <references count="1">
          <reference field="144" count="0"/>
        </references>
      </pivotArea>
    </format>
    <format dxfId="462">
      <pivotArea dataOnly="0" labelOnly="1" grandRow="1" outline="0" fieldPosition="0"/>
    </format>
    <format dxfId="46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71">
      <pivotArea type="all" dataOnly="0" outline="0" fieldPosition="0"/>
    </format>
    <format dxfId="470">
      <pivotArea outline="0" collapsedLevelsAreSubtotals="1" fieldPosition="0"/>
    </format>
    <format dxfId="469">
      <pivotArea field="49" type="button" dataOnly="0" labelOnly="1" outline="0" axis="axisRow" fieldPosition="0"/>
    </format>
    <format dxfId="468">
      <pivotArea dataOnly="0" labelOnly="1" grandRow="1" outline="0" fieldPosition="0"/>
    </format>
    <format dxfId="46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77">
      <pivotArea type="all" dataOnly="0" outline="0" fieldPosition="0"/>
    </format>
    <format dxfId="476">
      <pivotArea outline="0" collapsedLevelsAreSubtotals="1" fieldPosition="0"/>
    </format>
    <format dxfId="475">
      <pivotArea field="170" type="button" dataOnly="0" labelOnly="1" outline="0" axis="axisRow" fieldPosition="0"/>
    </format>
    <format dxfId="474">
      <pivotArea dataOnly="0" labelOnly="1" fieldPosition="0">
        <references count="1">
          <reference field="170" count="0"/>
        </references>
      </pivotArea>
    </format>
    <format dxfId="473">
      <pivotArea dataOnly="0" labelOnly="1" grandRow="1" outline="0" fieldPosition="0"/>
    </format>
    <format dxfId="47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95" type="button" dataOnly="0" labelOnly="1" outline="0" axis="axisRow" fieldPosition="0"/>
    </format>
    <format dxfId="480">
      <pivotArea dataOnly="0" labelOnly="1" fieldPosition="0">
        <references count="1">
          <reference field="95" count="0"/>
        </references>
      </pivotArea>
    </format>
    <format dxfId="479">
      <pivotArea dataOnly="0" labelOnly="1" grandRow="1" outline="0" fieldPosition="0"/>
    </format>
    <format dxfId="47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89">
      <pivotArea type="all" dataOnly="0" outline="0" fieldPosition="0"/>
    </format>
    <format dxfId="488">
      <pivotArea outline="0" collapsedLevelsAreSubtotals="1" fieldPosition="0"/>
    </format>
    <format dxfId="487">
      <pivotArea field="49" type="button" dataOnly="0" labelOnly="1" outline="0" axis="axisRow" fieldPosition="0"/>
    </format>
    <format dxfId="486">
      <pivotArea dataOnly="0" labelOnly="1" fieldPosition="0">
        <references count="1">
          <reference field="49" count="0"/>
        </references>
      </pivotArea>
    </format>
    <format dxfId="485">
      <pivotArea dataOnly="0" labelOnly="1" grandRow="1" outline="0" fieldPosition="0"/>
    </format>
    <format dxfId="48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95">
      <pivotArea type="all" dataOnly="0" outline="0" fieldPosition="0"/>
    </format>
    <format dxfId="494">
      <pivotArea outline="0" collapsedLevelsAreSubtotals="1" fieldPosition="0"/>
    </format>
    <format dxfId="493">
      <pivotArea field="31" type="button" dataOnly="0" labelOnly="1" outline="0" axis="axisRow" fieldPosition="0"/>
    </format>
    <format dxfId="492">
      <pivotArea dataOnly="0" labelOnly="1" fieldPosition="0">
        <references count="1">
          <reference field="31" count="0"/>
        </references>
      </pivotArea>
    </format>
    <format dxfId="491">
      <pivotArea dataOnly="0" labelOnly="1" grandRow="1" outline="0" fieldPosition="0"/>
    </format>
    <format dxfId="49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01">
      <pivotArea type="all" dataOnly="0" outline="0" fieldPosition="0"/>
    </format>
    <format dxfId="500">
      <pivotArea outline="0" collapsedLevelsAreSubtotals="1" fieldPosition="0"/>
    </format>
    <format dxfId="499">
      <pivotArea field="15" type="button" dataOnly="0" labelOnly="1" outline="0" axis="axisRow" fieldPosition="0"/>
    </format>
    <format dxfId="498">
      <pivotArea dataOnly="0" labelOnly="1" fieldPosition="0">
        <references count="1">
          <reference field="15" count="0"/>
        </references>
      </pivotArea>
    </format>
    <format dxfId="497">
      <pivotArea dataOnly="0" labelOnly="1" grandRow="1" outline="0" fieldPosition="0"/>
    </format>
    <format dxfId="49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F138" totalsRowCount="1">
  <autoFilter ref="A2:HF137" xr:uid="{BC01C17C-E729-4430-9A94-BDF77386BAED}">
    <filterColumn colId="15">
      <filters>
        <filter val="Tak (kontynuacja badania studentów)"/>
      </filters>
    </filterColumn>
    <filterColumn colId="31">
      <filters>
        <filter val="Tak (kontynuowanie badania absolwentów)"/>
      </filters>
    </filterColumn>
  </autoFilter>
  <sortState xmlns:xlrd2="http://schemas.microsoft.com/office/spreadsheetml/2017/richdata2" ref="A3:HF137">
    <sortCondition descending="1" ref="C2:C137"/>
  </sortState>
  <tableColumns count="214">
    <tableColumn id="1" xr3:uid="{37199E79-F22A-49C0-B1C3-8001D68B6905}" name="Lp."/>
    <tableColumn id="214" xr3:uid="{15F16F1A-B79B-4E98-AC9F-5DC850A3D9F6}" name="ID_zakończone" dataDxfId="448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47">
      <calculatedColumnFormula>COUNTA(O3:HF3)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92">
      <totalsRowFormula>COUNTA((O3:O137))</totalsRowFormula>
    </tableColumn>
    <tableColumn id="14" xr3:uid="{A75D7BB0-BDD4-4F9E-BFE1-A35FFDAA2A35}" name="Czy jesteś studentem uczelni wyższej?" totalsRowFunction="custom" dataDxfId="446" totalsRowDxfId="91">
      <totalsRowFormula>COUNTA((P3:P137))</totalsRowFormula>
    </tableColumn>
    <tableColumn id="15" xr3:uid="{59EBE606-808E-4993-BA84-2428F0FB2A27}" name="Jak się nazywa uczelnia, na której studiujesz? (proszę o wybranie jednej uczelni podlegającej ocenie)" totalsRowFunction="custom" totalsRowDxfId="90">
      <totalsRowFormula>COUNTA((Q3:Q137))</totalsRowFormula>
    </tableColumn>
    <tableColumn id="16" xr3:uid="{B883EC52-B4D3-434E-8AFF-6334D1B8C483}" name="Czy studiujesz na kierunku technicznym, tzn. takim, po którym uzyskasz tytuł inżyniera?" totalsRowFunction="custom" totalsRowDxfId="89">
      <totalsRowFormula>COUNTA((R3:R137))</totalsRowFormula>
    </tableColumn>
    <tableColumn id="17" xr3:uid="{C6F68B54-181D-4E6B-90DE-3758AC28643F}" name="Jak się nazywa kierunek, na którym studiujesz?" totalsRowFunction="custom" totalsRowDxfId="88">
      <totalsRowFormula>COUNTA((S3:S137))</totalsRowFormula>
    </tableColumn>
    <tableColumn id="18" xr3:uid="{4009F8D5-0845-4794-BD7B-DEDD90E1035F}" name="Moja satysfakcja z usług edukacyjnych ocenianej uczelni jest wysoka." totalsRowFunction="custom" totalsRowDxfId="87">
      <totalsRowFormula>COUNTA((T3:T137))</totalsRowFormula>
    </tableColumn>
    <tableColumn id="19" xr3:uid="{9C33E588-FD6F-4756-A796-19608D8E5787}" name="Usługi edukacyjne ocenianej uczelni mają wysoką wartość (okazja / szansa rozwoju własnego lub kariery)." totalsRowFunction="custom" totalsRowDxfId="86">
      <totalsRowFormula>COUNTA((U3:U137))</totalsRowFormula>
    </tableColumn>
    <tableColumn id="20" xr3:uid="{AD29E10C-3B61-4AC3-9DB6-E5592E85F54D}" name="Kształcenie na ocenianej uczelni ma/będzie miało pozytywny wpływ na zwiększenie moich zarobków." totalsRowFunction="custom" totalsRowDxfId="85">
      <totalsRowFormula>COUNTA((V3:V137))</totalsRowFormula>
    </tableColumn>
    <tableColumn id="21" xr3:uid="{29A03634-DD01-47E7-9082-570B2CBA75AC}" name="Kolumna1" totalsRowFunction="custom" totalsRowDxfId="84">
      <totalsRowFormula>COUNTA((W3:W137))</totalsRowFormula>
    </tableColumn>
    <tableColumn id="22" xr3:uid="{E3063293-8C09-4AD3-970A-FC723899E602}" name="w pierwszym roku po ukończeniu studiów : wybierz wartość z listy rozwijanej" totalsRowFunction="custom" totalsRowDxfId="83">
      <totalsRowFormula>COUNTA((X3:X137))</totalsRowFormula>
    </tableColumn>
    <tableColumn id="23" xr3:uid="{62967F23-9856-4DFD-AADC-42AC36B2CDB1}" name="w 3 lata po ukończeniu studiów : wybierz wartość z listy rozwijanej" totalsRowFunction="custom" totalsRowDxfId="82">
      <totalsRowFormula>COUNTA((Y3:Y137))</totalsRowFormula>
    </tableColumn>
    <tableColumn id="24" xr3:uid="{574DBE71-FF3A-4DA1-A563-EECF8E03B030}" name="Jakich innych (poza zarobkami) efektów kształcenia na ocenianej uczelni się spodziewasz?" totalsRowFunction="custom" totalsRowDxfId="81">
      <totalsRowFormula>COUNTA((Z3:Z137))</totalsRowFormula>
    </tableColumn>
    <tableColumn id="25" xr3:uid="{70C7E301-ECA2-4DF8-B78C-6550E2B616A1}" name="Jakie elementy lub cechy sprawiały, że Tobie studiowało się dobrze?" totalsRowFunction="custom" totalsRowDxfId="80">
      <totalsRowFormula>COUNTA((AA3:AA137))</totalsRowFormula>
    </tableColumn>
    <tableColumn id="26" xr3:uid="{86CB3A73-27F1-4FCF-B9E3-8D590DC2DB33}" name="Jakie elementy lub cechy sprawiały, że Tobie studiowało się źle?" totalsRowFunction="custom" totalsRowDxfId="79">
      <totalsRowFormula>COUNTA((AB3:AB137))</totalsRowFormula>
    </tableColumn>
    <tableColumn id="27" xr3:uid="{8DCB6BDF-C860-4D73-8953-D14EF0C8F0AA}" name="Jakiego rodzaju są Twoje studia?" totalsRowFunction="custom" totalsRowDxfId="78">
      <totalsRowFormula>COUNTA((AC3:AC137))</totalsRowFormula>
    </tableColumn>
    <tableColumn id="28" xr3:uid="{F292FE47-988D-4A95-932D-2E3B34B7BF0B}" name="Pole dodatkowe" totalsRowFunction="custom" totalsRowDxfId="77">
      <totalsRowFormula>COUNTA((AD3:AD137))</totalsRowFormula>
    </tableColumn>
    <tableColumn id="29" xr3:uid="{4225184D-873A-4CF3-B8D1-575C3D6A2435}" name="Na którym semestrze studiujesz obecnie?" totalsRowFunction="custom" totalsRowDxfId="76">
      <totalsRowFormula>COUNTA((AE3:AE137))</totalsRowFormula>
    </tableColumn>
    <tableColumn id="30" xr3:uid="{41979390-06F4-463C-ADB5-F98E8C311CBA}" name="Czy jesteś absolwentem uczelni wyższej?" totalsRowFunction="custom" dataDxfId="445" totalsRowDxfId="75">
      <totalsRowFormula>COUNTA((AF3:AF137))</totalsRowFormula>
    </tableColumn>
    <tableColumn id="31" xr3:uid="{BBF7434D-D66B-496B-B17B-27248613CC58}" name="Jak się nazywa uczelnia którą ukończyłeś? (proszę o wybranie jednej uczelni podlegającej ocenie)" totalsRowFunction="custom" totalsRowDxfId="74">
      <totalsRowFormula>COUNTA((AG3:AG137))</totalsRow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3">
      <totalsRowFormula>COUNTA((AH3:AH137))</totalsRowFormula>
    </tableColumn>
    <tableColumn id="33" xr3:uid="{AE05B081-E180-4E09-9192-4F27CE79F7EB}" name="Czy ukończony kierunek był kierunkiem technicznym, tzn. takim, po którym uzyskałaś/eś tytuł inżyniera?" totalsRowFunction="custom" totalsRowDxfId="72">
      <totalsRowFormula>COUNTA((AI3:AI137))</totalsRowFormula>
    </tableColumn>
    <tableColumn id="34" xr3:uid="{B85DD2EE-D5F2-46D3-9E33-DA992576E185}" name="Jak się nazywa kierunek, który ukończyłaś/eś?" totalsRowFunction="custom" totalsRowDxfId="71">
      <totalsRowFormula>COUNTA((AJ3:AJ137))</totalsRowFormula>
    </tableColumn>
    <tableColumn id="35" xr3:uid="{4CC44F8F-616F-4095-99F6-60AF14EEC568}" name="Moja satysfakcja z (efektów) usług edukacyjnych ocenianej uczelni jest wysoka." totalsRowFunction="custom" totalsRowDxfId="70">
      <totalsRowFormula>COUNTA((AK3:AK137))</totalsRowFormula>
    </tableColumn>
    <tableColumn id="36" xr3:uid="{1C6D88CF-332B-4752-A729-93BFDD454B5A}" name="Usługi edukacyjne ocenianej uczelni mają wysoką wartość (okazja / szansa rozwoju własnego lub kariery).3" totalsRowFunction="custom" totalsRowDxfId="69">
      <totalsRowFormula>COUNTA((AL3:AL137))</totalsRowFormula>
    </tableColumn>
    <tableColumn id="37" xr3:uid="{44EB38FB-B9C9-46B4-B0FB-9985D53C385D}" name="Kształcenie na ocenianej uczelni ma/miało pozytywny wpływ na zwiększenie moich zarobków." totalsRowFunction="custom" totalsRowDxfId="68">
      <totalsRowFormula>COUNTA((AM3:AM137))</totalsRowFormula>
    </tableColumn>
    <tableColumn id="38" xr3:uid="{34BE9A51-E55F-4AE8-87A0-FBEC63D51E8F}" name="Moje zarobki w pierwszym roku po ukończeniu studiów były satysfakcjonujące." totalsRowFunction="custom" totalsRowDxfId="67">
      <totalsRowFormula>COUNTA((AN3:AN137))</totalsRowFormula>
    </tableColumn>
    <tableColumn id="39" xr3:uid="{4033761C-CB95-4451-B0C4-2ABCB2769F7E}" name="Moje zarobki po 3. latach po ukończeniu studiów były satysfakcjonujące." totalsRowFunction="custom" totalsRowDxfId="66">
      <totalsRowFormula>COUNTA((AO3:AO137))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5">
      <totalsRowFormula>COUNTA((AP3:AP137))</totalsRowFormula>
    </tableColumn>
    <tableColumn id="41" xr3:uid="{25DB6FAA-8A3B-408B-9262-5EDE22E06BA2}" name="w pierwszym roku po ukończeniu studiów : wybierz wartość z listy rozwijanej4" totalsRowFunction="custom" totalsRowDxfId="64">
      <totalsRowFormula>COUNTA((AQ3:AQ137))</totalsRowFormula>
    </tableColumn>
    <tableColumn id="42" xr3:uid="{2B38DFDD-3D06-4B52-B1DB-7F8144FEDBDB}" name="w 3 lata po ukończeniu studiów : wybierz wartość z listy rozwijanej5" totalsRowFunction="custom" totalsRowDxfId="63">
      <totalsRowFormula>COUNTA((AR3:AR137))</totalsRowFormula>
    </tableColumn>
    <tableColumn id="43" xr3:uid="{FBBBF8D2-7A99-41FF-B15C-4A2191C9D8D9}" name="Jakie inne (poza zarobkami) efekty kształcenia na ocenianej uczelni dostrzegasz obecnie?" totalsRowFunction="custom" totalsRowDxfId="62">
      <totalsRowFormula>COUNTA((AS3:AS137))</totalsRowFormula>
    </tableColumn>
    <tableColumn id="44" xr3:uid="{6B48263B-8F26-4FBA-9F9A-424993C5E3ED}" name="Co wpływało na twoją satysfakcję ze studiowania?_x000a_" totalsRowFunction="custom" totalsRowDxfId="61">
      <totalsRowFormula>COUNTA((AT3:AT137))</totalsRowFormula>
    </tableColumn>
    <tableColumn id="45" xr3:uid="{52ED1FC9-CD2D-42A5-B204-567F0483F099}" name="Kolumna6" totalsRowFunction="custom" totalsRowDxfId="60">
      <totalsRowFormula>COUNTA((AU3:AU137))</totalsRowFormula>
    </tableColumn>
    <tableColumn id="46" xr3:uid="{3D74590B-7E93-443E-BE1C-FD99ECE16017}" name="Jakiego rodzaju były Twoje studia?" totalsRowFunction="custom" totalsRowDxfId="59">
      <totalsRowFormula>COUNTA((AV3:AV137))</totalsRowFormula>
    </tableColumn>
    <tableColumn id="47" xr3:uid="{E8CA34F5-D9E4-418D-8BF9-050444C4061E}" name="Pole dodatkowe7" totalsRowFunction="custom" totalsRowDxfId="58">
      <totalsRowFormula>COUNTA((AW3:AW137))</totalsRowFormula>
    </tableColumn>
    <tableColumn id="48" xr3:uid="{A48EA897-6002-486C-94A2-3071DE7EB5AD}" name="Czy jesteś rodzicem / opiekunem absolwenta uczelni wyższej?" totalsRowFunction="custom" dataDxfId="444" totalsRowDxfId="57">
      <totalsRowFormula>COUNTA((AX3:AX137))</totalsRowFormula>
    </tableColumn>
    <tableColumn id="49" xr3:uid="{FEE5A281-6D4B-4D31-93CD-509A968E7773}" name="Uczelnie ilu podopiecznych będziesz oceniać?" totalsRowFunction="custom" totalsRowDxfId="56">
      <totalsRowFormula>COUNTA((AY3:AY137))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5">
      <totalsRowFormula>COUNTA((AZ3:AZ137))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4">
      <totalsRowFormula>COUNTA((BA3:BA137))</totalsRowFormula>
    </tableColumn>
    <tableColumn id="52" xr3:uid="{2D5E47C8-051A-480B-B96D-83E7709F1700}" name="Czy ukończony kierunek był kierunkiem technicznym, tzn. takim, po którym uzyskano tytuł inżyniera?" totalsRowFunction="custom" totalsRowDxfId="53">
      <totalsRowFormula>COUNTA((BB3:BB137))</totalsRowFormula>
    </tableColumn>
    <tableColumn id="53" xr3:uid="{D51D9DD7-878A-415B-B2F8-02F53EBFA22A}" name="Jak się nazywa kierunek, który ukończył/a Twoja/Twój podopieczna/podopieczny?" totalsRowFunction="custom" totalsRowDxfId="52">
      <totalsRowFormula>COUNTA((BC3:BC137))</totalsRowFormula>
    </tableColumn>
    <tableColumn id="54" xr3:uid="{D3DB1C46-F931-4289-86D2-779EC4340002}" name="Moja satysfakcja z (efektów) usług edukacyjnych ocenianej uczelni jest wysoka.8" totalsRowFunction="custom" totalsRowDxfId="51">
      <totalsRowFormula>COUNTA((BD3:BD137))</totalsRowFormula>
    </tableColumn>
    <tableColumn id="55" xr3:uid="{FC532F03-86AD-4521-9C9D-42FA860A53FB}" name="Usługi edukacyjne ocenianej uczelni mają wysoką wartość (okazja / szansa rozwoju własnego lub kariery).9" totalsRowFunction="custom" totalsRowDxfId="50">
      <totalsRowFormula>COUNTA((BE3:BE137))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9">
      <totalsRowFormula>COUNTA((BF3:BF137))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">
      <totalsRowFormula>COUNTA((BG3:BG137))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7">
      <totalsRowFormula>COUNTA((BH3:BH137))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">
      <totalsRowFormula>COUNTA((BI3:BI137))</totalsRowFormula>
    </tableColumn>
    <tableColumn id="60" xr3:uid="{847514F8-F661-4B2D-88BE-10ABFD806894}" name="Jakie inne (poza zarobkami) efekty kształcenia na ocenianej uczelni się dostrzegasz obecnie?" totalsRowFunction="custom" totalsRowDxfId="45">
      <totalsRowFormula>COUNTA((BJ3:BJ137))</totalsRowFormula>
    </tableColumn>
    <tableColumn id="61" xr3:uid="{8B4485AE-C106-41C7-89AC-D28DBDA4C166}" name="Jakiego rodzaju były studia, które ukończył/a Twoja/Twój podopieczna/podopieczny?" totalsRowFunction="custom" totalsRowDxfId="44">
      <totalsRowFormula>COUNTA((BK3:BK137))</totalsRowFormula>
    </tableColumn>
    <tableColumn id="62" xr3:uid="{F0DE0B1C-928B-4581-8D63-11188CD95233}" name="Pole dodatkowe10" totalsRowFunction="custom" totalsRowDxfId="43">
      <totalsRowFormula>COUNTA((BL3:BL137))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2">
      <totalsRowFormula>COUNTA((BM3:BM137))</totalsRowFormula>
    </tableColumn>
    <tableColumn id="64" xr3:uid="{08619068-F1EA-4298-AAE7-77A34A620074}" name="Czy będziesz oceniał uczelnię ukończoną przez drugiego podopiecznego?" totalsRowFunction="custom" totalsRowDxfId="41">
      <totalsRowFormula>COUNTA((BN3:BN137))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0">
      <totalsRowFormula>COUNTA((BO3:BO137))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39">
      <totalsRowFormula>COUNTA((BP3:BP137))</totalsRowFormula>
    </tableColumn>
    <tableColumn id="67" xr3:uid="{1C6ADC27-9F30-4227-81CE-3C15A0D6C10C}" name="Czy ukończony kierunek był kierunkiem technicznym, tzn. takim, po którym uzyskano tytuł inżyniera?13" totalsRowFunction="custom" totalsRowDxfId="38">
      <totalsRowFormula>COUNTA((BQ3:BQ137))</totalsRowFormula>
    </tableColumn>
    <tableColumn id="68" xr3:uid="{94C8B518-4547-40DD-AC32-B5C834F0511E}" name="Jak się nazywa kierunek, który ukończył/a Twoja/Twój podopieczna/podopieczny?14" totalsRowFunction="custom" totalsRowDxfId="37">
      <totalsRowFormula>COUNTA((BR3:BR137))</totalsRowFormula>
    </tableColumn>
    <tableColumn id="69" xr3:uid="{00BE12AC-CBE0-47D5-8BEF-A62C47DFED23}" name="Moja satysfakcja z (efektów) usług edukacyjnych ocenianej uczelni jest wysoka.15" totalsRowFunction="custom" totalsRowDxfId="36">
      <totalsRowFormula>COUNTA((BS3:BS137))</totalsRowFormula>
    </tableColumn>
    <tableColumn id="70" xr3:uid="{D1A7746F-F4B7-4351-BB70-448903B08063}" name="Usługi edukacyjne ocenianej uczelni mają wysoką wartość (okazja / szansa rozwoju własnego lub kariery).16" totalsRowFunction="custom" totalsRowDxfId="35">
      <totalsRowFormula>COUNTA((BT3:BT137))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4">
      <totalsRowFormula>COUNTA((BU3:BU137))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3">
      <totalsRowFormula>COUNTA((BV3:BV137))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2">
      <totalsRowFormula>COUNTA((BW3:BW137))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1">
      <totalsRowFormula>COUNTA((BX3:BX137))</totalsRowFormula>
    </tableColumn>
    <tableColumn id="75" xr3:uid="{54EF7743-0CB2-446D-9665-46C77C464F05}" name="Jakie inne (poza zarobkami) efekty kształcenia na ocenianej uczelni się dostrzegasz obecnie?21" totalsRowFunction="custom" totalsRowDxfId="30">
      <totalsRowFormula>COUNTA((BY3:BY137))</totalsRowFormula>
    </tableColumn>
    <tableColumn id="76" xr3:uid="{BE93B27C-1906-4695-BEC1-231FA6883C68}" name="Jakiego rodzaju były studia, które ukończył/a Twoja/Twój podopieczna/podopieczny?22" totalsRowFunction="custom" totalsRowDxfId="29">
      <totalsRowFormula>COUNTA((BZ3:BZ137))</totalsRowFormula>
    </tableColumn>
    <tableColumn id="77" xr3:uid="{C2670D09-B14E-48CE-8D3B-FD4F08474C2E}" name="Pole dodatkowe23" totalsRowFunction="custom" totalsRowDxfId="28">
      <totalsRowFormula>COUNTA((CA3:CA137))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27">
      <totalsRowFormula>COUNTA((CB3:CB137))</totalsRowFormula>
    </tableColumn>
    <tableColumn id="79" xr3:uid="{E97ECC9E-9FF4-4C29-9ADE-07B0EFB1798E}" name="Czy będziesz oceniał uczelnię ukończoną przez trzeciego podopiecznego?" totalsRowFunction="custom" totalsRowDxfId="26">
      <totalsRowFormula>COUNTA((CC3:CC137))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5">
      <totalsRowFormula>COUNTA((CD3:CD137))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4">
      <totalsRowFormula>COUNTA((CE3:CE137))</totalsRowFormula>
    </tableColumn>
    <tableColumn id="82" xr3:uid="{E402E02B-32F9-4918-AC52-1E2746EFF732}" name="Czy ukończony kierunek był kierunkiem technicznym, tzn. takim, po którym uzyskano tytuł inżyniera?27" totalsRowFunction="custom" totalsRowDxfId="23">
      <totalsRowFormula>COUNTA((CF3:CF137))</totalsRowFormula>
    </tableColumn>
    <tableColumn id="83" xr3:uid="{366FF8BB-67D0-4A1D-9E42-1C25C26E69CE}" name="Jak się nazywa kierunek, który ukończył/a Twoja/Twój podopieczna/podopieczny?28" totalsRowFunction="custom" totalsRowDxfId="22">
      <totalsRowFormula>COUNTA((CG3:CG137))</totalsRowFormula>
    </tableColumn>
    <tableColumn id="84" xr3:uid="{32321BD9-57CD-47D0-BD7D-B2AFCC1C3078}" name="Moja satysfakcja z (efektów) usług edukacyjnych ocenianej uczelni jest wysoka.29" totalsRowFunction="custom" totalsRowDxfId="21">
      <totalsRowFormula>COUNTA((CH3:CH137))</totalsRowFormula>
    </tableColumn>
    <tableColumn id="85" xr3:uid="{27DF5669-9BEE-4320-9001-51E16696F4B3}" name="Usługi edukacyjne ocenianej uczelni mają wysoką wartość (okazja / szansa rozwoju własnego lub kariery).30" totalsRowFunction="custom" totalsRowDxfId="20">
      <totalsRowFormula>COUNTA((CI3:CI137))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19">
      <totalsRowFormula>COUNTA((CJ3:CJ137))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18">
      <totalsRowFormula>COUNTA((CK3:CK137))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17">
      <totalsRowFormula>COUNTA((CL3:CL137))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16">
      <totalsRowFormula>COUNTA((CM3:CM137))</totalsRowFormula>
    </tableColumn>
    <tableColumn id="90" xr3:uid="{5F53B8F1-FD09-4B74-AA23-7EDED9615A73}" name="Jakie inne (poza zarobkami) efekty kształcenia na ocenianej uczelni się dostrzegasz obecnie?35" totalsRowFunction="custom" totalsRowDxfId="15">
      <totalsRowFormula>COUNTA((CN3:CN137))</totalsRowFormula>
    </tableColumn>
    <tableColumn id="91" xr3:uid="{0049B607-BD4D-49EA-B5EE-E8E785ACDC34}" name="Jakiego rodzaju były studia, które ukończył/a Twoja/Twój podopieczna/podopieczny?36" totalsRowFunction="custom" totalsRowDxfId="14">
      <totalsRowFormula>COUNTA((CO3:CO137))</totalsRowFormula>
    </tableColumn>
    <tableColumn id="92" xr3:uid="{86B9680A-4D70-4DFA-8189-827F813E4B73}" name="Pole dodatkowe37" totalsRowFunction="custom" totalsRowDxfId="13">
      <totalsRowFormula>COUNTA((CP3:CP137))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2">
      <totalsRowFormula>COUNTA((CQ3:CQ137))</totalsRowFormula>
    </tableColumn>
    <tableColumn id="94" xr3:uid="{BA461F2C-93E1-4AB3-B06B-BCD05B9B9AA2}" name="Czy jesteś aktualnie pracownikiem administracyjnym uczelni wyższej?" totalsRowFunction="custom" dataDxfId="443" totalsRowDxfId="11">
      <totalsRowFormula>COUNTA((CR3:CR137))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2" totalsRowDxfId="10">
      <totalsRowFormula>COUNTA((DB3:DB137))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1" totalsRowDxfId="9">
      <totalsRowFormula>COUNTA((DL3:DL137))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8">
      <totalsRowFormula>COUNTA((EO3:EO137))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9" totalsRowDxfId="7">
      <totalsRowFormula>COUNTA((FO3:FO137))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6">
      <totalsRowFormula>COUNTA((GZ3:GZ137))</totalsRowFormula>
    </tableColumn>
    <tableColumn id="207" xr3:uid="{2B31368C-8BB4-45F5-A368-4A4E1AFFFE2E}" name="Rok urodzenia" totalsRowFunction="custom" totalsRowDxfId="5">
      <totalsRowFormula>COUNTA((HA3:HA137))</totalsRowFormula>
    </tableColumn>
    <tableColumn id="208" xr3:uid="{2FBD8A01-45D3-42C7-BB1F-ACCA75E457A4}" name="Z jakiej wielkości miejscowości pochodzisz? (dotyczy miejscowości, w której się wychowałaś/eś" totalsRowFunction="custom" totalsRowDxfId="4">
      <totalsRowFormula>COUNTA((HB3:HB137))</totalsRowFormula>
    </tableColumn>
    <tableColumn id="209" xr3:uid="{40C0F4A2-88CA-4804-AB61-0C883C5C9CF7}" name="Pole dodatkowe52" totalsRowFunction="custom" totalsRowDxfId="3">
      <totalsRowFormula>COUNTA((HC3:HC137))</totalsRowFormula>
    </tableColumn>
    <tableColumn id="210" xr3:uid="{B1D5E2A4-3FA4-4D1D-ACA2-E506E6C3632D}" name="Jakie inne wykształcenie poza tym uwzględnionym w niniejszej ankiecie posiadasz? (ukończone szkoły/studia)" totalsRowFunction="custom" totalsRowDxfId="2">
      <totalsRowFormula>COUNTA((HD3:HD137))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">
      <totalsRowFormula>COUNTA((HE3:HE137))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0">
      <totalsRowFormula>COUNTA((HF3:HF137))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12:HF136">
    <sortCondition ref="CS2:CS159"/>
  </sortState>
  <tableColumns count="214">
    <tableColumn id="1" xr3:uid="{465F8281-5AF4-4BB0-A518-947E83CAACFF}" name="Lp."/>
    <tableColumn id="214" xr3:uid="{950CE949-C422-4F02-90EA-E03240F38224}" name="ID_zakończone" dataDxfId="438" totalsRowDxfId="437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36" totalsRowDxfId="435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34">
      <totalsRowFormula>COUNTA((O3:O159))</totalsRowFormula>
    </tableColumn>
    <tableColumn id="14" xr3:uid="{0BD7A98F-1F10-4FB8-B054-37BDD3B56396}" name="Czy jesteś studentem uczelni wyższej?" totalsRowFunction="custom" dataDxfId="433" totalsRowDxfId="432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31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30">
      <totalsRowFormula>COUNTA((R3:R159))</totalsRowFormula>
    </tableColumn>
    <tableColumn id="17" xr3:uid="{24BCBB34-34C1-4984-962F-C53466F3EF8F}" name="Jak się nazywa kierunek, na którym studiujesz?" totalsRowFunction="custom" totalsRowDxfId="429">
      <totalsRowFormula>COUNTA((S3:S159))</totalsRowFormula>
    </tableColumn>
    <tableColumn id="18" xr3:uid="{9ADB9BCC-C1C9-4FDD-A2DF-FCC26DBEB749}" name="Moja satysfakcja z usług edukacyjnych ocenianej uczelni jest wysoka." totalsRowFunction="custom" totalsRowDxfId="428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27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26">
      <totalsRowFormula>COUNTA((V3:V159))</totalsRowFormula>
    </tableColumn>
    <tableColumn id="21" xr3:uid="{EAC188BA-5A2E-4D44-97B7-481328766AE0}" name="Kolumna1" totalsRowFunction="custom" totalsRowDxfId="425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24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23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22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21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20">
      <totalsRowFormula>COUNTA((AB3:AB159))</totalsRowFormula>
    </tableColumn>
    <tableColumn id="27" xr3:uid="{D0177BE1-4E02-4595-8669-95C494930B5B}" name="Jakiego rodzaju są Twoje studia?" totalsRowFunction="custom" totalsRowDxfId="419">
      <totalsRowFormula>COUNTA((AC3:AC159))</totalsRowFormula>
    </tableColumn>
    <tableColumn id="28" xr3:uid="{3597DDE1-E56A-406C-8EDD-22E18D515174}" name="Pole dodatkowe" totalsRowFunction="custom" totalsRowDxfId="418">
      <totalsRowFormula>COUNTA((AD3:AD159))</totalsRowFormula>
    </tableColumn>
    <tableColumn id="29" xr3:uid="{66ED4699-908F-4DD2-BD11-F0A6AA4499D4}" name="Na którym semestrze studiujesz obecnie?" totalsRowFunction="custom" totalsRowDxfId="417">
      <totalsRowFormula>COUNTA((AE3:AE159))</totalsRowFormula>
    </tableColumn>
    <tableColumn id="30" xr3:uid="{665AE932-5635-468D-B539-28624FF56492}" name="Czy jesteś absolwentem uczelni wyższej?" totalsRowFunction="custom" dataDxfId="416" totalsRowDxfId="415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14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13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12">
      <totalsRowFormula>COUNTA((AI3:AI159))</totalsRowFormula>
    </tableColumn>
    <tableColumn id="34" xr3:uid="{ADAE23AC-8F73-4453-AC5D-FE2116FA8AF9}" name="Jak się nazywa kierunek, który ukończyłaś/eś?" totalsRowFunction="custom" totalsRowDxfId="411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10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09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08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07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06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05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04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03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02">
      <totalsRowFormula>COUNTA((AS3:AS159))</totalsRowFormula>
    </tableColumn>
    <tableColumn id="44" xr3:uid="{C9AA4BEA-8991-4F56-A7E1-DA0762C2B486}" name="Co wpływało na twoją satysfakcję ze studiowania?_x000a_" totalsRowFunction="custom" totalsRowDxfId="401">
      <totalsRowFormula>COUNTA((AT3:AT159))</totalsRowFormula>
    </tableColumn>
    <tableColumn id="45" xr3:uid="{00A5350A-103D-4E86-99F7-01E1F081E96E}" name="Kolumna6" totalsRowFunction="custom" totalsRowDxfId="400">
      <totalsRowFormula>COUNTA((AU3:AU159))</totalsRowFormula>
    </tableColumn>
    <tableColumn id="46" xr3:uid="{AB30AA0A-ADAF-4A76-852B-9C6171DBA36D}" name="Jakiego rodzaju były Twoje studia?" totalsRowFunction="custom" totalsRowDxfId="399">
      <totalsRowFormula>COUNTA((AV3:AV159))</totalsRowFormula>
    </tableColumn>
    <tableColumn id="47" xr3:uid="{156EF4B8-4A3F-4406-9CDE-324D32F939BA}" name="Pole dodatkowe7" totalsRowFunction="custom" totalsRowDxfId="398">
      <totalsRowFormula>COUNTA((AW3:AW159))</totalsRowFormula>
    </tableColumn>
    <tableColumn id="48" xr3:uid="{085D3107-411D-41F8-A270-88DCB1EAF46B}" name="Czy jesteś rodzicem / opiekunem absolwenta uczelni wyższej?" totalsRowFunction="custom" dataDxfId="397" totalsRowDxfId="396">
      <totalsRowFormula>COUNTA((AX3:AX159))</totalsRowFormula>
    </tableColumn>
    <tableColumn id="49" xr3:uid="{373F08C1-1889-416C-AADD-9D721E98EE00}" name="Uczelnie ilu podopiecznych będziesz oceniać?" totalsRowFunction="custom" totalsRowDxfId="395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94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93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92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91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90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89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88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87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86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85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84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83">
      <totalsRowFormula>COUNTA((BK3:BK159))</totalsRowFormula>
    </tableColumn>
    <tableColumn id="62" xr3:uid="{D7A10314-D8C8-4D47-9939-D597680A8D89}" name="Pole dodatkowe10" totalsRowFunction="custom" totalsRowDxfId="382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81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80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79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78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77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76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75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74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73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72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71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70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69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68">
      <totalsRowFormula>COUNTA((BZ3:BZ159))</totalsRowFormula>
    </tableColumn>
    <tableColumn id="77" xr3:uid="{6FCF6001-0320-49B2-98E4-DBE8BE04E809}" name="Pole dodatkowe23" totalsRowFunction="custom" totalsRowDxfId="367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66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65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64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63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62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61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60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59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58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57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56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55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54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53">
      <totalsRowFormula>COUNTA((CO3:CO159))</totalsRowFormula>
    </tableColumn>
    <tableColumn id="92" xr3:uid="{D87D6F17-9A18-4BD2-82A2-E153AE86B37C}" name="Pole dodatkowe37" totalsRowFunction="custom" totalsRowDxfId="352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51">
      <totalsRowFormula>COUNTA((CQ3:CQ159))</totalsRowFormula>
    </tableColumn>
    <tableColumn id="94" xr3:uid="{E7DDA408-1945-4BDE-9B5A-12AAC3E05194}" name="Czy jesteś aktualnie pracownikiem administracyjnym uczelni wyższej?" totalsRowFunction="custom" dataDxfId="350" totalsRowDxfId="349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48"/>
    <tableColumn id="96" xr3:uid="{F959B9F3-C53C-4C63-A092-AF4A70D45B06}" name="Na jakim wydziale pracujesz?" totalsRowDxfId="347"/>
    <tableColumn id="97" xr3:uid="{19273B31-1872-4994-B739-304F1E7FBD34}" name="Moja satysfakcja z pracy na ocenianej uczelni jest wysoka." totalsRowDxfId="346"/>
    <tableColumn id="98" xr3:uid="{EE7C1371-E788-4978-B01E-B5870F3E97D1}" name="Atmosfera w zespole współpracowników jest dobra." totalsRowDxfId="345"/>
    <tableColumn id="99" xr3:uid="{04B25BDB-5FFA-42B5-AEBA-FC863BEDBC77}" name="Moje zarobki są satysfakcjonujące." totalsRowDxfId="344"/>
    <tableColumn id="100" xr3:uid="{DAD2DC5B-8DF9-49D3-A852-672969268131}" name="Praca na ocenianej uczelni daje mi duże szanse rozwoju." totalsRowDxfId="343"/>
    <tableColumn id="101" xr3:uid="{27C35901-3DF8-4B77-BEB2-58D43C8B6871}" name="Wartość wykształcenia zdobywanego przez studentów ocenianej uczelni jest wysoka." totalsRowDxfId="342"/>
    <tableColumn id="102" xr3:uid="{4669105C-8E5E-4FD6-97C5-3F5E1BE9CAE4}" name="Zdobyte na ocenianej uczelni wykształcenie ma pozytywny wpływ na zwiększenie zarobków absolwentów." totalsRowDxfId="341"/>
    <tableColumn id="103" xr3:uid="{C2B9909A-91DF-4FB2-B673-AACC920851EA}" name="Jakie inne (poza zarobkami) efekty kształcenia na ocenianej uczelni się dostrzegasz obecnie?39" totalsRowDxfId="340"/>
    <tableColumn id="104" xr3:uid="{1F0E0013-CC4E-4656-BDA5-9028148E569A}" name="Czy jesteś aktualnie pracownikiem naukowym lub dydaktycznym uczelni wyższej?" totalsRowFunction="custom" dataDxfId="339" totalsRowDxfId="338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37"/>
    <tableColumn id="106" xr3:uid="{FAD00E10-66DF-401D-8721-330410755C4C}" name="Na jakim wydziale pracujesz?41" totalsRowDxfId="336"/>
    <tableColumn id="107" xr3:uid="{3ED79AD9-3A2A-4796-A7F7-27B53055A7C5}" name="Moja satysfakcja z pracy na ocenianej uczelni jest wysoka.42" totalsRowDxfId="335"/>
    <tableColumn id="108" xr3:uid="{88F3FD29-277A-4D3B-9F35-812F832A00F4}" name="Atmosfera w zespole współpracowników jest dobra.43" totalsRowDxfId="334"/>
    <tableColumn id="109" xr3:uid="{DC511D2A-6FF2-4B52-B52A-324E6688C5E0}" name="Moje zarobki są satysfakcjonujące.44" totalsRowDxfId="333"/>
    <tableColumn id="110" xr3:uid="{3C031862-BB50-46FB-A01C-928A7B955B19}" name="Praca na ocenianej uczelni daje mi duże szanse rozwoju.45" totalsRowDxfId="332"/>
    <tableColumn id="111" xr3:uid="{26178753-38CF-4749-A317-A1E5F425DF12}" name="Wartość wykształcenia zdobywanego przez studentów ocenianej uczelni jest wysoka.46" totalsRowDxfId="331"/>
    <tableColumn id="112" xr3:uid="{889B113B-59F9-4196-9536-C41274799622}" name="Zdobyte na ocenianej uczelni wykształcenie ma pozytywny wpływ na zwiększenie zarobków absolwentów.47" totalsRowDxfId="330"/>
    <tableColumn id="113" xr3:uid="{018446A9-87AE-432A-96CE-C29A37692C27}" name="Jakie inne (poza zarobkami) efekty kształcenia na ocenianej uczelni dostrzegasz obecnie?48" totalsRowDxfId="329"/>
    <tableColumn id="114" xr3:uid="{D11A2879-2C85-42C1-9C08-4BA4A9592DB0}" name="Czy jesteś przedstawicielem władz uczelni z grupy rektorów, prorektorów, dziekanów, prodziekanów, członków senatu lub członków rady uczelni?" totalsRowFunction="custom" dataDxfId="328" totalsRowDxfId="327">
      <totalsRowFormula>COUNTA((DL3:DL159))</totalsRowFormula>
    </tableColumn>
    <tableColumn id="115" xr3:uid="{758B3CD0-0C56-4596-8D61-D90700A05DA1}" name="Proszę podać pełnioną funkcję" totalsRowDxfId="326"/>
    <tableColumn id="116" xr3:uid="{E904AED4-A38D-42EF-9D38-709BB163A619}" name="Kolumna3" totalsRowDxfId="325"/>
    <tableColumn id="117" xr3:uid="{AF0D4680-ECCA-4738-825E-AB146FC0FF8F}" name="Kolumna4" totalsRowDxfId="324"/>
    <tableColumn id="118" xr3:uid="{65A15536-DE99-4D16-A20B-206F127C5BFB}" name="Kolumna5" totalsRowDxfId="323"/>
    <tableColumn id="119" xr3:uid="{E05782FB-7FE9-42ED-94C4-B7F653167A0F}" name="Jak się nazywa uczelnia którą będziesz oceniać (jako przedstawiciel jej władz)?" totalsRowDxfId="322"/>
    <tableColumn id="120" xr3:uid="{1B7FA187-1663-4FBF-A3C5-EA8D6A053A25}" name="Efekty działań ocenianej uczelni na rzesz jakości edukacji są dobre" totalsRowDxfId="321"/>
    <tableColumn id="121" xr3:uid="{8A6C2138-0511-4784-9BCB-D7F056FD5756}" name="Wartość wykształcenia zdobywanego przez studentów na ocenianej uczelni jest wysoka." totalsRowDxfId="320"/>
    <tableColumn id="122" xr3:uid="{33664698-CEF8-4115-B63B-828882A6D501}" name="Zdobyte przez studentów ocenianej uczelni wykształcenie miało/ma pozytywny wpływ na ich zarobki." totalsRowDxfId="319"/>
    <tableColumn id="123" xr3:uid="{6548C317-5775-47D8-8BB5-03CE96ABFB2C}" name="Efekty działań ocenianej uczelni na rzecz jakości edukacji mają dobry wpływ na rozwój regionu." totalsRowDxfId="318"/>
    <tableColumn id="124" xr3:uid="{04271A5C-5560-4CF8-90D9-89BA9B015FBC}" name="Efekty działań ocenianej uczelni na rzecz jakości edukacji mają dobry wpływ na rozwój Polski." totalsRowDxfId="317"/>
    <tableColumn id="125" xr3:uid="{123DE0DC-02B2-4F9B-BEEB-704DB06821EE}" name="Współpraca ocenianej uczelni z biznesem ma pozytywne efekty dla rozwoju regionu / kraju." totalsRowDxfId="316"/>
    <tableColumn id="126" xr3:uid="{A0DF07F0-161A-4193-A1E6-2065A1C8B63E}" name="Ogólny poziom mojej satysfakcji z jakości usług edukacyjnych ocenianej uczelni jest wysoki." totalsRowDxfId="315"/>
    <tableColumn id="127" xr3:uid="{78D52D23-A055-4089-AEA3-0D0030CEAC4A}" name="Studenci : wybierz wartość z listy rozwijanej" totalsRowDxfId="314"/>
    <tableColumn id="128" xr3:uid="{3C88D815-7B36-4940-B457-1D4916A18A9A}" name="Absolwenci : wybierz wartość z listy rozwijanej" totalsRowDxfId="313"/>
    <tableColumn id="129" xr3:uid="{B7AADA93-8D0B-47F3-BCD2-912D3D3EFF96}" name="Rodzice absolwentów : wybierz wartość z listy rozwijanej" totalsRowDxfId="312"/>
    <tableColumn id="130" xr3:uid="{2419B54D-E941-464A-ABB8-3A728F2F5596}" name="Pracownicy administracyjni : wybierz wartość z listy rozwijanej" totalsRowDxfId="311"/>
    <tableColumn id="131" xr3:uid="{BAB27B7B-2698-4085-8E82-FA14AF164B29}" name="Pracownicy naukowi i dydaktyczni : wybierz wartość z listy rozwijanej" totalsRowDxfId="310"/>
    <tableColumn id="132" xr3:uid="{6A6F970F-B3EB-4E50-9DE6-C8C4C7CAA18A}" name="Pracodawcy : wybierz wartość z listy rozwijanej" totalsRowDxfId="309"/>
    <tableColumn id="133" xr3:uid="{09A6A719-E450-4AC4-8182-90B1F383E84C}" name="Władze samorządowe i centralne : wybierz wartość z listy rozwijanej" totalsRowDxfId="308"/>
    <tableColumn id="134" xr3:uid="{2E207BF2-E2F1-4F2B-9DAE-D3B78D867559}" name="Pole dodatkowe4" totalsRowDxfId="307"/>
    <tableColumn id="135" xr3:uid="{EEB77D73-5571-4E17-8266-02BB1710B8F0}" name="Studenci : wybierz wartość z listy rozwijanej5" totalsRowDxfId="306"/>
    <tableColumn id="136" xr3:uid="{81EA592A-292B-42BA-AA88-85A430ABBA5B}" name="Absolwenci : wybierz wartość z listy rozwijanej6" totalsRowDxfId="305"/>
    <tableColumn id="137" xr3:uid="{AC693E91-1370-42E2-8C6B-A2DEAEDAD6D8}" name="Rodzice absolwentów : wybierz wartość z listy rozwijanej7" totalsRowDxfId="304"/>
    <tableColumn id="138" xr3:uid="{C972A3A6-50AF-4CF0-9221-51F3F1B825B5}" name="Pracownicy administracyjni : wybierz wartość z listy rozwijanej8" totalsRowDxfId="303"/>
    <tableColumn id="139" xr3:uid="{8A17F47D-C5DA-4436-9144-E5A1DC2CE401}" name="Pracownicy naukowi i dydaktyczni : wybierz wartość z listy rozwijanej9" totalsRowDxfId="302"/>
    <tableColumn id="140" xr3:uid="{9C9F0784-2723-4BBD-AE36-08FD5221319D}" name="Pracodawcy : wybierz wartość z listy rozwijanej10" totalsRowDxfId="301"/>
    <tableColumn id="141" xr3:uid="{AAE33EE1-D3BE-432C-9A2D-5D55BE9F26EC}" name="Władze samorządowe i centralne : wybierz wartość z listy rozwijanej11" totalsRowDxfId="300"/>
    <tableColumn id="142" xr3:uid="{C7BCF657-B75F-43D7-A19C-E0A38F71C79A}" name="Pole dodatkowe12" totalsRowDxfId="299"/>
    <tableColumn id="143" xr3:uid="{027BA0BD-D7CE-4B61-BD34-CD9336762A59}" name="Czy jesteś przedstawicielem firmy, w której są zatrudniani absolwenci uczelni wyższych (tytuł licencjata, magistra lub wyższy)?" totalsRowFunction="custom" dataDxfId="298" totalsRowDxfId="297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96"/>
    <tableColumn id="145" xr3:uid="{A9C11981-CE44-482B-9485-624EB4CFA91B}" name="Ile uczelni będziesz oceniać?" totalsRowDxfId="295"/>
    <tableColumn id="146" xr3:uid="{822F037D-C81E-4AA1-A477-75B7599C4C4E}" name="Jak się nazywa uczelnia, którą ocenisz? " totalsRowDxfId="294"/>
    <tableColumn id="147" xr3:uid="{B879E027-4001-4F17-98A9-1FF6DD06C0F9}" name="Moja satysfakcja z (efektów) usług edukacyjnych na ocenianej uczelni jest wysoka." totalsRowDxfId="293"/>
    <tableColumn id="148" xr3:uid="{887E2640-884A-454A-B596-856E217BE2DD}" name="Kompetencje absolwentów ocenianej uczelni są wysokie." totalsRowDxfId="292"/>
    <tableColumn id="149" xr3:uid="{478F5E65-AE32-4F52-99FA-3830D9323C3C}" name="Zarobki absolwentów ocenianej uczelni zatrudnionych w mojej firmie są wyższe od zarobków absolwentów innych polskich uczelni." totalsRowDxfId="291"/>
    <tableColumn id="150" xr3:uid="{E5D4AD52-FA66-4019-983E-25DC2AF5A5A8}" name="Czy w Twojej firmie są zatrudniani absolwenci uczelni w pierwszym roku po ukończeniu studiów (do 12 miesięcy od uzyskania dyplomu)?" totalsRowDxfId="290"/>
    <tableColumn id="151" xr3:uid="{FDC480C9-E39B-4D41-9995-A191329D3555}" name="Jakie kompetencje absolwentów ocenianej uczelni są w Twojej firmie najwyżej wyceniane?" totalsRowDxfId="289"/>
    <tableColumn id="152" xr3:uid="{558E6650-0292-450C-9D81-46BC7B7FA1C9}" name="Jakiego rodzaju prace wykonują absolwenci ocenianej uczelni w Twojej firmie?" totalsRowDxfId="288"/>
    <tableColumn id="153" xr3:uid="{9E8CE1F9-05B3-4737-AC9A-FAE812FD292C}" name="Czy będziesz oceniał drugą uczelnię?" totalsRowDxfId="287"/>
    <tableColumn id="154" xr3:uid="{CEB66B10-0E60-4952-A1B0-1E5C8784E791}" name="Jak się nazywa uczelnia, którą ocenisz? 13" totalsRowDxfId="286"/>
    <tableColumn id="155" xr3:uid="{2864E703-440A-477E-8352-68DEA39F85CD}" name="Moja satysfakcja z (efektów) usług edukacyjnych na ocenianej uczelni jest wysoka.14" totalsRowDxfId="285"/>
    <tableColumn id="156" xr3:uid="{B38513D8-CC85-41E0-85A1-82AC6807323C}" name="Kompetencje absolwentów ocenianej uczelni są wysokie.15" totalsRowDxfId="284"/>
    <tableColumn id="157" xr3:uid="{204ADF47-FBCC-47A6-95D9-5D3E03854768}" name="Zarobki absolwentów ocenianej uczelni zatrudnionych w mojej firmie są wyższe od zarobków absolwentów innych polskich uczelni.16" totalsRowDxfId="283"/>
    <tableColumn id="158" xr3:uid="{7E6A13F3-C53A-4FC9-B3AE-9EA25D9CBCE6}" name="Czy w Twojej firmie są zatrudniani absolwenci uczelni w pierwszym roku po ukończeniu studiów (do 12 miesięcy od uzyskania dyplomu)?17" totalsRowDxfId="282"/>
    <tableColumn id="159" xr3:uid="{83E7A1CC-295A-477E-8CD0-1E43143ACFF6}" name="Jakie kompetencje absolwentów ocenianej uczelni są w Twojej firmie najwyżej wyceniane?18" totalsRowDxfId="281"/>
    <tableColumn id="160" xr3:uid="{C3F49389-F342-4110-8A16-536B6EC87EC2}" name="Jakiego rodzaju prace wykonują absolwenci ocenianej uczelni w Twojej firmie?19" totalsRowDxfId="280"/>
    <tableColumn id="161" xr3:uid="{2BBFB49D-5EDF-4AC5-9179-70BCC6FA0B96}" name="Czy będziesz oceniał trzecią uczelnię techniczną?" totalsRowDxfId="279"/>
    <tableColumn id="162" xr3:uid="{829F7D1E-D133-43C4-A756-6D0B7542D44F}" name="Jak się nazywa uczelnia, którą ocenisz? 20" totalsRowDxfId="278"/>
    <tableColumn id="163" xr3:uid="{8758E395-9800-4CA8-BF43-3BFBF9507549}" name="Moja satysfakcja z (efektów) usług edukacyjnych na ocenianej uczelni jest wysoka.21" totalsRowDxfId="277"/>
    <tableColumn id="164" xr3:uid="{14ABF48C-A9EC-4153-B011-421959501B3A}" name="Kompetencje absolwentów ocenianej uczelni są wysokie.22" totalsRowDxfId="276"/>
    <tableColumn id="165" xr3:uid="{E8A014C5-F146-4C5D-B50B-6E968A7F8B46}" name="Zarobki absolwentów ocenianej uczelni zatrudnionych w mojej firmie są wyższe od zarobków absolwentów innych polskich uczelni.23" totalsRowDxfId="275"/>
    <tableColumn id="166" xr3:uid="{1FF6D355-AF16-4EB9-8805-4741E5F2867E}" name="Czy w Twojej firmie są zatrudniani absolwenci uczelni w pierwszym roku po ukończeniu studiów (do 12 miesięcy od uzyskania dyplomu)?24" totalsRowDxfId="274"/>
    <tableColumn id="167" xr3:uid="{71809E9D-42EC-47FD-9E58-0596DB8FD07D}" name="Jakie kompetencje absolwentów ocenianej uczelni są w Twojej firmie najwyżej wyceniane?25" totalsRowDxfId="273"/>
    <tableColumn id="168" xr3:uid="{6CA2A8B4-3095-459E-BDF0-43522EA7E403}" name="Jakiego rodzaju prace wykonują absolwenci ocenianej uczelni są w Twojej firmie?" totalsRowDxfId="272"/>
    <tableColumn id="169" xr3:uid="{6AEC3D33-E058-4E5E-AEC6-C091FCB970C9}" name="Czy jesteś przedstawicielem władz samorządowych lub centralnych Rzeczypospolitej Polskiej?" totalsRowFunction="custom" dataDxfId="271" totalsRowDxfId="270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69">
      <totalsRowFormula>COUNTA((GZ3:GZ159))</totalsRowFormula>
    </tableColumn>
    <tableColumn id="207" xr3:uid="{17374C0D-5C50-4F2D-9998-48F1A5105C49}" name="Rok urodzenia" totalsRowFunction="custom" totalsRowDxfId="268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67">
      <totalsRowFormula>COUNTA((HB3:HB159))</totalsRowFormula>
    </tableColumn>
    <tableColumn id="209" xr3:uid="{12CD2E72-E534-4809-A75E-AF29F5F5F088}" name="Pole dodatkowe52" totalsRowFunction="custom" totalsRowDxfId="266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65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64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63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62" totalsRowDxfId="261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60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59" totalsRowDxfId="258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57"/>
    <tableColumn id="16" xr3:uid="{AA3DBEFA-9D73-475E-A9A5-2D42522C9072}" name="Czy studiujesz na kierunku technicznym, tzn. takim, po którym uzyskasz tytuł inżyniera?" totalsRowDxfId="256"/>
    <tableColumn id="17" xr3:uid="{8AAAEBAF-D354-47D3-8A57-BF9F06131A1E}" name="Jak się nazywa kierunek, na którym studiujesz?" totalsRowDxfId="255"/>
    <tableColumn id="18" xr3:uid="{CD9C7D41-ABD7-4C41-89ED-89A659BAC655}" name="Moja satysfakcja z usług edukacyjnych ocenianej uczelni jest wysoka." totalsRowDxfId="254"/>
    <tableColumn id="19" xr3:uid="{31FED63E-2530-44F3-A0E2-6B96989E02A8}" name="Usługi edukacyjne ocenianej uczelni mają wysoką wartość (okazja / szansa rozwoju własnego lub kariery)." totalsRowDxfId="253"/>
    <tableColumn id="20" xr3:uid="{378DDC9B-58A3-4DE4-A300-A19FD721A037}" name="Kształcenie na ocenianej uczelni ma/będzie miało pozytywny wpływ na zwiększenie moich zarobków." totalsRowDxfId="252"/>
    <tableColumn id="21" xr3:uid="{C6A24480-7451-49D9-8645-BC69D7F99331}" name="Kolumna1" totalsRowDxfId="251"/>
    <tableColumn id="22" xr3:uid="{D80E567D-CCDD-4B11-B18B-072D893C7687}" name="w pierwszym roku po ukończeniu studiów : wybierz wartość z listy rozwijanej" totalsRowDxfId="250"/>
    <tableColumn id="23" xr3:uid="{CF51D676-6C20-46B0-A565-D78CD8D4C947}" name="w 3 lata po ukończeniu studiów : wybierz wartość z listy rozwijanej" totalsRowDxfId="249"/>
    <tableColumn id="24" xr3:uid="{0F1B2099-4D7F-463D-AC59-617503BC5E14}" name="Jakich innych (poza zarobkami) efektów kształcenia na ocenianej uczelni się spodziewasz?" totalsRowDxfId="248"/>
    <tableColumn id="25" xr3:uid="{35D57207-52B7-455E-A9ED-A6AD95338EC7}" name="Co wpływa na Twoją satysfakcję ze studiowania?" totalsRowDxfId="247"/>
    <tableColumn id="26" xr3:uid="{CAD83457-32FA-404F-A708-C1B3C759AC6E}" name="Kolumna2" totalsRowDxfId="246"/>
    <tableColumn id="27" xr3:uid="{ADC35906-6D65-48D1-81AC-C4B4957B05D5}" name="Jakiego rodzaju są Twoje studia?" totalsRowDxfId="245"/>
    <tableColumn id="28" xr3:uid="{E068B642-DF74-4CAA-A88E-B517DC5FC386}" name="Pole dodatkowe" totalsRowDxfId="244"/>
    <tableColumn id="29" xr3:uid="{38F90488-07A7-4B7C-882D-784B03584081}" name="Na którym semestrze studiujesz obecnie?" totalsRowDxfId="243"/>
    <tableColumn id="30" xr3:uid="{5A578F2D-0AA4-4797-8F97-B23C8F9552C7}" name="Czy jesteś absolwentem uczelni wyższej?" totalsRowFunction="custom" dataDxfId="242" totalsRowDxfId="241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40"/>
    <tableColumn id="32" xr3:uid="{E591DDF7-3A8B-45B3-9972-7C4BB854C0A9}" name="W którym roku ukończyłaś/eś studia (rok w którym uzyskano dyplom ukończenia studiów drugiego stopnia, albo pierwszego stopnia, jeśli nie uzyskano dyplomu 2. stopnia)?" totalsRowDxfId="239"/>
    <tableColumn id="33" xr3:uid="{B826B930-988D-4AF8-9D52-5EF6AF6A7F20}" name="Czy ukończony kierunek był kierunkiem technicznym, tzn. takim, po którym uzyskałaś/eś tytuł inżyniera?" totalsRowDxfId="238"/>
    <tableColumn id="34" xr3:uid="{0507FF43-58D2-4683-81A2-9CE2C2FA5844}" name="Jak się nazywa kierunek, który ukończyłaś/eś?" totalsRowDxfId="237"/>
    <tableColumn id="35" xr3:uid="{AC65CB7E-A5EF-4C79-B96D-EA85400721B9}" name="Moja satysfakcja z (efektów) usług edukacyjnych ocenianej uczelni jest wysoka." totalsRowDxfId="236"/>
    <tableColumn id="36" xr3:uid="{36BB94DA-A6A2-46AA-A0C4-3AAE4ADCC084}" name="Usługi edukacyjne ocenianej uczelni mają wysoką wartość (okazja / szansa rozwoju własnego lub kariery).3" totalsRowDxfId="235"/>
    <tableColumn id="37" xr3:uid="{46DF242C-10FA-47FE-BC6B-045B295812CA}" name="Kształcenie na ocenianej uczelni ma/miało pozytywny wpływ na zwiększenie moich zarobków." totalsRowDxfId="234"/>
    <tableColumn id="38" xr3:uid="{22DB960F-1A91-4EB9-90EA-0C8BB104EBCF}" name="Moje zarobki w pierwszym roku po ukończeniu studiów były satysfakcjonujące." totalsRowDxfId="233"/>
    <tableColumn id="39" xr3:uid="{1AC1C2EA-FD9C-42F6-8732-E88F90068CC4}" name="Moje zarobki po 3. latach po ukończeniu studiów były satysfakcjonujące." totalsRowDxfId="232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31"/>
    <tableColumn id="41" xr3:uid="{53D325CD-E5E6-4C9E-81B0-775315EF4E8E}" name="w pierwszym roku po ukończeniu studiów : wybierz wartość z listy rozwijanej4" totalsRowDxfId="230"/>
    <tableColumn id="42" xr3:uid="{A6B799C8-D5F2-4C68-B71E-F83C3A6075B7}" name="w 3 lata po ukończeniu studiów : wybierz wartość z listy rozwijanej5" totalsRowDxfId="229"/>
    <tableColumn id="43" xr3:uid="{BC589F24-9BD1-4C2F-9397-D51311E5EC39}" name="Jakie inne (poza zarobkami) efekty kształcenia na ocenianej uczelni dostrzegasz obecnie?" totalsRowDxfId="228"/>
    <tableColumn id="44" xr3:uid="{A11C2A67-EC51-4621-92CF-198235F6DDC5}" name="Co wpływało na twoją satysfakcję ze studiowania?_x000a_" totalsRowDxfId="227"/>
    <tableColumn id="45" xr3:uid="{D388932F-1A0A-4689-AB91-4A4F282D3CA9}" name="Kolumna6" totalsRowDxfId="226"/>
    <tableColumn id="46" xr3:uid="{F488CAF2-B800-439E-8332-DDBED1146AB6}" name="Jakiego rodzaju były Twoje studia?" totalsRowDxfId="225"/>
    <tableColumn id="47" xr3:uid="{00FDD7E1-EBD3-4653-98C4-D74FA980AF99}" name="Pole dodatkowe7" totalsRowDxfId="224"/>
    <tableColumn id="48" xr3:uid="{E33AE7B1-7892-48E4-9DBC-AE5EF9034B4E}" name="Czy jesteś rodzicem / opiekunem absolwenta uczelni wyższej?" totalsRowFunction="custom" dataDxfId="223" totalsRowDxfId="222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21"/>
    <tableColumn id="50" xr3:uid="{6BB0F22F-B640-446D-B936-91DFADFA81F1}" name="Jak się nazywa uczelnia, którą ukończył/a Twoja/Twój podopieczna/podopieczny? (proszę o wybranie jednej uczelni podlegającej ocenie)" totalsRowDxfId="220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19"/>
    <tableColumn id="52" xr3:uid="{26244E73-3F31-4ED7-99CC-718C75773980}" name="Czy ukończony kierunek był kierunkiem technicznym, tzn. takim, po którym uzyskano tytuł inżyniera?" totalsRowDxfId="218"/>
    <tableColumn id="53" xr3:uid="{F00033CF-BE1C-4649-B99E-A3FC496AF05C}" name="Jak się nazywa kierunek, który ukończył/a Twoja/Twój podopieczna/podopieczny?" totalsRowDxfId="217"/>
    <tableColumn id="54" xr3:uid="{8AE8E0B0-E59A-4253-8E89-6503DDEE44E9}" name="Moja satysfakcja z (efektów) usług edukacyjnych ocenianej uczelni jest wysoka.8" totalsRowDxfId="216"/>
    <tableColumn id="55" xr3:uid="{D72C8628-4CEE-4A6D-BD58-0114E59C605E}" name="Usługi edukacyjne ocenianej uczelni mają wysoką wartość (okazja / szansa rozwoju własnego lub kariery).9" totalsRowDxfId="215"/>
    <tableColumn id="56" xr3:uid="{53B5753F-3212-43BB-931D-3559FF6976DF}" name="Kształcenie na ocenianej uczelni ma/będzie miało pozytywny wpływ na zwiększenie zarobków mojej/mojego podopiecznej/podopiecznego." totalsRowDxfId="214"/>
    <tableColumn id="57" xr3:uid="{A9563BF9-19A1-46BF-9F31-4690E6A2385C}" name="Zarobki uzyskiwane przez mojego/moją podopieczną/podopiecznego w pierwszym roku po ukończeniu studiów były satysfakcjonujące (z mojego punktu widzenia)" totalsRowDxfId="213"/>
    <tableColumn id="58" xr3:uid="{BCC66B2D-86FD-4227-A5E9-2164B45893B0}" name="Zarobki uzyskiwane przez mojego/moją podopieczną/podopiecznego w 3 lata po ukończeniu studiów były satysfakcjonujące (z mojego punktu widzenia)" totalsRowDxfId="212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11"/>
    <tableColumn id="60" xr3:uid="{94345A4F-9EAB-4FE8-A337-CCC43CF7D9D3}" name="Jakie inne (poza zarobkami) efekty kształcenia na ocenianej uczelni się dostrzegasz obecnie?" totalsRowDxfId="210"/>
    <tableColumn id="61" xr3:uid="{05A46EBB-09E0-4294-881F-C45E3B66E515}" name="Jakiego rodzaju były studia, które ukończył/a Twoja/Twój podopieczna/podopieczny?" totalsRowDxfId="209"/>
    <tableColumn id="62" xr3:uid="{FE0A86D0-775F-435F-8B90-2A7B29B0B462}" name="Pole dodatkowe10" totalsRowDxfId="208"/>
    <tableColumn id="63" xr3:uid="{3C426FB0-5F3F-46C5-9E34-DD901FAA5A82}" name="Jeśli Twoja/Twój podopieczna/podopieczny ukończył/a również inne szkoły / kierunki studiów to proszę wpisz je tutaj." totalsRowDxfId="207"/>
    <tableColumn id="64" xr3:uid="{7B6238C1-79C7-4C59-B174-F693B78A54C8}" name="Czy będziesz oceniał uczelnię ukończoną przez drugiego podopiecznego?" totalsRowDxfId="206"/>
    <tableColumn id="65" xr3:uid="{72E69603-FDA8-458A-B355-C3F6177E2961}" name="Jak się nazywa uczelnia, którą ukończył/a Twoja/Twój podopieczna/podopieczny? (proszę o wybranie jednej uczelni podlegającej ocenie)11" totalsRowDxfId="205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04"/>
    <tableColumn id="67" xr3:uid="{51123307-FDE7-45CE-81D3-F8045A68CEB5}" name="Czy ukończony kierunek był kierunkiem technicznym, tzn. takim, po którym uzyskano tytuł inżyniera?13" totalsRowDxfId="203"/>
    <tableColumn id="68" xr3:uid="{E4E7F2FA-608F-4A76-95F9-FC633CF4A850}" name="Jak się nazywa kierunek, który ukończył/a Twoja/Twój podopieczna/podopieczny?14" totalsRowDxfId="202"/>
    <tableColumn id="69" xr3:uid="{2E0E2D92-CA45-4C29-AD1B-4107E60D2F5C}" name="Moja satysfakcja z (efektów) usług edukacyjnych ocenianej uczelni jest wysoka.15" totalsRowDxfId="201"/>
    <tableColumn id="70" xr3:uid="{22160B39-79EF-424B-9B2E-4205C1098DC4}" name="Usługi edukacyjne ocenianej uczelni mają wysoką wartość (okazja / szansa rozwoju własnego lub kariery).16" totalsRowDxfId="200"/>
    <tableColumn id="71" xr3:uid="{C5566328-CB9E-4672-AFA5-9A52C7FB1583}" name="Kształcenie na ocenianej uczelni ma/będzie miało pozytywny wpływ na zwiększenie zarobków mojej/mojego podopiecznej/podopiecznego.17" totalsRowDxfId="199"/>
    <tableColumn id="72" xr3:uid="{ED11287D-6F12-40C0-8EAE-0190C96B2475}" name="Zarobki uzyskiwane przez mojego/moją podopieczną/podopiecznego w pierwszym roku po ukończeniu studiów były satysfakcjonujące (z mojego punktu widzenia)18" totalsRowDxfId="198"/>
    <tableColumn id="73" xr3:uid="{5767066B-CB1E-4AC7-93CC-8721926057A1}" name="Zarobki uzyskiwane przez mojego/moją podopieczną/podopiecznego w 3 lata po ukończeniu studiów były satysfakcjonujące (z mojego punktu widzenia)19" totalsRowDxfId="197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96"/>
    <tableColumn id="75" xr3:uid="{91099E12-4AAE-4B3A-8B21-456B23B8E9C4}" name="Jakie inne (poza zarobkami) efekty kształcenia na ocenianej uczelni się dostrzegasz obecnie?21" totalsRowDxfId="195"/>
    <tableColumn id="76" xr3:uid="{F99FCD0E-141B-4162-9375-D912B829669B}" name="Jakiego rodzaju były studia, które ukończył/a Twoja/Twój podopieczna/podopieczny?22" totalsRowDxfId="194"/>
    <tableColumn id="77" xr3:uid="{9A935095-7069-4B79-9C19-ABCE05DB2953}" name="Pole dodatkowe23" totalsRowDxfId="193"/>
    <tableColumn id="78" xr3:uid="{73C50495-9837-4BA7-BE74-ED58E001D39F}" name="Jeśli Twoja/Twój podopieczna/podopieczny ukończył/a również inne szkoły / kierunki studiów to proszę wpisz je tutaj.24" totalsRowDxfId="192"/>
    <tableColumn id="79" xr3:uid="{2D9E6799-1116-4EBA-A4A6-EC67B715E65E}" name="Czy będziesz oceniał uczelnię ukończoną przez trzeciego podopiecznego?" totalsRowDxfId="191"/>
    <tableColumn id="80" xr3:uid="{98900E64-17FE-4566-98C9-57CB606D4413}" name="Jak się nazywa uczelnia, którą ukończył/a Twoja/Twój podopieczna/podopieczny? (proszę o wybranie jednej uczelni podlegającej ocenie)25" totalsRowDxfId="190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89"/>
    <tableColumn id="82" xr3:uid="{367FC414-3E67-4B03-A303-77F5139ABED4}" name="Czy ukończony kierunek był kierunkiem technicznym, tzn. takim, po którym uzyskano tytuł inżyniera?27" totalsRowDxfId="188"/>
    <tableColumn id="83" xr3:uid="{641F2969-C09A-425E-81A7-806949B38666}" name="Jak się nazywa kierunek, który ukończył/a Twoja/Twój podopieczna/podopieczny?28" totalsRowDxfId="187"/>
    <tableColumn id="84" xr3:uid="{6B2F3F5A-F4BF-41A2-85FA-BAC6E179E9A9}" name="Moja satysfakcja z (efektów) usług edukacyjnych ocenianej uczelni jest wysoka.29" totalsRowDxfId="186"/>
    <tableColumn id="85" xr3:uid="{792FE0EC-454A-47B2-9DEE-09E82A55AC5F}" name="Usługi edukacyjne ocenianej uczelni mają wysoką wartość (okazja / szansa rozwoju własnego lub kariery).30" totalsRowDxfId="185"/>
    <tableColumn id="86" xr3:uid="{4BD46113-3AB9-405D-8A53-F153B50E863D}" name="Kształcenie na ocenianej uczelni ma/będzie miało pozytywny wpływ na zwiększenie zarobków mojej/mojego podopiecznej/podopiecznego.31" totalsRowDxfId="184"/>
    <tableColumn id="87" xr3:uid="{4CA1C5A8-3427-428B-B7BA-106EBBA85C17}" name="Zarobki uzyskiwane przez mojego/moją podopieczną/podopiecznego w pierwszym roku po ukończeniu studiów były satysfakcjonujące (z mojego punktu widzenia)32" totalsRowDxfId="183"/>
    <tableColumn id="88" xr3:uid="{C37B06BC-EDB5-471E-9C95-05232AC9EACD}" name="Zarobki uzyskiwane przez mojego/moją podopieczną/podopiecznego w 3 lata po ukończeniu studiów były satysfakcjonujące (z mojego punktu widzenia)33" totalsRowDxfId="182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81"/>
    <tableColumn id="90" xr3:uid="{CEEBCBE8-4DF4-40BE-ADF0-2750A2BF2609}" name="Jakie inne (poza zarobkami) efekty kształcenia na ocenianej uczelni się dostrzegasz obecnie?35" totalsRowDxfId="180"/>
    <tableColumn id="91" xr3:uid="{F1A613DC-A59A-419D-8838-D041B4273E91}" name="Jakiego rodzaju były studia, które ukończył/a Twoja/Twój podopieczna/podopieczny?36" totalsRowDxfId="179"/>
    <tableColumn id="92" xr3:uid="{E26BB465-B221-4E80-9D41-43786B72F743}" name="Pole dodatkowe37" totalsRowDxfId="178"/>
    <tableColumn id="93" xr3:uid="{12E07FC6-6ACA-44C4-A376-689F504EB460}" name="Jeśli Twoja/Twój podopieczna/podopieczny ukończył/a również inne szkoły / kierunki studiów to proszę wpisz je tutaj.38" totalsRowDxfId="177"/>
    <tableColumn id="94" xr3:uid="{4FBA703D-33E9-44C4-BD22-B3FC7B168C76}" name="Czy jesteś aktualnie pracownikiem administracyjnym uczelni wyższej?" totalsRowFunction="custom" dataDxfId="176" totalsRowDxfId="175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74"/>
    <tableColumn id="96" xr3:uid="{43902112-5836-47AC-AA75-A65F0D4C7817}" name="Na jakim wydziale pracujesz?" totalsRowDxfId="173"/>
    <tableColumn id="97" xr3:uid="{68D4A5FB-B6F1-410C-BBCE-5D895E75D7EF}" name="Moja satysfakcja z pracy na ocenianej uczelni jest wysoka." totalsRowDxfId="172"/>
    <tableColumn id="98" xr3:uid="{097FDF01-C103-4396-9EE5-DC463D453E58}" name="Atmosfera w zespole współpracowników jest dobra." totalsRowDxfId="171"/>
    <tableColumn id="99" xr3:uid="{5B99CA3A-6D7C-4D3E-B448-2EDAF4856B42}" name="Moje zarobki są satysfakcjonujące." totalsRowDxfId="170"/>
    <tableColumn id="100" xr3:uid="{90B0699F-2BC7-4D96-9800-8B1DB165F81E}" name="Praca na ocenianej uczelni daje mi duże szanse rozwoju." totalsRowDxfId="169"/>
    <tableColumn id="101" xr3:uid="{5CB95189-87A6-4F97-B291-A05336B23F22}" name="Wartość wykształcenia zdobywanego przez studentów ocenianej uczelni jest wysoka." totalsRowDxfId="168"/>
    <tableColumn id="102" xr3:uid="{056CF7BB-B947-41A0-AC24-42A1CBCF15BD}" name="Zdobyte na ocenianej uczelni wykształcenie ma pozytywny wpływ na zwiększenie zarobków absolwentów." totalsRowDxfId="167"/>
    <tableColumn id="103" xr3:uid="{2AB65CA7-05ED-4EB7-B603-B864E6D6745F}" name="Jakie inne (poza zarobkami) efekty kształcenia na ocenianej uczelni się dostrzegasz obecnie?39" totalsRowDxfId="166"/>
    <tableColumn id="104" xr3:uid="{DC472BA3-8D88-44A6-B5C1-5BF9558627FA}" name="Czy jesteś aktualnie pracownikiem naukowym lub dydaktycznym uczelni wyższej?" totalsRowFunction="custom" dataDxfId="165" totalsRowDxfId="164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63"/>
    <tableColumn id="106" xr3:uid="{2E39D77C-CC0F-41F1-8F10-30523EA3DE78}" name="Na jakim wydziale pracujesz?41" totalsRowDxfId="162"/>
    <tableColumn id="107" xr3:uid="{B9CFBDFF-9DC1-4556-855E-D4463D760A19}" name="Moja satysfakcja z pracy na ocenianej uczelni jest wysoka.42" totalsRowDxfId="161"/>
    <tableColumn id="108" xr3:uid="{158CA86A-249B-4193-A207-D38756E887C7}" name="Atmosfera w zespole współpracowników jest dobra.43" totalsRowDxfId="160"/>
    <tableColumn id="109" xr3:uid="{AC3090A9-EC3C-4C62-8AA9-F261EAB7887F}" name="Moje zarobki są satysfakcjonujące.44" totalsRowDxfId="159"/>
    <tableColumn id="110" xr3:uid="{9E04970F-962C-490E-A570-2D0912A5E57D}" name="Praca na ocenianej uczelni daje mi duże szanse rozwoju.45" totalsRowDxfId="158"/>
    <tableColumn id="111" xr3:uid="{C148AE52-9ADC-45EF-8DBC-27F0F1F05355}" name="Wartość wykształcenia zdobywanego przez studentów ocenianej uczelni jest wysoka.46" totalsRowDxfId="157"/>
    <tableColumn id="112" xr3:uid="{63921520-0FA3-4905-ACEB-02AFFB69B471}" name="Zdobyte na ocenianej uczelni wykształcenie ma pozytywny wpływ na zwiększenie zarobków absolwentów.47" totalsRowDxfId="156"/>
    <tableColumn id="113" xr3:uid="{E32B227A-B5B2-41A4-9CEB-B75A56696D75}" name="Jakie inne (poza zarobkami) efekty kształcenia na ocenianej uczelni dostrzegasz obecnie?48" totalsRowDxfId="155"/>
    <tableColumn id="114" xr3:uid="{98E95A67-6B14-4A2E-AB34-682AE1A049DC}" name="Czy jesteś przedstawicielem władz uczelni z grupy rektorów, prorektorów, dziekanów, prodziekanów, członków senatu lub członków rady uczelni?" totalsRowFunction="custom" dataDxfId="154" totalsRowDxfId="153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52"/>
    <tableColumn id="116" xr3:uid="{55CD3327-D03D-49EA-AD7A-8A8492F8FF76}" name="Kolumna3" totalsRowDxfId="151"/>
    <tableColumn id="117" xr3:uid="{BF356D61-903B-4604-89F3-2B471880C5B8}" name="Kolumna4" totalsRowDxfId="150"/>
    <tableColumn id="118" xr3:uid="{7173EDEB-5382-4DCE-AA15-A72B322560D6}" name="Kolumna5" totalsRowDxfId="149"/>
    <tableColumn id="119" xr3:uid="{6200F07F-FA1F-4A3F-B8ED-B934678483AF}" name="Jak się nazywa uczelnia którą będziesz oceniać (jako przedstawiciel jej władz)?" totalsRowDxfId="148"/>
    <tableColumn id="120" xr3:uid="{E6250DE6-1A12-41F3-90EE-1B4F673F6E58}" name="Efekty działań ocenianej uczelni na rzesz jakości edukacji są dobre" totalsRowDxfId="147"/>
    <tableColumn id="121" xr3:uid="{8AE05FEE-B731-4F93-90B6-915E5774E346}" name="Wartość wykształcenia zdobywanego przez studentów na ocenianej uczelni jest wysoka." totalsRowDxfId="146"/>
    <tableColumn id="122" xr3:uid="{E115058D-8C9C-450E-8DA2-D64EB971F57D}" name="Zdobyte przez studentów ocenianej uczelni wykształcenie miało/ma pozytywny wpływ na ich zarobki." totalsRowDxfId="145"/>
    <tableColumn id="123" xr3:uid="{6FEBB446-227D-4EA1-B507-206156E53809}" name="Efekty działań ocenianej uczelni na rzecz jakości edukacji mają dobry wpływ na rozwój regionu." totalsRowDxfId="144"/>
    <tableColumn id="124" xr3:uid="{01E38E74-9E44-4BFF-97FF-3B0FF3F7CDD0}" name="Efekty działań ocenianej uczelni na rzecz jakości edukacji mają dobry wpływ na rozwój Polski." totalsRowDxfId="143"/>
    <tableColumn id="125" xr3:uid="{F17A6FA5-F0F2-48AD-B639-9161F59ACD49}" name="Współpraca ocenianej uczelni z biznesem ma pozytywne efekty dla rozwoju regionu / kraju." totalsRowDxfId="142"/>
    <tableColumn id="126" xr3:uid="{81D0BDE5-B5BD-41AD-AE49-0F05E206FF4F}" name="Ogólny poziom mojej satysfakcji z jakości usług edukacyjnych ocenianej uczelni jest wysoki." totalsRowDxfId="141"/>
    <tableColumn id="127" xr3:uid="{E1B74221-E8AC-4764-9FBA-17BC7A8DAB4F}" name="Studenci : wybierz wartość z listy rozwijanej" totalsRowDxfId="140"/>
    <tableColumn id="128" xr3:uid="{9521E128-6D78-41F6-9BED-3F1F3009376D}" name="Absolwenci : wybierz wartość z listy rozwijanej" totalsRowDxfId="139"/>
    <tableColumn id="129" xr3:uid="{F972B7F0-4237-45DD-B8D9-6E5F80BC382C}" name="Rodzice absolwentów : wybierz wartość z listy rozwijanej" totalsRowDxfId="138"/>
    <tableColumn id="130" xr3:uid="{D18127FA-4AAC-43F7-8718-648B089DA3AE}" name="Pracownicy administracyjni : wybierz wartość z listy rozwijanej" totalsRowDxfId="137"/>
    <tableColumn id="131" xr3:uid="{9AD30943-8FF3-4081-BC52-0A68F33FA1E6}" name="Pracownicy naukowi i dydaktyczni : wybierz wartość z listy rozwijanej" totalsRowDxfId="136"/>
    <tableColumn id="132" xr3:uid="{F15383FF-5030-41F2-B790-DA1B9ACCD614}" name="Pracodawcy : wybierz wartość z listy rozwijanej" totalsRowDxfId="135"/>
    <tableColumn id="133" xr3:uid="{A113041C-1CEA-48AE-A9F9-6427226B931F}" name="Władze samorządowe i centralne : wybierz wartość z listy rozwijanej" totalsRowDxfId="134"/>
    <tableColumn id="134" xr3:uid="{2391059C-06A8-4E9F-9A30-2923C913E592}" name="Pole dodatkowe4" totalsRowDxfId="133"/>
    <tableColumn id="135" xr3:uid="{87323607-8918-4675-942B-66DDA6ACC52D}" name="Studenci : wybierz wartość z listy rozwijanej5" totalsRowDxfId="132"/>
    <tableColumn id="136" xr3:uid="{575464E3-342E-4010-A0B5-F16E0DA7F25D}" name="Absolwenci : wybierz wartość z listy rozwijanej6" totalsRowDxfId="131"/>
    <tableColumn id="137" xr3:uid="{3C4E7A29-9534-46F7-9E09-353DAEA57455}" name="Rodzice absolwentów : wybierz wartość z listy rozwijanej7" totalsRowDxfId="130"/>
    <tableColumn id="138" xr3:uid="{5EFF4867-813D-4D19-AFD2-41795D704E9D}" name="Pracownicy administracyjni : wybierz wartość z listy rozwijanej8" totalsRowDxfId="129"/>
    <tableColumn id="139" xr3:uid="{BD3A3545-6744-40C8-B6F9-128B604A0016}" name="Pracownicy naukowi i dydaktyczni : wybierz wartość z listy rozwijanej9" totalsRowDxfId="128"/>
    <tableColumn id="140" xr3:uid="{A370427A-746A-432F-8439-DE3E0F05E90C}" name="Pracodawcy : wybierz wartość z listy rozwijanej10" totalsRowDxfId="127"/>
    <tableColumn id="141" xr3:uid="{A6D0879A-E0B6-4F9C-B8AB-CCB9C168853D}" name="Władze samorządowe i centralne : wybierz wartość z listy rozwijanej11" totalsRowDxfId="126"/>
    <tableColumn id="142" xr3:uid="{ED69D784-3A72-4212-8A94-FFF937BB5636}" name="Pole dodatkowe12" totalsRowDxfId="125"/>
    <tableColumn id="143" xr3:uid="{F9376235-C8DC-451D-B95A-275409F154F3}" name="Czy jesteś przedstawicielem firmy, w której są zatrudniani absolwenci uczelni wyższych (tytuł licencjata, magistra lub wyższy)?" totalsRowFunction="custom" dataDxfId="124" totalsRowDxfId="123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22"/>
    <tableColumn id="145" xr3:uid="{FEA12265-815B-4115-947C-C4D7389958E8}" name="Ile uczelni będziesz oceniać?" totalsRowDxfId="121"/>
    <tableColumn id="146" xr3:uid="{26F5BBF0-E63C-4FC8-A2F3-F0ADC728D5E4}" name="Jak się nazywa uczelnia, którą ocenisz? " totalsRowDxfId="120"/>
    <tableColumn id="147" xr3:uid="{61714612-8B24-4377-BCF5-066C33634E6F}" name="Moja satysfakcja z (efektów) usług edukacyjnych na ocenianej uczelni jest wysoka." totalsRowDxfId="119"/>
    <tableColumn id="148" xr3:uid="{043BF385-CFC6-4AC5-BD7D-2DC21351418F}" name="Kompetencje absolwentów ocenianej uczelni są wysokie." totalsRowDxfId="118"/>
    <tableColumn id="149" xr3:uid="{35B1450E-E76E-4137-923C-C1196FE6A242}" name="Zarobki absolwentów ocenianej uczelni zatrudnionych w mojej firmie są wyższe od zarobków absolwentów innych polskich uczelni." totalsRowDxfId="117"/>
    <tableColumn id="150" xr3:uid="{46264593-E5FF-4A8E-9E32-B5CDAD83DB38}" name="Czy w Twojej firmie są zatrudniani absolwenci uczelni w pierwszym roku po ukończeniu studiów (do 12 miesięcy od uzyskania dyplomu)?" totalsRowDxfId="116"/>
    <tableColumn id="151" xr3:uid="{AFEC3724-7638-4FBB-9B74-E3C5F372DFD7}" name="Jakie kompetencje absolwentów ocenianej uczelni są w Twojej firmie najwyżej wyceniane?" totalsRowDxfId="115"/>
    <tableColumn id="152" xr3:uid="{7C41F20E-87DA-419A-A4DC-8FC7E15280E1}" name="Jakiego rodzaju prace wykonują absolwenci ocenianej uczelni w Twojej firmie?" totalsRowDxfId="114"/>
    <tableColumn id="153" xr3:uid="{A53B26E4-0EB5-4875-918F-C84DFA999490}" name="Czy będziesz oceniał drugą uczelnię?" totalsRowDxfId="113"/>
    <tableColumn id="154" xr3:uid="{C51996BB-6F72-462D-AF3A-889816D9376D}" name="Jak się nazywa uczelnia, którą ocenisz? 13" totalsRowDxfId="112"/>
    <tableColumn id="155" xr3:uid="{C4DC7D31-6CB7-4667-BEF7-8EFAA1443E26}" name="Moja satysfakcja z (efektów) usług edukacyjnych na ocenianej uczelni jest wysoka.14" totalsRowDxfId="111"/>
    <tableColumn id="156" xr3:uid="{6BE5AEB2-D87C-4FAD-8A78-12F3665EA35B}" name="Kompetencje absolwentów ocenianej uczelni są wysokie.15" totalsRowDxfId="110"/>
    <tableColumn id="157" xr3:uid="{E68B03D6-C361-4634-B98C-870BC31CEDD8}" name="Zarobki absolwentów ocenianej uczelni zatrudnionych w mojej firmie są wyższe od zarobków absolwentów innych polskich uczelni.16" totalsRowDxfId="109"/>
    <tableColumn id="158" xr3:uid="{7AE77260-6064-4321-A8D8-8F0B2D560514}" name="Czy w Twojej firmie są zatrudniani absolwenci uczelni w pierwszym roku po ukończeniu studiów (do 12 miesięcy od uzyskania dyplomu)?17" totalsRowDxfId="108"/>
    <tableColumn id="159" xr3:uid="{02179DC7-236C-405B-9717-3820DB37DCDE}" name="Jakie kompetencje absolwentów ocenianej uczelni są w Twojej firmie najwyżej wyceniane?18" totalsRowDxfId="107"/>
    <tableColumn id="160" xr3:uid="{ACD9DA00-A265-43F3-A8CD-4AB9D52D21A7}" name="Jakiego rodzaju prace wykonują absolwenci ocenianej uczelni w Twojej firmie?19" totalsRowDxfId="106"/>
    <tableColumn id="161" xr3:uid="{40C65435-9246-41B9-9D13-8617AD0D615B}" name="Czy będziesz oceniał trzecią uczelnię techniczną?" totalsRowDxfId="105"/>
    <tableColumn id="162" xr3:uid="{6D52B5AA-D38E-4A9C-9FC4-C5F27711E4B2}" name="Jak się nazywa uczelnia, którą ocenisz? 20" totalsRowDxfId="104"/>
    <tableColumn id="163" xr3:uid="{121D311A-63E4-4EF2-A0DA-FAA985067046}" name="Moja satysfakcja z (efektów) usług edukacyjnych na ocenianej uczelni jest wysoka.21" totalsRowDxfId="103"/>
    <tableColumn id="164" xr3:uid="{F282EA05-D156-4529-9BC1-8600524F81FD}" name="Kompetencje absolwentów ocenianej uczelni są wysokie.22" totalsRowDxfId="102"/>
    <tableColumn id="165" xr3:uid="{58F11C5E-414B-4C75-8CE5-1580D3F448A9}" name="Zarobki absolwentów ocenianej uczelni zatrudnionych w mojej firmie są wyższe od zarobków absolwentów innych polskich uczelni.23" totalsRowDxfId="101"/>
    <tableColumn id="166" xr3:uid="{3E1C84AB-DCF6-4B96-B25A-E3AA8A32B928}" name="Czy w Twojej firmie są zatrudniani absolwenci uczelni w pierwszym roku po ukończeniu studiów (do 12 miesięcy od uzyskania dyplomu)?24" totalsRowDxfId="100"/>
    <tableColumn id="167" xr3:uid="{4C87DA44-3851-4B6F-8471-F5B274EEF69E}" name="Jakie kompetencje absolwentów ocenianej uczelni są w Twojej firmie najwyżej wyceniane?25" totalsRowDxfId="99"/>
    <tableColumn id="168" xr3:uid="{4889D3B6-442C-490C-9642-B9781EC55E1C}" name="Jakiego rodzaju prace wykonują absolwenci ocenianej uczelni są w Twojej firmie?" totalsRowDxfId="98"/>
    <tableColumn id="169" xr3:uid="{370CF6EE-F46C-4CFF-9496-7844071DF992}" name="Czy jesteś przedstawicielem władz samorządowych lub centralnych Rzeczypospolitej Polskiej?" totalsRowFunction="custom" dataDxfId="97" totalsRowDxfId="96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E28"/>
  <sheetViews>
    <sheetView tabSelected="1" workbookViewId="0">
      <selection activeCell="E31" sqref="E31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4" x14ac:dyDescent="0.45">
      <c r="A4" s="26" t="s">
        <v>2295</v>
      </c>
      <c r="C4" s="26" t="s">
        <v>2306</v>
      </c>
    </row>
    <row r="5" spans="1:4" x14ac:dyDescent="0.45">
      <c r="A5">
        <f>COUNTIFS(AnalizaCzyste[Czy jesteś studentem uczelni wyższej?],"*"&amp;"Tak"&amp;"*")</f>
        <v>14</v>
      </c>
      <c r="B5" s="26" t="s">
        <v>2297</v>
      </c>
      <c r="C5" s="37">
        <f>A5/$A$13</f>
        <v>0.1037037037037037</v>
      </c>
      <c r="D5" s="26" t="s">
        <v>2283</v>
      </c>
    </row>
    <row r="6" spans="1:4" x14ac:dyDescent="0.45">
      <c r="A6">
        <f>COUNTIFS(AnalizaCzyste[Czy jesteś absolwentem uczelni wyższej?],"*"&amp;"Tak"&amp;"*")</f>
        <v>120</v>
      </c>
      <c r="B6" t="s">
        <v>2298</v>
      </c>
      <c r="C6" s="37">
        <f t="shared" ref="C6:C12" si="0">A6/$A$13</f>
        <v>0.88888888888888884</v>
      </c>
      <c r="D6" t="s">
        <v>2281</v>
      </c>
    </row>
    <row r="7" spans="1:4" x14ac:dyDescent="0.45">
      <c r="A7">
        <f>COUNTIF(AnalizaCzyste[Czy jesteś rodzicem / opiekunem absolwenta uczelni wyższej?],"*"&amp;"Tak"&amp;"*")</f>
        <v>17</v>
      </c>
      <c r="B7" t="s">
        <v>2299</v>
      </c>
      <c r="C7" s="37">
        <f t="shared" si="0"/>
        <v>0.12592592592592591</v>
      </c>
      <c r="D7" t="s">
        <v>2284</v>
      </c>
    </row>
    <row r="8" spans="1:4" x14ac:dyDescent="0.45">
      <c r="A8">
        <f>COUNTIF(AnalizaCzyste[Czy jesteś aktualnie pracownikiem administracyjnym uczelni wyższej?],"*"&amp;"Tak"&amp;"*")</f>
        <v>4</v>
      </c>
      <c r="B8" t="s">
        <v>2300</v>
      </c>
      <c r="C8" s="37">
        <f t="shared" si="0"/>
        <v>2.9629629629629631E-2</v>
      </c>
      <c r="D8" t="s">
        <v>2285</v>
      </c>
    </row>
    <row r="9" spans="1:4" x14ac:dyDescent="0.45">
      <c r="A9">
        <f>COUNTIF(AnalizaCzyste[Czy jesteś aktualnie pracownikiem naukowym lub dydaktycznym uczelni wyższej?],"*"&amp;"Tak"&amp;"*")</f>
        <v>16</v>
      </c>
      <c r="B9" t="s">
        <v>2301</v>
      </c>
      <c r="C9" s="37">
        <f t="shared" si="0"/>
        <v>0.11851851851851852</v>
      </c>
      <c r="D9" t="s">
        <v>2286</v>
      </c>
    </row>
    <row r="10" spans="1:4" x14ac:dyDescent="0.45">
      <c r="A10">
        <f>COUNTIF(AnalizaCzyste[Czy jesteś przedstawicielem władz uczelni z grupy rektorów, prorektorów, dziekanów, prodziekanów, członków senatu lub członków rady uczelni?],"*"&amp;"Tak"&amp;"*")</f>
        <v>5</v>
      </c>
      <c r="B10" t="s">
        <v>2302</v>
      </c>
      <c r="C10" s="37">
        <f t="shared" si="0"/>
        <v>3.7037037037037035E-2</v>
      </c>
      <c r="D10" t="s">
        <v>2289</v>
      </c>
    </row>
    <row r="11" spans="1:4" x14ac:dyDescent="0.45">
      <c r="A11">
        <f>COUNTIF(AnalizaCzyste[Czy jesteś przedstawicielem firmy, w której są zatrudniani absolwenci uczelni wyższych (tytuł licencjata, magistra lub wyższy)?],"*"&amp;"Tak"&amp;"*")</f>
        <v>18</v>
      </c>
      <c r="B11" t="s">
        <v>2303</v>
      </c>
      <c r="C11" s="37">
        <f t="shared" si="0"/>
        <v>0.13333333333333333</v>
      </c>
      <c r="D11" t="s">
        <v>2291</v>
      </c>
    </row>
    <row r="12" spans="1:4" x14ac:dyDescent="0.45">
      <c r="A12">
        <f>COUNTIF(AnalizaCzyste[Czy jesteś przedstawicielem władz samorządowych lub centralnych Rzeczypospolitej Polskiej?],"*"&amp;"Tak"&amp;"*")</f>
        <v>2</v>
      </c>
      <c r="B12" t="s">
        <v>2304</v>
      </c>
      <c r="C12" s="37">
        <f t="shared" si="0"/>
        <v>1.4814814814814815E-2</v>
      </c>
      <c r="D12" t="s">
        <v>2290</v>
      </c>
    </row>
    <row r="13" spans="1:4" x14ac:dyDescent="0.45">
      <c r="A13" s="36">
        <f>COUNTIF(AnalizaCzyste[Czy jesteś osobą pełnoletnią?],"*"&amp;"Tak"&amp;"*")</f>
        <v>135</v>
      </c>
      <c r="B13" s="36" t="s">
        <v>2305</v>
      </c>
      <c r="C13" s="38">
        <f>SUM(C5:C12)</f>
        <v>1.4518518518518517</v>
      </c>
      <c r="D13" s="39" t="s">
        <v>2307</v>
      </c>
    </row>
    <row r="14" spans="1:4" x14ac:dyDescent="0.45">
      <c r="C14" s="26" t="s">
        <v>2311</v>
      </c>
    </row>
    <row r="17" spans="1:5" x14ac:dyDescent="0.45">
      <c r="A17" s="26"/>
    </row>
    <row r="18" spans="1:5" x14ac:dyDescent="0.45">
      <c r="A18" s="26" t="s">
        <v>2296</v>
      </c>
      <c r="B18" s="26"/>
      <c r="C18" t="s">
        <v>2309</v>
      </c>
      <c r="D18" t="s">
        <v>2310</v>
      </c>
    </row>
    <row r="19" spans="1:5" x14ac:dyDescent="0.45">
      <c r="A19" s="41">
        <f>COUNTIFS(AnalizaCzyste[Czy jesteś studentem uczelni wyższej?],"*"&amp;"Tak"&amp;"*",AnalizaCzyste[Czy jesteś absolwentem uczelni wyższej?],"*"&amp;"Tak"&amp;"*")</f>
        <v>3</v>
      </c>
      <c r="B19" s="26" t="s">
        <v>2297</v>
      </c>
      <c r="C19" s="37">
        <f t="shared" ref="C19:C26" si="1">A19/$A$27</f>
        <v>2.5000000000000001E-2</v>
      </c>
      <c r="D19" s="40">
        <f>$A19/$A5</f>
        <v>0.21428571428571427</v>
      </c>
      <c r="E19" s="26" t="s">
        <v>2283</v>
      </c>
    </row>
    <row r="20" spans="1:5" x14ac:dyDescent="0.45">
      <c r="A20" s="41"/>
      <c r="B20" t="s">
        <v>2298</v>
      </c>
      <c r="C20" s="37">
        <f t="shared" si="1"/>
        <v>0</v>
      </c>
      <c r="D20" s="40">
        <f t="shared" ref="D20:D26" si="2">$A20/$A6</f>
        <v>0</v>
      </c>
      <c r="E20" t="s">
        <v>2281</v>
      </c>
    </row>
    <row r="21" spans="1:5" x14ac:dyDescent="0.45">
      <c r="A21" s="41">
        <f>COUNTIFS(AnalizaCzyste[Czy jesteś rodzicem / opiekunem absolwenta uczelni wyższej?],"*"&amp;"Tak"&amp;"*",AnalizaCzyste[Czy jesteś absolwentem uczelni wyższej?],"*"&amp;"Tak"&amp;"*")</f>
        <v>17</v>
      </c>
      <c r="B21" t="s">
        <v>2299</v>
      </c>
      <c r="C21" s="37">
        <f t="shared" si="1"/>
        <v>0.14166666666666666</v>
      </c>
      <c r="D21" s="40">
        <f t="shared" si="2"/>
        <v>1</v>
      </c>
      <c r="E21" t="s">
        <v>2284</v>
      </c>
    </row>
    <row r="22" spans="1:5" x14ac:dyDescent="0.45">
      <c r="A22" s="41">
        <f>COUNTIFS(AnalizaCzyste[Czy jesteś aktualnie pracownikiem administracyjnym uczelni wyższej?],"*"&amp;"Tak"&amp;"*",AnalizaCzyste[Czy jesteś absolwentem uczelni wyższej?],"*"&amp;"Tak"&amp;"*")</f>
        <v>4</v>
      </c>
      <c r="B22" t="s">
        <v>2300</v>
      </c>
      <c r="C22" s="37">
        <f t="shared" si="1"/>
        <v>3.3333333333333333E-2</v>
      </c>
      <c r="D22" s="40">
        <f t="shared" si="2"/>
        <v>1</v>
      </c>
      <c r="E22" t="s">
        <v>2285</v>
      </c>
    </row>
    <row r="23" spans="1:5" x14ac:dyDescent="0.45">
      <c r="A23" s="41">
        <f>COUNTIFS(AnalizaCzyste[Czy jesteś aktualnie pracownikiem naukowym lub dydaktycznym uczelni wyższej?],"*"&amp;"Tak"&amp;"*",AnalizaCzyste[Czy jesteś absolwentem uczelni wyższej?],"*"&amp;"Tak"&amp;"*")</f>
        <v>15</v>
      </c>
      <c r="B23" t="s">
        <v>2301</v>
      </c>
      <c r="C23" s="37">
        <f t="shared" si="1"/>
        <v>0.125</v>
      </c>
      <c r="D23" s="40">
        <f t="shared" si="2"/>
        <v>0.9375</v>
      </c>
      <c r="E23" t="s">
        <v>2286</v>
      </c>
    </row>
    <row r="24" spans="1:5" x14ac:dyDescent="0.45">
      <c r="A24" s="41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B24" t="s">
        <v>2302</v>
      </c>
      <c r="C24" s="37">
        <f t="shared" si="1"/>
        <v>4.1666666666666664E-2</v>
      </c>
      <c r="D24" s="40">
        <f t="shared" si="2"/>
        <v>1</v>
      </c>
      <c r="E24" t="s">
        <v>2289</v>
      </c>
    </row>
    <row r="25" spans="1:5" x14ac:dyDescent="0.45">
      <c r="A25" s="41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B25" t="s">
        <v>2303</v>
      </c>
      <c r="C25" s="37">
        <f t="shared" si="1"/>
        <v>0.13333333333333333</v>
      </c>
      <c r="D25" s="40">
        <f t="shared" si="2"/>
        <v>0.88888888888888884</v>
      </c>
      <c r="E25" t="s">
        <v>2291</v>
      </c>
    </row>
    <row r="26" spans="1:5" x14ac:dyDescent="0.45">
      <c r="A26" s="41">
        <f>COUNTIFS(AnalizaCzyste[Czy jesteś przedstawicielem władz samorządowych lub centralnych Rzeczypospolitej Polskiej?],"*"&amp;"Tak"&amp;"*",AnalizaCzyste[Czy jesteś absolwentem uczelni wyższej?],"*"&amp;"Tak"&amp;"*")</f>
        <v>2</v>
      </c>
      <c r="B26" t="s">
        <v>2304</v>
      </c>
      <c r="C26" s="37">
        <f t="shared" si="1"/>
        <v>1.6666666666666666E-2</v>
      </c>
      <c r="D26" s="40">
        <f t="shared" si="2"/>
        <v>1</v>
      </c>
      <c r="E26" t="s">
        <v>2290</v>
      </c>
    </row>
    <row r="27" spans="1:5" ht="15.75" x14ac:dyDescent="0.55000000000000004">
      <c r="A27" s="36">
        <v>120</v>
      </c>
      <c r="B27" s="36" t="s">
        <v>2308</v>
      </c>
      <c r="C27" s="39">
        <f>SUM(C19:C26)</f>
        <v>0.51666666666666672</v>
      </c>
      <c r="D27" s="39" t="s">
        <v>2307</v>
      </c>
    </row>
    <row r="28" spans="1:5" x14ac:dyDescent="0.45">
      <c r="C28" s="26" t="s">
        <v>2311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2" width="36.6640625" style="35" customWidth="1"/>
    <col min="3" max="3" width="9.59765625" bestFit="1" customWidth="1"/>
    <col min="4" max="4" width="13.1328125" bestFit="1" customWidth="1"/>
    <col min="5" max="5" width="44.9296875" bestFit="1" customWidth="1"/>
    <col min="6" max="6" width="33.86328125" bestFit="1" customWidth="1"/>
  </cols>
  <sheetData>
    <row r="2" spans="1:6" x14ac:dyDescent="0.45">
      <c r="A2" s="27" t="s">
        <v>74</v>
      </c>
      <c r="B2" s="28" t="s">
        <v>2278</v>
      </c>
    </row>
    <row r="4" spans="1:6" ht="28.5" x14ac:dyDescent="0.45">
      <c r="A4" s="29" t="s">
        <v>2279</v>
      </c>
      <c r="B4" s="30" t="s">
        <v>2283</v>
      </c>
    </row>
    <row r="5" spans="1:6" x14ac:dyDescent="0.45">
      <c r="A5" s="31" t="s">
        <v>123</v>
      </c>
      <c r="B5" s="30">
        <v>121</v>
      </c>
    </row>
    <row r="6" spans="1:6" x14ac:dyDescent="0.45">
      <c r="A6" s="32" t="s">
        <v>416</v>
      </c>
      <c r="B6" s="33">
        <v>14</v>
      </c>
    </row>
    <row r="7" spans="1:6" x14ac:dyDescent="0.45">
      <c r="A7" s="34" t="s">
        <v>2280</v>
      </c>
      <c r="B7" s="28">
        <v>135</v>
      </c>
    </row>
    <row r="9" spans="1:6" x14ac:dyDescent="0.45">
      <c r="A9" s="27" t="s">
        <v>74</v>
      </c>
      <c r="B9" s="28" t="s">
        <v>2278</v>
      </c>
    </row>
    <row r="11" spans="1:6" ht="28.5" x14ac:dyDescent="0.45">
      <c r="A11" s="29" t="s">
        <v>2279</v>
      </c>
      <c r="B11" s="30" t="s">
        <v>2281</v>
      </c>
    </row>
    <row r="12" spans="1:6" x14ac:dyDescent="0.45">
      <c r="A12" s="31" t="s">
        <v>123</v>
      </c>
      <c r="B12" s="30">
        <v>15</v>
      </c>
    </row>
    <row r="13" spans="1:6" x14ac:dyDescent="0.45">
      <c r="A13" s="32" t="s">
        <v>124</v>
      </c>
      <c r="B13" s="33">
        <v>120</v>
      </c>
    </row>
    <row r="14" spans="1:6" x14ac:dyDescent="0.45">
      <c r="A14" s="34" t="s">
        <v>2280</v>
      </c>
      <c r="B14" s="28">
        <v>135</v>
      </c>
    </row>
    <row r="16" spans="1:6" x14ac:dyDescent="0.45">
      <c r="A16" s="27" t="s">
        <v>74</v>
      </c>
      <c r="B16" s="28" t="s">
        <v>2278</v>
      </c>
      <c r="E16" s="27" t="s">
        <v>24</v>
      </c>
      <c r="F16" s="28" t="s">
        <v>2278</v>
      </c>
    </row>
    <row r="17" spans="1:6" x14ac:dyDescent="0.45">
      <c r="E17" s="35"/>
      <c r="F17" s="35"/>
    </row>
    <row r="18" spans="1:6" ht="28.5" x14ac:dyDescent="0.45">
      <c r="A18" s="29" t="s">
        <v>2279</v>
      </c>
      <c r="B18" s="30" t="s">
        <v>2284</v>
      </c>
      <c r="E18" s="29" t="s">
        <v>2279</v>
      </c>
      <c r="F18" s="30" t="s">
        <v>2284</v>
      </c>
    </row>
    <row r="19" spans="1:6" x14ac:dyDescent="0.45">
      <c r="A19" s="31" t="s">
        <v>123</v>
      </c>
      <c r="B19" s="30">
        <v>118</v>
      </c>
      <c r="E19" s="31" t="s">
        <v>123</v>
      </c>
      <c r="F19" s="30">
        <v>118</v>
      </c>
    </row>
    <row r="20" spans="1:6" ht="28.5" x14ac:dyDescent="0.45">
      <c r="A20" s="32" t="s">
        <v>159</v>
      </c>
      <c r="B20" s="33">
        <v>17</v>
      </c>
      <c r="E20" s="32" t="s">
        <v>159</v>
      </c>
      <c r="F20" s="33">
        <v>17</v>
      </c>
    </row>
    <row r="21" spans="1:6" x14ac:dyDescent="0.45">
      <c r="A21" s="34" t="s">
        <v>2280</v>
      </c>
      <c r="B21" s="28">
        <v>135</v>
      </c>
      <c r="E21" s="34" t="s">
        <v>2280</v>
      </c>
      <c r="F21" s="28">
        <v>135</v>
      </c>
    </row>
    <row r="23" spans="1:6" x14ac:dyDescent="0.45">
      <c r="A23" s="27" t="s">
        <v>74</v>
      </c>
      <c r="B23" s="28" t="s">
        <v>2278</v>
      </c>
    </row>
    <row r="25" spans="1:6" ht="28.5" x14ac:dyDescent="0.45">
      <c r="A25" s="29" t="s">
        <v>2279</v>
      </c>
      <c r="B25" s="30" t="s">
        <v>2285</v>
      </c>
    </row>
    <row r="26" spans="1:6" x14ac:dyDescent="0.45">
      <c r="A26" s="31" t="s">
        <v>123</v>
      </c>
      <c r="B26" s="30">
        <v>131</v>
      </c>
    </row>
    <row r="27" spans="1:6" ht="28.5" x14ac:dyDescent="0.45">
      <c r="A27" s="32" t="s">
        <v>387</v>
      </c>
      <c r="B27" s="33">
        <v>4</v>
      </c>
    </row>
    <row r="28" spans="1:6" x14ac:dyDescent="0.45">
      <c r="A28" s="34" t="s">
        <v>2280</v>
      </c>
      <c r="B28" s="28">
        <v>135</v>
      </c>
    </row>
    <row r="30" spans="1:6" x14ac:dyDescent="0.45">
      <c r="A30" s="27" t="s">
        <v>74</v>
      </c>
      <c r="B30" s="28" t="s">
        <v>2278</v>
      </c>
    </row>
    <row r="32" spans="1:6" ht="42.75" x14ac:dyDescent="0.45">
      <c r="A32" s="29" t="s">
        <v>2279</v>
      </c>
      <c r="B32" s="30" t="s">
        <v>2286</v>
      </c>
    </row>
    <row r="33" spans="1:2" x14ac:dyDescent="0.45">
      <c r="A33" s="31" t="s">
        <v>123</v>
      </c>
      <c r="B33" s="30">
        <v>119</v>
      </c>
    </row>
    <row r="34" spans="1:2" ht="28.5" x14ac:dyDescent="0.45">
      <c r="A34" s="32" t="s">
        <v>214</v>
      </c>
      <c r="B34" s="33">
        <v>16</v>
      </c>
    </row>
    <row r="35" spans="1:2" x14ac:dyDescent="0.45">
      <c r="A35" s="34" t="s">
        <v>2280</v>
      </c>
      <c r="B35" s="28">
        <v>135</v>
      </c>
    </row>
    <row r="37" spans="1:2" x14ac:dyDescent="0.45">
      <c r="A37" s="27" t="s">
        <v>74</v>
      </c>
      <c r="B37" s="28" t="s">
        <v>2278</v>
      </c>
    </row>
    <row r="39" spans="1:2" ht="57" x14ac:dyDescent="0.45">
      <c r="A39" s="29" t="s">
        <v>2279</v>
      </c>
      <c r="B39" s="30" t="s">
        <v>2289</v>
      </c>
    </row>
    <row r="40" spans="1:2" x14ac:dyDescent="0.45">
      <c r="A40" s="31" t="s">
        <v>123</v>
      </c>
      <c r="B40" s="30">
        <v>130</v>
      </c>
    </row>
    <row r="41" spans="1:2" ht="28.5" x14ac:dyDescent="0.45">
      <c r="A41" s="32" t="s">
        <v>174</v>
      </c>
      <c r="B41" s="33">
        <v>5</v>
      </c>
    </row>
    <row r="42" spans="1:2" x14ac:dyDescent="0.45">
      <c r="A42" s="34" t="s">
        <v>2280</v>
      </c>
      <c r="B42" s="28">
        <v>135</v>
      </c>
    </row>
    <row r="44" spans="1:2" x14ac:dyDescent="0.45">
      <c r="A44" s="27" t="s">
        <v>74</v>
      </c>
      <c r="B44" s="28" t="s">
        <v>2278</v>
      </c>
    </row>
    <row r="46" spans="1:2" ht="57" x14ac:dyDescent="0.45">
      <c r="A46" s="29" t="s">
        <v>2279</v>
      </c>
      <c r="B46" s="30" t="s">
        <v>2291</v>
      </c>
    </row>
    <row r="47" spans="1:2" x14ac:dyDescent="0.45">
      <c r="A47" s="31" t="s">
        <v>123</v>
      </c>
      <c r="B47" s="30">
        <v>117</v>
      </c>
    </row>
    <row r="48" spans="1:2" ht="28.5" x14ac:dyDescent="0.45">
      <c r="A48" s="32" t="s">
        <v>177</v>
      </c>
      <c r="B48" s="33">
        <v>18</v>
      </c>
    </row>
    <row r="49" spans="1:2" x14ac:dyDescent="0.45">
      <c r="A49" s="34" t="s">
        <v>2280</v>
      </c>
      <c r="B49" s="28">
        <v>135</v>
      </c>
    </row>
    <row r="51" spans="1:2" x14ac:dyDescent="0.45">
      <c r="A51" s="27" t="s">
        <v>74</v>
      </c>
      <c r="B51" s="28" t="s">
        <v>2278</v>
      </c>
    </row>
    <row r="53" spans="1:2" ht="42.75" x14ac:dyDescent="0.45">
      <c r="A53" s="29" t="s">
        <v>2279</v>
      </c>
      <c r="B53" s="30" t="s">
        <v>2290</v>
      </c>
    </row>
    <row r="54" spans="1:2" x14ac:dyDescent="0.45">
      <c r="A54" s="31" t="s">
        <v>123</v>
      </c>
      <c r="B54" s="30">
        <v>133</v>
      </c>
    </row>
    <row r="55" spans="1:2" ht="28.5" x14ac:dyDescent="0.45">
      <c r="A55" s="32" t="s">
        <v>2022</v>
      </c>
      <c r="B55" s="33">
        <v>2</v>
      </c>
    </row>
    <row r="56" spans="1:2" x14ac:dyDescent="0.45">
      <c r="A56" s="34" t="s">
        <v>2280</v>
      </c>
      <c r="B56" s="28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F143"/>
  <sheetViews>
    <sheetView workbookViewId="0">
      <selection activeCell="AF139" sqref="AF139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hidden="1" x14ac:dyDescent="0.45">
      <c r="A3">
        <v>2</v>
      </c>
      <c r="B3">
        <f>_xlfn.IFNA(VLOOKUP(AnalizaCzyste[[#This Row],[Zakończono wypełnianie]],Zakończone[],2,0),"BRAK")</f>
        <v>2</v>
      </c>
      <c r="C3">
        <f>COUNTA(O3:HF3)</f>
        <v>95</v>
      </c>
      <c r="D3" t="s">
        <v>144</v>
      </c>
      <c r="E3" t="s">
        <v>118</v>
      </c>
      <c r="J3" t="s">
        <v>119</v>
      </c>
      <c r="K3" t="s">
        <v>145</v>
      </c>
      <c r="L3" t="s">
        <v>146</v>
      </c>
      <c r="M3">
        <v>1573</v>
      </c>
      <c r="N3">
        <v>0</v>
      </c>
      <c r="O3" t="s">
        <v>122</v>
      </c>
      <c r="P3" s="1" t="s">
        <v>123</v>
      </c>
      <c r="AF3" s="1" t="s">
        <v>124</v>
      </c>
      <c r="AG3" t="s">
        <v>234</v>
      </c>
      <c r="AH3">
        <v>1986</v>
      </c>
      <c r="AI3" t="s">
        <v>148</v>
      </c>
      <c r="AJ3" t="s">
        <v>149</v>
      </c>
      <c r="AK3" t="s">
        <v>150</v>
      </c>
      <c r="AL3" t="s">
        <v>150</v>
      </c>
      <c r="AM3" t="s">
        <v>150</v>
      </c>
      <c r="AN3" t="s">
        <v>151</v>
      </c>
      <c r="AO3" t="s">
        <v>150</v>
      </c>
      <c r="AP3">
        <v>3</v>
      </c>
      <c r="AQ3" t="s">
        <v>152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158</v>
      </c>
      <c r="AX3" s="1" t="s">
        <v>159</v>
      </c>
      <c r="AY3">
        <v>2</v>
      </c>
      <c r="AZ3" t="s">
        <v>160</v>
      </c>
      <c r="BA3">
        <v>2013</v>
      </c>
      <c r="BB3" t="s">
        <v>148</v>
      </c>
      <c r="BC3" t="s">
        <v>161</v>
      </c>
      <c r="BD3" t="s">
        <v>162</v>
      </c>
      <c r="BE3" t="s">
        <v>150</v>
      </c>
      <c r="BF3" t="s">
        <v>150</v>
      </c>
      <c r="BG3" t="s">
        <v>150</v>
      </c>
      <c r="BH3" t="s">
        <v>150</v>
      </c>
      <c r="BI3" t="s">
        <v>163</v>
      </c>
      <c r="BJ3" t="s">
        <v>164</v>
      </c>
      <c r="BK3" t="s">
        <v>157</v>
      </c>
      <c r="BM3" t="s">
        <v>165</v>
      </c>
      <c r="BN3" t="s">
        <v>166</v>
      </c>
      <c r="BO3" t="s">
        <v>167</v>
      </c>
      <c r="BP3">
        <v>2015</v>
      </c>
      <c r="BQ3" t="s">
        <v>148</v>
      </c>
      <c r="BR3" t="s">
        <v>168</v>
      </c>
      <c r="BS3" t="s">
        <v>150</v>
      </c>
      <c r="BT3" t="s">
        <v>169</v>
      </c>
      <c r="BU3" t="s">
        <v>150</v>
      </c>
      <c r="BV3" t="s">
        <v>150</v>
      </c>
      <c r="BW3" t="s">
        <v>150</v>
      </c>
      <c r="BX3" t="s">
        <v>170</v>
      </c>
      <c r="BY3" t="s">
        <v>171</v>
      </c>
      <c r="BZ3" t="s">
        <v>172</v>
      </c>
      <c r="CC3" t="s">
        <v>173</v>
      </c>
      <c r="CR3" s="1" t="s">
        <v>123</v>
      </c>
      <c r="DB3" s="1" t="s">
        <v>123</v>
      </c>
      <c r="DL3" s="1" t="s">
        <v>174</v>
      </c>
      <c r="DP3" t="s">
        <v>175</v>
      </c>
      <c r="DQ3" t="s">
        <v>176</v>
      </c>
      <c r="DR3" t="s">
        <v>162</v>
      </c>
      <c r="DS3" t="s">
        <v>150</v>
      </c>
      <c r="DT3" t="s">
        <v>151</v>
      </c>
      <c r="DU3" t="s">
        <v>151</v>
      </c>
      <c r="DV3" t="s">
        <v>162</v>
      </c>
      <c r="DW3" t="s">
        <v>162</v>
      </c>
      <c r="DX3" t="s">
        <v>150</v>
      </c>
      <c r="DY3">
        <v>25</v>
      </c>
      <c r="DZ3">
        <v>25</v>
      </c>
      <c r="EA3">
        <v>2</v>
      </c>
      <c r="EB3">
        <v>5</v>
      </c>
      <c r="EC3">
        <v>8</v>
      </c>
      <c r="ED3">
        <v>25</v>
      </c>
      <c r="EE3">
        <v>10</v>
      </c>
      <c r="EG3">
        <v>20</v>
      </c>
      <c r="EH3">
        <v>20</v>
      </c>
      <c r="EI3">
        <v>1</v>
      </c>
      <c r="EJ3">
        <v>4</v>
      </c>
      <c r="EK3">
        <v>25</v>
      </c>
      <c r="EL3">
        <v>25</v>
      </c>
      <c r="EM3">
        <v>5</v>
      </c>
      <c r="EO3" s="1" t="s">
        <v>177</v>
      </c>
      <c r="EP3" t="s">
        <v>178</v>
      </c>
      <c r="EQ3">
        <v>1</v>
      </c>
      <c r="ER3" t="s">
        <v>179</v>
      </c>
      <c r="ES3" t="s">
        <v>150</v>
      </c>
      <c r="ET3" t="s">
        <v>150</v>
      </c>
      <c r="EU3" t="s">
        <v>151</v>
      </c>
      <c r="EV3" t="s">
        <v>180</v>
      </c>
      <c r="EW3" t="s">
        <v>181</v>
      </c>
      <c r="EX3" t="s">
        <v>182</v>
      </c>
      <c r="EY3" t="s">
        <v>173</v>
      </c>
      <c r="FO3" s="1" t="s">
        <v>123</v>
      </c>
      <c r="FP3" t="s">
        <v>132</v>
      </c>
      <c r="GW3" t="s">
        <v>183</v>
      </c>
      <c r="GX3" t="s">
        <v>184</v>
      </c>
      <c r="GY3" t="s">
        <v>185</v>
      </c>
      <c r="GZ3" t="s">
        <v>186</v>
      </c>
      <c r="HA3">
        <v>1961</v>
      </c>
      <c r="HB3" t="s">
        <v>141</v>
      </c>
      <c r="HD3" t="s">
        <v>187</v>
      </c>
    </row>
    <row r="4" spans="1:214" hidden="1" x14ac:dyDescent="0.45">
      <c r="A4">
        <v>5</v>
      </c>
      <c r="B4">
        <f>_xlfn.IFNA(VLOOKUP(AnalizaCzyste[[#This Row],[Zakończono wypełnianie]],Zakończone[],2,0),"BRAK")</f>
        <v>5</v>
      </c>
      <c r="C4">
        <f>COUNTA(O4:HF4)</f>
        <v>83</v>
      </c>
      <c r="D4" t="s">
        <v>202</v>
      </c>
      <c r="E4" t="s">
        <v>118</v>
      </c>
      <c r="J4" t="s">
        <v>119</v>
      </c>
      <c r="K4" t="s">
        <v>221</v>
      </c>
      <c r="L4" t="s">
        <v>222</v>
      </c>
      <c r="M4">
        <v>1659</v>
      </c>
      <c r="N4">
        <v>0</v>
      </c>
      <c r="O4" t="s">
        <v>122</v>
      </c>
      <c r="P4" s="1" t="s">
        <v>123</v>
      </c>
      <c r="AF4" s="1" t="s">
        <v>124</v>
      </c>
      <c r="AG4" t="s">
        <v>223</v>
      </c>
      <c r="AH4">
        <v>1999</v>
      </c>
      <c r="AI4" t="s">
        <v>148</v>
      </c>
      <c r="AJ4" t="s">
        <v>224</v>
      </c>
      <c r="AK4" t="s">
        <v>162</v>
      </c>
      <c r="AL4" t="s">
        <v>162</v>
      </c>
      <c r="AM4" t="s">
        <v>150</v>
      </c>
      <c r="AN4" t="s">
        <v>150</v>
      </c>
      <c r="AO4" t="s">
        <v>169</v>
      </c>
      <c r="AP4" t="s">
        <v>225</v>
      </c>
      <c r="AQ4" t="s">
        <v>153</v>
      </c>
      <c r="AR4" t="s">
        <v>226</v>
      </c>
      <c r="AS4" t="s">
        <v>227</v>
      </c>
      <c r="AT4" t="s">
        <v>228</v>
      </c>
      <c r="AU4" t="s">
        <v>229</v>
      </c>
      <c r="AV4" t="s">
        <v>230</v>
      </c>
      <c r="AX4" s="1" t="s">
        <v>159</v>
      </c>
      <c r="AY4">
        <v>3</v>
      </c>
      <c r="AZ4" t="s">
        <v>191</v>
      </c>
      <c r="BA4">
        <v>2011</v>
      </c>
      <c r="BB4" t="s">
        <v>126</v>
      </c>
      <c r="BC4" t="s">
        <v>2273</v>
      </c>
      <c r="BD4" t="s">
        <v>169</v>
      </c>
      <c r="BE4" t="s">
        <v>169</v>
      </c>
      <c r="BF4" t="s">
        <v>150</v>
      </c>
      <c r="BG4" t="s">
        <v>162</v>
      </c>
      <c r="BH4" t="s">
        <v>150</v>
      </c>
      <c r="BI4">
        <v>1</v>
      </c>
      <c r="BJ4" t="s">
        <v>232</v>
      </c>
      <c r="BK4" t="s">
        <v>157</v>
      </c>
      <c r="BM4" t="s">
        <v>233</v>
      </c>
      <c r="BN4" t="s">
        <v>166</v>
      </c>
      <c r="BO4" t="s">
        <v>234</v>
      </c>
      <c r="BP4">
        <v>2011</v>
      </c>
      <c r="BQ4" t="s">
        <v>148</v>
      </c>
      <c r="BR4" t="s">
        <v>235</v>
      </c>
      <c r="BS4" t="s">
        <v>151</v>
      </c>
      <c r="BT4" t="s">
        <v>128</v>
      </c>
      <c r="BU4" t="s">
        <v>236</v>
      </c>
      <c r="BV4" t="s">
        <v>128</v>
      </c>
      <c r="BW4" t="s">
        <v>162</v>
      </c>
      <c r="BX4" t="s">
        <v>237</v>
      </c>
      <c r="BZ4" t="s">
        <v>172</v>
      </c>
      <c r="CB4" t="s">
        <v>233</v>
      </c>
      <c r="CC4" t="s">
        <v>238</v>
      </c>
      <c r="CD4" t="s">
        <v>223</v>
      </c>
      <c r="CE4">
        <v>2016</v>
      </c>
      <c r="CF4" t="s">
        <v>148</v>
      </c>
      <c r="CG4" t="s">
        <v>239</v>
      </c>
      <c r="CH4" t="s">
        <v>169</v>
      </c>
      <c r="CI4" t="s">
        <v>169</v>
      </c>
      <c r="CJ4" t="s">
        <v>169</v>
      </c>
      <c r="CK4" t="s">
        <v>150</v>
      </c>
      <c r="CL4" t="s">
        <v>150</v>
      </c>
      <c r="CM4">
        <v>1</v>
      </c>
      <c r="CN4" t="s">
        <v>240</v>
      </c>
      <c r="CO4" t="s">
        <v>157</v>
      </c>
      <c r="CQ4" t="s">
        <v>233</v>
      </c>
      <c r="CR4" s="1" t="s">
        <v>123</v>
      </c>
      <c r="DB4" s="1" t="s">
        <v>214</v>
      </c>
      <c r="DC4" t="s">
        <v>234</v>
      </c>
      <c r="DD4" t="s">
        <v>241</v>
      </c>
      <c r="DE4" t="s">
        <v>162</v>
      </c>
      <c r="DF4" t="s">
        <v>169</v>
      </c>
      <c r="DG4" t="s">
        <v>169</v>
      </c>
      <c r="DH4" t="s">
        <v>151</v>
      </c>
      <c r="DI4" t="s">
        <v>151</v>
      </c>
      <c r="DJ4" t="s">
        <v>151</v>
      </c>
      <c r="DK4" t="s">
        <v>242</v>
      </c>
      <c r="DL4" s="1" t="s">
        <v>123</v>
      </c>
      <c r="EO4" s="1" t="s">
        <v>123</v>
      </c>
      <c r="FO4" s="1" t="s">
        <v>123</v>
      </c>
      <c r="FP4" t="s">
        <v>132</v>
      </c>
      <c r="GW4" t="s">
        <v>243</v>
      </c>
      <c r="GX4" t="s">
        <v>244</v>
      </c>
      <c r="GY4" t="s">
        <v>245</v>
      </c>
      <c r="GZ4" t="s">
        <v>186</v>
      </c>
      <c r="HA4">
        <v>1961</v>
      </c>
      <c r="HB4" t="s">
        <v>246</v>
      </c>
      <c r="HD4" t="s">
        <v>247</v>
      </c>
    </row>
    <row r="5" spans="1:214" hidden="1" x14ac:dyDescent="0.45">
      <c r="A5">
        <v>130</v>
      </c>
      <c r="B5">
        <f>_xlfn.IFNA(VLOOKUP(AnalizaCzyste[[#This Row],[Zakończono wypełnianie]],Zakończone[],2,0),"BRAK")</f>
        <v>79</v>
      </c>
      <c r="C5">
        <f>COUNTA(O5:HF5)</f>
        <v>81</v>
      </c>
      <c r="D5" t="s">
        <v>1224</v>
      </c>
      <c r="E5" t="s">
        <v>118</v>
      </c>
      <c r="F5" t="s">
        <v>797</v>
      </c>
      <c r="J5" t="s">
        <v>119</v>
      </c>
      <c r="K5" t="s">
        <v>1225</v>
      </c>
      <c r="L5" t="s">
        <v>1226</v>
      </c>
      <c r="M5">
        <v>4209</v>
      </c>
      <c r="N5">
        <v>0</v>
      </c>
      <c r="O5" t="s">
        <v>122</v>
      </c>
      <c r="P5" s="1" t="s">
        <v>123</v>
      </c>
      <c r="AF5" s="1" t="s">
        <v>124</v>
      </c>
      <c r="AG5" t="s">
        <v>2269</v>
      </c>
      <c r="AH5">
        <v>1985</v>
      </c>
      <c r="AI5" t="s">
        <v>148</v>
      </c>
      <c r="AJ5" t="s">
        <v>391</v>
      </c>
      <c r="AK5" t="s">
        <v>150</v>
      </c>
      <c r="AL5" t="s">
        <v>150</v>
      </c>
      <c r="AM5" t="s">
        <v>169</v>
      </c>
      <c r="AN5" t="s">
        <v>236</v>
      </c>
      <c r="AO5" t="s">
        <v>236</v>
      </c>
      <c r="AP5">
        <v>0</v>
      </c>
      <c r="AQ5" t="s">
        <v>152</v>
      </c>
      <c r="AR5" t="s">
        <v>152</v>
      </c>
      <c r="AS5" t="s">
        <v>1228</v>
      </c>
      <c r="AT5" t="s">
        <v>1229</v>
      </c>
      <c r="AU5" t="s">
        <v>1229</v>
      </c>
      <c r="AV5" t="s">
        <v>157</v>
      </c>
      <c r="AX5" s="1" t="s">
        <v>159</v>
      </c>
      <c r="AY5">
        <v>2</v>
      </c>
      <c r="AZ5" t="s">
        <v>1230</v>
      </c>
      <c r="BA5">
        <v>2005</v>
      </c>
      <c r="BB5" t="s">
        <v>148</v>
      </c>
      <c r="BC5" t="s">
        <v>1231</v>
      </c>
      <c r="BD5" t="s">
        <v>169</v>
      </c>
      <c r="BE5" t="s">
        <v>169</v>
      </c>
      <c r="BF5" t="s">
        <v>169</v>
      </c>
      <c r="BG5" t="s">
        <v>236</v>
      </c>
      <c r="BH5" t="s">
        <v>236</v>
      </c>
      <c r="BI5">
        <v>0</v>
      </c>
      <c r="BJ5" t="s">
        <v>1232</v>
      </c>
      <c r="BK5" t="s">
        <v>157</v>
      </c>
      <c r="BN5" t="s">
        <v>166</v>
      </c>
      <c r="BO5" t="s">
        <v>1233</v>
      </c>
      <c r="BP5">
        <v>2008</v>
      </c>
      <c r="BQ5" t="s">
        <v>148</v>
      </c>
      <c r="BR5" t="s">
        <v>1234</v>
      </c>
      <c r="BS5" t="s">
        <v>169</v>
      </c>
      <c r="BT5" t="s">
        <v>169</v>
      </c>
      <c r="BU5" t="s">
        <v>169</v>
      </c>
      <c r="BV5" t="s">
        <v>128</v>
      </c>
      <c r="BW5" t="s">
        <v>162</v>
      </c>
      <c r="BX5" t="s">
        <v>1235</v>
      </c>
      <c r="BY5" t="s">
        <v>1236</v>
      </c>
      <c r="BZ5" t="s">
        <v>157</v>
      </c>
      <c r="CC5" t="s">
        <v>173</v>
      </c>
      <c r="CR5" s="1" t="s">
        <v>123</v>
      </c>
      <c r="DB5" s="1" t="s">
        <v>123</v>
      </c>
      <c r="DL5" s="1" t="s">
        <v>174</v>
      </c>
      <c r="DM5" t="s">
        <v>394</v>
      </c>
      <c r="DQ5" t="s">
        <v>1230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169</v>
      </c>
      <c r="DX5" t="s">
        <v>150</v>
      </c>
      <c r="DY5">
        <v>20</v>
      </c>
      <c r="DZ5">
        <v>5</v>
      </c>
      <c r="EA5">
        <v>0</v>
      </c>
      <c r="EB5">
        <v>30</v>
      </c>
      <c r="EC5">
        <v>25</v>
      </c>
      <c r="ED5">
        <v>10</v>
      </c>
      <c r="EE5">
        <v>10</v>
      </c>
      <c r="EG5">
        <v>10</v>
      </c>
      <c r="EH5">
        <v>5</v>
      </c>
      <c r="EI5">
        <v>0</v>
      </c>
      <c r="EJ5">
        <v>25</v>
      </c>
      <c r="EK5">
        <v>25</v>
      </c>
      <c r="EL5">
        <v>5</v>
      </c>
      <c r="EM5">
        <v>30</v>
      </c>
      <c r="EO5" s="1" t="s">
        <v>123</v>
      </c>
      <c r="FO5" s="1" t="s">
        <v>123</v>
      </c>
      <c r="GW5" t="s">
        <v>1237</v>
      </c>
      <c r="GX5" t="s">
        <v>1229</v>
      </c>
      <c r="GY5" t="s">
        <v>1229</v>
      </c>
      <c r="GZ5" t="s">
        <v>140</v>
      </c>
      <c r="HA5">
        <v>1958</v>
      </c>
      <c r="HB5" t="s">
        <v>141</v>
      </c>
    </row>
    <row r="6" spans="1:214" hidden="1" x14ac:dyDescent="0.45">
      <c r="A6">
        <v>125</v>
      </c>
      <c r="B6">
        <f>_xlfn.IFNA(VLOOKUP(AnalizaCzyste[[#This Row],[Zakończono wypełnianie]],Zakończone[],2,0),"BRAK")</f>
        <v>74</v>
      </c>
      <c r="C6">
        <f>COUNTA(O6:HF6)</f>
        <v>79</v>
      </c>
      <c r="D6" t="s">
        <v>1163</v>
      </c>
      <c r="E6" t="s">
        <v>118</v>
      </c>
      <c r="J6" t="s">
        <v>119</v>
      </c>
      <c r="K6" t="s">
        <v>1164</v>
      </c>
      <c r="L6" t="s">
        <v>1165</v>
      </c>
      <c r="M6">
        <v>982</v>
      </c>
      <c r="N6">
        <v>0</v>
      </c>
      <c r="O6" t="s">
        <v>122</v>
      </c>
      <c r="P6" s="1" t="s">
        <v>123</v>
      </c>
      <c r="AF6" s="1" t="s">
        <v>124</v>
      </c>
      <c r="AG6" t="s">
        <v>191</v>
      </c>
      <c r="AH6">
        <v>1978</v>
      </c>
      <c r="AI6" t="s">
        <v>148</v>
      </c>
      <c r="AJ6" t="s">
        <v>1167</v>
      </c>
      <c r="AK6" t="s">
        <v>169</v>
      </c>
      <c r="AL6" t="s">
        <v>169</v>
      </c>
      <c r="AM6" t="s">
        <v>169</v>
      </c>
      <c r="AN6" t="s">
        <v>150</v>
      </c>
      <c r="AO6" t="s">
        <v>150</v>
      </c>
      <c r="AP6" t="s">
        <v>1168</v>
      </c>
      <c r="AQ6" t="s">
        <v>132</v>
      </c>
      <c r="AR6" t="s">
        <v>132</v>
      </c>
      <c r="AS6" t="s">
        <v>1169</v>
      </c>
      <c r="AT6" t="s">
        <v>1170</v>
      </c>
      <c r="AU6" t="s">
        <v>132</v>
      </c>
      <c r="AW6" t="s">
        <v>1171</v>
      </c>
      <c r="AX6" s="1" t="s">
        <v>159</v>
      </c>
      <c r="AY6">
        <v>1</v>
      </c>
      <c r="AZ6" t="s">
        <v>1290</v>
      </c>
      <c r="BA6">
        <v>2020</v>
      </c>
      <c r="BB6" t="s">
        <v>148</v>
      </c>
      <c r="BC6" t="s">
        <v>1050</v>
      </c>
      <c r="BD6" t="s">
        <v>132</v>
      </c>
      <c r="BE6" t="s">
        <v>132</v>
      </c>
      <c r="BF6" t="s">
        <v>132</v>
      </c>
      <c r="BG6" t="s">
        <v>132</v>
      </c>
      <c r="BH6" t="s">
        <v>132</v>
      </c>
      <c r="BI6" t="s">
        <v>1173</v>
      </c>
      <c r="BJ6" t="s">
        <v>1174</v>
      </c>
      <c r="BK6" t="s">
        <v>230</v>
      </c>
      <c r="BM6" t="s">
        <v>1175</v>
      </c>
      <c r="BN6" t="s">
        <v>173</v>
      </c>
      <c r="CR6" s="1" t="s">
        <v>123</v>
      </c>
      <c r="DB6" s="1" t="s">
        <v>214</v>
      </c>
      <c r="DC6" t="s">
        <v>191</v>
      </c>
      <c r="DD6" t="s">
        <v>308</v>
      </c>
      <c r="DE6" t="s">
        <v>169</v>
      </c>
      <c r="DF6" t="s">
        <v>162</v>
      </c>
      <c r="DG6" t="s">
        <v>150</v>
      </c>
      <c r="DH6" t="s">
        <v>169</v>
      </c>
      <c r="DI6" t="s">
        <v>150</v>
      </c>
      <c r="DJ6" t="s">
        <v>150</v>
      </c>
      <c r="DK6" t="s">
        <v>1177</v>
      </c>
      <c r="DL6" s="1" t="s">
        <v>174</v>
      </c>
      <c r="DO6" t="s">
        <v>1178</v>
      </c>
      <c r="DQ6" t="s">
        <v>747</v>
      </c>
      <c r="DR6" t="s">
        <v>150</v>
      </c>
      <c r="DS6" t="s">
        <v>150</v>
      </c>
      <c r="DT6" t="s">
        <v>150</v>
      </c>
      <c r="DU6" t="s">
        <v>150</v>
      </c>
      <c r="DV6" t="s">
        <v>162</v>
      </c>
      <c r="DW6" t="s">
        <v>162</v>
      </c>
      <c r="DX6" t="s">
        <v>162</v>
      </c>
      <c r="DY6">
        <v>25</v>
      </c>
      <c r="DZ6">
        <v>10</v>
      </c>
      <c r="EA6">
        <v>0</v>
      </c>
      <c r="EB6">
        <v>10</v>
      </c>
      <c r="EC6">
        <v>25</v>
      </c>
      <c r="ED6">
        <v>15</v>
      </c>
      <c r="EE6">
        <v>15</v>
      </c>
      <c r="EG6">
        <v>10</v>
      </c>
      <c r="EH6">
        <v>10</v>
      </c>
      <c r="EI6">
        <v>0</v>
      </c>
      <c r="EJ6">
        <v>10</v>
      </c>
      <c r="EK6">
        <v>50</v>
      </c>
      <c r="EL6">
        <v>10</v>
      </c>
      <c r="EM6">
        <v>10</v>
      </c>
      <c r="EO6" s="1" t="s">
        <v>123</v>
      </c>
      <c r="FO6" s="1" t="s">
        <v>123</v>
      </c>
      <c r="GW6" t="s">
        <v>1179</v>
      </c>
      <c r="GX6" t="s">
        <v>1180</v>
      </c>
      <c r="GY6" t="s">
        <v>1181</v>
      </c>
      <c r="GZ6" t="s">
        <v>186</v>
      </c>
      <c r="HA6" t="s">
        <v>1182</v>
      </c>
      <c r="HB6" t="s">
        <v>141</v>
      </c>
      <c r="HD6" t="s">
        <v>1183</v>
      </c>
    </row>
    <row r="7" spans="1:214" hidden="1" x14ac:dyDescent="0.45">
      <c r="A7">
        <v>91</v>
      </c>
      <c r="B7">
        <f>_xlfn.IFNA(VLOOKUP(AnalizaCzyste[[#This Row],[Zakończono wypełnianie]],Zakończone[],2,0),"BRAK")</f>
        <v>55</v>
      </c>
      <c r="C7">
        <f>COUNTA(O7:HF7)</f>
        <v>77</v>
      </c>
      <c r="D7" t="s">
        <v>915</v>
      </c>
      <c r="E7" t="s">
        <v>118</v>
      </c>
      <c r="J7" t="s">
        <v>119</v>
      </c>
      <c r="K7" t="s">
        <v>916</v>
      </c>
      <c r="L7" t="s">
        <v>917</v>
      </c>
      <c r="M7">
        <v>76609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1980</v>
      </c>
      <c r="AI7" t="s">
        <v>148</v>
      </c>
      <c r="AJ7" t="s">
        <v>919</v>
      </c>
      <c r="AK7" t="s">
        <v>169</v>
      </c>
      <c r="AL7" t="s">
        <v>169</v>
      </c>
      <c r="AM7" t="s">
        <v>150</v>
      </c>
      <c r="AN7" t="s">
        <v>128</v>
      </c>
      <c r="AO7" t="s">
        <v>128</v>
      </c>
      <c r="AP7" t="s">
        <v>920</v>
      </c>
      <c r="AQ7" t="s">
        <v>302</v>
      </c>
      <c r="AR7" t="s">
        <v>302</v>
      </c>
      <c r="AS7" t="s">
        <v>921</v>
      </c>
      <c r="AT7" t="s">
        <v>922</v>
      </c>
      <c r="AU7" t="s">
        <v>923</v>
      </c>
      <c r="AV7" t="s">
        <v>157</v>
      </c>
      <c r="AX7" s="1" t="s">
        <v>159</v>
      </c>
      <c r="AY7">
        <v>2</v>
      </c>
      <c r="AZ7" t="s">
        <v>223</v>
      </c>
      <c r="BA7">
        <v>2009</v>
      </c>
      <c r="BB7" t="s">
        <v>148</v>
      </c>
      <c r="BC7" t="s">
        <v>743</v>
      </c>
      <c r="BD7" t="s">
        <v>169</v>
      </c>
      <c r="BE7" t="s">
        <v>169</v>
      </c>
      <c r="BF7" t="s">
        <v>169</v>
      </c>
      <c r="BG7" t="s">
        <v>128</v>
      </c>
      <c r="BH7" t="s">
        <v>128</v>
      </c>
      <c r="BI7" t="s">
        <v>925</v>
      </c>
      <c r="BJ7" t="s">
        <v>926</v>
      </c>
      <c r="BK7" t="s">
        <v>157</v>
      </c>
      <c r="BM7" t="s">
        <v>927</v>
      </c>
      <c r="BN7" t="s">
        <v>173</v>
      </c>
      <c r="CR7" s="1" t="s">
        <v>387</v>
      </c>
      <c r="CS7" t="s">
        <v>223</v>
      </c>
      <c r="CT7" t="s">
        <v>928</v>
      </c>
      <c r="CU7" t="s">
        <v>169</v>
      </c>
      <c r="CV7" t="s">
        <v>162</v>
      </c>
      <c r="CW7" t="s">
        <v>128</v>
      </c>
      <c r="CX7" t="s">
        <v>169</v>
      </c>
      <c r="CY7" t="s">
        <v>169</v>
      </c>
      <c r="CZ7" t="s">
        <v>169</v>
      </c>
      <c r="DA7" t="s">
        <v>929</v>
      </c>
      <c r="DB7" s="1" t="s">
        <v>214</v>
      </c>
      <c r="DC7" t="s">
        <v>223</v>
      </c>
      <c r="DD7" t="s">
        <v>928</v>
      </c>
      <c r="DE7" t="s">
        <v>169</v>
      </c>
      <c r="DF7" t="s">
        <v>162</v>
      </c>
      <c r="DG7" t="s">
        <v>128</v>
      </c>
      <c r="DH7" t="s">
        <v>169</v>
      </c>
      <c r="DI7" t="s">
        <v>169</v>
      </c>
      <c r="DJ7" t="s">
        <v>150</v>
      </c>
      <c r="DK7" t="s">
        <v>930</v>
      </c>
      <c r="DL7" s="1" t="s">
        <v>123</v>
      </c>
      <c r="EO7" s="1" t="s">
        <v>177</v>
      </c>
      <c r="EP7" t="s">
        <v>180</v>
      </c>
      <c r="EQ7">
        <v>1</v>
      </c>
      <c r="ER7" t="s">
        <v>223</v>
      </c>
      <c r="ES7" t="s">
        <v>169</v>
      </c>
      <c r="ET7" t="s">
        <v>169</v>
      </c>
      <c r="EU7" t="s">
        <v>236</v>
      </c>
      <c r="EV7" t="s">
        <v>180</v>
      </c>
      <c r="EW7" t="s">
        <v>931</v>
      </c>
      <c r="EX7" t="s">
        <v>932</v>
      </c>
      <c r="EY7" t="s">
        <v>173</v>
      </c>
      <c r="FO7" s="1" t="s">
        <v>123</v>
      </c>
      <c r="FP7" t="s">
        <v>132</v>
      </c>
      <c r="FR7" t="s">
        <v>132</v>
      </c>
      <c r="GW7" t="s">
        <v>933</v>
      </c>
      <c r="GX7" t="s">
        <v>934</v>
      </c>
      <c r="GY7" t="s">
        <v>935</v>
      </c>
      <c r="GZ7" t="s">
        <v>140</v>
      </c>
      <c r="HA7">
        <v>1957</v>
      </c>
      <c r="HB7" t="s">
        <v>141</v>
      </c>
      <c r="HD7" t="s">
        <v>936</v>
      </c>
    </row>
    <row r="8" spans="1:214" hidden="1" x14ac:dyDescent="0.45">
      <c r="A8">
        <v>21</v>
      </c>
      <c r="B8">
        <f>_xlfn.IFNA(VLOOKUP(AnalizaCzyste[[#This Row],[Zakończono wypełnianie]],Zakończone[],2,0),"BRAK")</f>
        <v>18</v>
      </c>
      <c r="C8">
        <f>COUNTA(O8:HF8)</f>
        <v>76</v>
      </c>
      <c r="D8" t="s">
        <v>378</v>
      </c>
      <c r="E8" t="s">
        <v>118</v>
      </c>
      <c r="J8" t="s">
        <v>119</v>
      </c>
      <c r="K8" t="s">
        <v>379</v>
      </c>
      <c r="L8" t="s">
        <v>380</v>
      </c>
      <c r="M8">
        <v>5438</v>
      </c>
      <c r="N8">
        <v>0</v>
      </c>
      <c r="O8" t="s">
        <v>122</v>
      </c>
      <c r="P8" s="1" t="s">
        <v>123</v>
      </c>
      <c r="AF8" s="1" t="s">
        <v>124</v>
      </c>
      <c r="AG8" t="s">
        <v>2268</v>
      </c>
      <c r="AH8">
        <v>1985</v>
      </c>
      <c r="AI8" t="s">
        <v>148</v>
      </c>
      <c r="AJ8" t="s">
        <v>382</v>
      </c>
      <c r="AK8" t="s">
        <v>169</v>
      </c>
      <c r="AL8" t="s">
        <v>169</v>
      </c>
      <c r="AM8" t="s">
        <v>128</v>
      </c>
      <c r="AN8" t="s">
        <v>236</v>
      </c>
      <c r="AO8" t="s">
        <v>236</v>
      </c>
      <c r="AP8" t="s">
        <v>383</v>
      </c>
      <c r="AQ8" t="s">
        <v>152</v>
      </c>
      <c r="AR8" t="s">
        <v>152</v>
      </c>
      <c r="AS8" t="s">
        <v>384</v>
      </c>
      <c r="AT8" t="s">
        <v>385</v>
      </c>
      <c r="AU8" t="s">
        <v>386</v>
      </c>
      <c r="AV8" t="s">
        <v>172</v>
      </c>
      <c r="AX8" s="1" t="s">
        <v>123</v>
      </c>
      <c r="CR8" s="1" t="s">
        <v>387</v>
      </c>
      <c r="CS8" t="s">
        <v>388</v>
      </c>
      <c r="CT8" t="s">
        <v>389</v>
      </c>
      <c r="CU8" t="s">
        <v>169</v>
      </c>
      <c r="CV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390</v>
      </c>
      <c r="DB8" s="1" t="s">
        <v>214</v>
      </c>
      <c r="DC8" t="s">
        <v>388</v>
      </c>
      <c r="DD8" t="s">
        <v>2274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393</v>
      </c>
      <c r="DL8" s="1" t="s">
        <v>174</v>
      </c>
      <c r="DM8" t="s">
        <v>394</v>
      </c>
      <c r="DQ8" t="s">
        <v>391</v>
      </c>
      <c r="DR8" t="s">
        <v>169</v>
      </c>
      <c r="DS8" t="s">
        <v>169</v>
      </c>
      <c r="DT8" t="s">
        <v>169</v>
      </c>
      <c r="DU8" t="s">
        <v>169</v>
      </c>
      <c r="DV8" t="s">
        <v>169</v>
      </c>
      <c r="DW8" t="s">
        <v>169</v>
      </c>
      <c r="DX8" t="s">
        <v>169</v>
      </c>
      <c r="DY8">
        <v>20</v>
      </c>
      <c r="DZ8">
        <v>20</v>
      </c>
      <c r="EA8">
        <v>0</v>
      </c>
      <c r="EB8">
        <v>15</v>
      </c>
      <c r="EC8">
        <v>30</v>
      </c>
      <c r="ED8">
        <v>0</v>
      </c>
      <c r="EE8">
        <v>15</v>
      </c>
      <c r="EG8">
        <v>30</v>
      </c>
      <c r="EH8">
        <v>20</v>
      </c>
      <c r="EI8">
        <v>0</v>
      </c>
      <c r="EJ8">
        <v>10</v>
      </c>
      <c r="EK8">
        <v>25</v>
      </c>
      <c r="EL8">
        <v>0</v>
      </c>
      <c r="EM8">
        <v>15</v>
      </c>
      <c r="EO8" s="1" t="s">
        <v>123</v>
      </c>
      <c r="EP8" t="s">
        <v>178</v>
      </c>
      <c r="EQ8" t="s">
        <v>132</v>
      </c>
      <c r="FO8" s="1" t="s">
        <v>123</v>
      </c>
      <c r="FP8" t="s">
        <v>132</v>
      </c>
      <c r="FR8" t="s">
        <v>132</v>
      </c>
      <c r="GW8" t="s">
        <v>395</v>
      </c>
      <c r="GX8" t="s">
        <v>396</v>
      </c>
      <c r="GY8" t="s">
        <v>397</v>
      </c>
      <c r="GZ8" t="s">
        <v>186</v>
      </c>
      <c r="HA8">
        <v>1960</v>
      </c>
      <c r="HB8" t="s">
        <v>398</v>
      </c>
    </row>
    <row r="9" spans="1:214" hidden="1" x14ac:dyDescent="0.45">
      <c r="A9">
        <v>83</v>
      </c>
      <c r="B9">
        <f>_xlfn.IFNA(VLOOKUP(AnalizaCzyste[[#This Row],[Zakończono wypełnianie]],Zakończone[],2,0),"BRAK")</f>
        <v>48</v>
      </c>
      <c r="C9">
        <f>COUNTA(O9:HF9)</f>
        <v>75</v>
      </c>
      <c r="D9" t="s">
        <v>837</v>
      </c>
      <c r="E9" t="s">
        <v>118</v>
      </c>
      <c r="J9" t="s">
        <v>119</v>
      </c>
      <c r="K9" t="s">
        <v>838</v>
      </c>
      <c r="L9" t="s">
        <v>839</v>
      </c>
      <c r="M9">
        <v>3312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1978</v>
      </c>
      <c r="AI9" t="s">
        <v>126</v>
      </c>
      <c r="AJ9" t="s">
        <v>841</v>
      </c>
      <c r="AK9" t="s">
        <v>169</v>
      </c>
      <c r="AL9" t="s">
        <v>169</v>
      </c>
      <c r="AM9" t="s">
        <v>151</v>
      </c>
      <c r="AN9" t="s">
        <v>150</v>
      </c>
      <c r="AO9" t="s">
        <v>150</v>
      </c>
      <c r="AP9">
        <v>2</v>
      </c>
      <c r="AQ9" t="s">
        <v>302</v>
      </c>
      <c r="AR9" t="s">
        <v>226</v>
      </c>
      <c r="AS9" t="s">
        <v>842</v>
      </c>
      <c r="AT9" t="s">
        <v>843</v>
      </c>
      <c r="AU9" t="s">
        <v>386</v>
      </c>
      <c r="AV9" t="s">
        <v>157</v>
      </c>
      <c r="AX9" s="1" t="s">
        <v>159</v>
      </c>
      <c r="AY9">
        <v>2</v>
      </c>
      <c r="AZ9" t="s">
        <v>191</v>
      </c>
      <c r="BA9">
        <v>2005</v>
      </c>
      <c r="BB9" t="s">
        <v>126</v>
      </c>
      <c r="BC9" t="s">
        <v>844</v>
      </c>
      <c r="BD9" t="s">
        <v>150</v>
      </c>
      <c r="BE9" t="s">
        <v>150</v>
      </c>
      <c r="BF9" t="s">
        <v>169</v>
      </c>
      <c r="BG9" t="s">
        <v>162</v>
      </c>
      <c r="BH9" t="s">
        <v>162</v>
      </c>
      <c r="BI9">
        <v>3</v>
      </c>
      <c r="BJ9" t="s">
        <v>845</v>
      </c>
      <c r="BK9" t="s">
        <v>157</v>
      </c>
      <c r="BM9" t="s">
        <v>148</v>
      </c>
      <c r="BN9" t="s">
        <v>166</v>
      </c>
      <c r="BO9" t="s">
        <v>191</v>
      </c>
      <c r="BP9">
        <v>2007</v>
      </c>
      <c r="BQ9" t="s">
        <v>126</v>
      </c>
      <c r="BR9" t="s">
        <v>844</v>
      </c>
      <c r="BS9" t="s">
        <v>150</v>
      </c>
      <c r="BT9" t="s">
        <v>150</v>
      </c>
      <c r="BU9" t="s">
        <v>150</v>
      </c>
      <c r="BV9" t="s">
        <v>162</v>
      </c>
      <c r="BW9" t="s">
        <v>162</v>
      </c>
      <c r="BX9">
        <v>3</v>
      </c>
      <c r="BY9" t="s">
        <v>148</v>
      </c>
      <c r="BZ9" t="s">
        <v>157</v>
      </c>
      <c r="CB9" t="s">
        <v>148</v>
      </c>
      <c r="CC9" t="s">
        <v>173</v>
      </c>
      <c r="CR9" s="1" t="s">
        <v>123</v>
      </c>
      <c r="DB9" s="1" t="s">
        <v>214</v>
      </c>
      <c r="DC9" t="s">
        <v>2275</v>
      </c>
      <c r="DD9" t="s">
        <v>2276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162</v>
      </c>
      <c r="DK9" t="s">
        <v>848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849</v>
      </c>
      <c r="GX9" t="s">
        <v>850</v>
      </c>
      <c r="GY9" t="s">
        <v>851</v>
      </c>
      <c r="GZ9" t="s">
        <v>186</v>
      </c>
      <c r="HA9">
        <v>1954</v>
      </c>
      <c r="HB9" t="s">
        <v>141</v>
      </c>
      <c r="HD9" t="s">
        <v>852</v>
      </c>
      <c r="HE9" t="s">
        <v>853</v>
      </c>
    </row>
    <row r="10" spans="1:214" hidden="1" x14ac:dyDescent="0.45">
      <c r="A10">
        <v>259</v>
      </c>
      <c r="B10">
        <f>_xlfn.IFNA(VLOOKUP(AnalizaCzyste[[#This Row],[Zakończono wypełnianie]],Zakończone[],2,0),"BRAK")</f>
        <v>136</v>
      </c>
      <c r="C10">
        <f>COUNTA(O10:HF10)</f>
        <v>72</v>
      </c>
      <c r="D10" t="s">
        <v>2014</v>
      </c>
      <c r="E10" t="s">
        <v>118</v>
      </c>
      <c r="J10" t="s">
        <v>119</v>
      </c>
      <c r="K10" t="s">
        <v>2034</v>
      </c>
      <c r="L10" t="s">
        <v>2035</v>
      </c>
      <c r="M10">
        <v>1151</v>
      </c>
      <c r="N10">
        <v>0</v>
      </c>
      <c r="O10" t="s">
        <v>122</v>
      </c>
      <c r="P10" s="1" t="s">
        <v>123</v>
      </c>
      <c r="AF10" s="1" t="s">
        <v>124</v>
      </c>
      <c r="AG10" t="s">
        <v>223</v>
      </c>
      <c r="AH10">
        <v>1987</v>
      </c>
      <c r="AI10" t="s">
        <v>148</v>
      </c>
      <c r="AJ10" t="s">
        <v>554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2036</v>
      </c>
      <c r="AQ10" t="s">
        <v>132</v>
      </c>
      <c r="AR10" t="s">
        <v>132</v>
      </c>
      <c r="AT10" t="s">
        <v>1229</v>
      </c>
      <c r="AU10" t="s">
        <v>1229</v>
      </c>
      <c r="AV10" t="s">
        <v>157</v>
      </c>
      <c r="AW10" t="s">
        <v>2037</v>
      </c>
      <c r="AX10" s="1" t="s">
        <v>159</v>
      </c>
      <c r="AY10">
        <v>3</v>
      </c>
      <c r="AZ10" t="s">
        <v>191</v>
      </c>
      <c r="BA10">
        <v>2020</v>
      </c>
      <c r="BB10" t="s">
        <v>126</v>
      </c>
      <c r="BC10" t="s">
        <v>2038</v>
      </c>
      <c r="BD10" t="s">
        <v>150</v>
      </c>
      <c r="BE10" t="s">
        <v>162</v>
      </c>
      <c r="BF10" t="s">
        <v>169</v>
      </c>
      <c r="BG10" t="s">
        <v>150</v>
      </c>
      <c r="BH10" t="s">
        <v>132</v>
      </c>
      <c r="BI10" t="s">
        <v>2039</v>
      </c>
      <c r="BJ10" t="s">
        <v>2040</v>
      </c>
      <c r="BK10" t="s">
        <v>157</v>
      </c>
      <c r="BN10" t="s">
        <v>166</v>
      </c>
      <c r="BO10" t="s">
        <v>191</v>
      </c>
      <c r="BP10">
        <v>2013</v>
      </c>
      <c r="BQ10" t="s">
        <v>126</v>
      </c>
      <c r="BR10" t="s">
        <v>1867</v>
      </c>
      <c r="BS10" t="s">
        <v>162</v>
      </c>
      <c r="BT10" t="s">
        <v>150</v>
      </c>
      <c r="BU10" t="s">
        <v>162</v>
      </c>
      <c r="BV10" t="s">
        <v>162</v>
      </c>
      <c r="BW10" t="s">
        <v>162</v>
      </c>
      <c r="BX10" t="s">
        <v>237</v>
      </c>
      <c r="BZ10" t="s">
        <v>157</v>
      </c>
      <c r="CB10" t="s">
        <v>2041</v>
      </c>
      <c r="CC10" t="s">
        <v>238</v>
      </c>
      <c r="CD10" t="s">
        <v>191</v>
      </c>
      <c r="CE10">
        <v>2016</v>
      </c>
      <c r="CF10" t="s">
        <v>126</v>
      </c>
      <c r="CG10" t="s">
        <v>2042</v>
      </c>
      <c r="CH10" t="s">
        <v>151</v>
      </c>
      <c r="CI10" t="s">
        <v>162</v>
      </c>
      <c r="CJ10" t="s">
        <v>150</v>
      </c>
      <c r="CK10" t="s">
        <v>169</v>
      </c>
      <c r="CL10" t="s">
        <v>150</v>
      </c>
      <c r="CM10" t="s">
        <v>237</v>
      </c>
      <c r="CN10" t="s">
        <v>2043</v>
      </c>
      <c r="CO10" t="s">
        <v>157</v>
      </c>
      <c r="CR10" s="1" t="s">
        <v>123</v>
      </c>
      <c r="DB10" s="1" t="s">
        <v>123</v>
      </c>
      <c r="DL10" s="1" t="s">
        <v>123</v>
      </c>
      <c r="EO10" s="1" t="s">
        <v>123</v>
      </c>
      <c r="FO10" s="1" t="s">
        <v>123</v>
      </c>
      <c r="GW10" t="s">
        <v>1229</v>
      </c>
      <c r="GX10" t="s">
        <v>1229</v>
      </c>
      <c r="GY10" t="s">
        <v>1229</v>
      </c>
      <c r="GZ10" t="s">
        <v>186</v>
      </c>
      <c r="HA10">
        <v>1962</v>
      </c>
      <c r="HB10" t="s">
        <v>141</v>
      </c>
      <c r="HE10" t="s">
        <v>2044</v>
      </c>
      <c r="HF10" t="s">
        <v>2045</v>
      </c>
    </row>
    <row r="11" spans="1:214" hidden="1" x14ac:dyDescent="0.45">
      <c r="A11">
        <v>135</v>
      </c>
      <c r="B11">
        <f>_xlfn.IFNA(VLOOKUP(AnalizaCzyste[[#This Row],[Zakończono wypełnianie]],Zakończone[],2,0),"BRAK")</f>
        <v>82</v>
      </c>
      <c r="C11">
        <f>COUNTA(O11:HF11)</f>
        <v>67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1982</v>
      </c>
      <c r="AI11" t="s">
        <v>126</v>
      </c>
      <c r="AJ11" t="s">
        <v>1268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>
        <v>0</v>
      </c>
      <c r="AQ11" t="s">
        <v>153</v>
      </c>
      <c r="AR11" t="s">
        <v>759</v>
      </c>
      <c r="AS11" t="s">
        <v>1269</v>
      </c>
      <c r="AT11" t="s">
        <v>1270</v>
      </c>
      <c r="AU11" t="s">
        <v>386</v>
      </c>
      <c r="AW11" t="s">
        <v>1271</v>
      </c>
      <c r="AX11" s="1" t="s">
        <v>159</v>
      </c>
      <c r="AY11">
        <v>1</v>
      </c>
      <c r="AZ11" t="s">
        <v>1290</v>
      </c>
      <c r="BA11">
        <v>2011</v>
      </c>
      <c r="BB11" t="s">
        <v>148</v>
      </c>
      <c r="BC11" t="s">
        <v>1050</v>
      </c>
      <c r="BD11" t="s">
        <v>169</v>
      </c>
      <c r="BE11" t="s">
        <v>169</v>
      </c>
      <c r="BF11" t="s">
        <v>169</v>
      </c>
      <c r="BG11" t="s">
        <v>169</v>
      </c>
      <c r="BH11" t="s">
        <v>169</v>
      </c>
      <c r="BI11" t="s">
        <v>1273</v>
      </c>
      <c r="BJ11" t="s">
        <v>1274</v>
      </c>
      <c r="BK11" t="s">
        <v>157</v>
      </c>
      <c r="BM11" t="s">
        <v>1275</v>
      </c>
      <c r="BN11" t="s">
        <v>173</v>
      </c>
      <c r="CR11" s="1" t="s">
        <v>123</v>
      </c>
      <c r="DB11" s="1" t="s">
        <v>214</v>
      </c>
      <c r="DC11" t="s">
        <v>191</v>
      </c>
      <c r="DD11" t="s">
        <v>1276</v>
      </c>
      <c r="DE11" t="s">
        <v>169</v>
      </c>
      <c r="DF11" t="s">
        <v>169</v>
      </c>
      <c r="DG11" t="s">
        <v>169</v>
      </c>
      <c r="DH11" t="s">
        <v>150</v>
      </c>
      <c r="DI11" t="s">
        <v>169</v>
      </c>
      <c r="DJ11" t="s">
        <v>169</v>
      </c>
      <c r="DK11" t="s">
        <v>1277</v>
      </c>
      <c r="DL11" s="1" t="s">
        <v>123</v>
      </c>
      <c r="EO11" s="1" t="s">
        <v>177</v>
      </c>
      <c r="EP11" t="s">
        <v>178</v>
      </c>
      <c r="EQ11">
        <v>1</v>
      </c>
      <c r="ER11" t="s">
        <v>747</v>
      </c>
      <c r="ES11" t="s">
        <v>169</v>
      </c>
      <c r="ET11" t="s">
        <v>169</v>
      </c>
      <c r="EU11" t="s">
        <v>151</v>
      </c>
      <c r="EV11" t="s">
        <v>178</v>
      </c>
      <c r="EW11" t="s">
        <v>1278</v>
      </c>
      <c r="EX11" t="s">
        <v>1279</v>
      </c>
      <c r="EY11" t="s">
        <v>173</v>
      </c>
      <c r="FO11" s="1" t="s">
        <v>123</v>
      </c>
      <c r="GW11" t="s">
        <v>1280</v>
      </c>
      <c r="GX11" t="s">
        <v>1281</v>
      </c>
      <c r="GY11" t="s">
        <v>1282</v>
      </c>
      <c r="GZ11" t="s">
        <v>186</v>
      </c>
      <c r="HA11" t="s">
        <v>1283</v>
      </c>
      <c r="HB11" t="s">
        <v>398</v>
      </c>
      <c r="HD11" t="s">
        <v>1284</v>
      </c>
      <c r="HE11" t="s">
        <v>1285</v>
      </c>
    </row>
    <row r="12" spans="1:214" hidden="1" x14ac:dyDescent="0.45">
      <c r="A12">
        <v>188</v>
      </c>
      <c r="B12">
        <f>_xlfn.IFNA(VLOOKUP(AnalizaCzyste[[#This Row],[Zakończono wypełnianie]],Zakończone[],2,0),"BRAK")</f>
        <v>107</v>
      </c>
      <c r="C12">
        <f>COUNTA(O12:HF12)</f>
        <v>66</v>
      </c>
      <c r="D12" t="s">
        <v>1587</v>
      </c>
      <c r="E12" t="s">
        <v>118</v>
      </c>
      <c r="J12" t="s">
        <v>119</v>
      </c>
      <c r="K12" t="s">
        <v>1588</v>
      </c>
      <c r="L12" t="s">
        <v>1589</v>
      </c>
      <c r="M12">
        <v>1788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1983</v>
      </c>
      <c r="AI12" t="s">
        <v>126</v>
      </c>
      <c r="AJ12" t="s">
        <v>1590</v>
      </c>
      <c r="AK12" t="s">
        <v>150</v>
      </c>
      <c r="AL12" t="s">
        <v>150</v>
      </c>
      <c r="AM12" t="s">
        <v>236</v>
      </c>
      <c r="AN12" t="s">
        <v>129</v>
      </c>
      <c r="AO12" t="s">
        <v>162</v>
      </c>
      <c r="AP12">
        <v>36</v>
      </c>
      <c r="AQ12" t="s">
        <v>132</v>
      </c>
      <c r="AR12" t="s">
        <v>132</v>
      </c>
      <c r="AS12" t="s">
        <v>1591</v>
      </c>
      <c r="AT12" t="s">
        <v>1592</v>
      </c>
      <c r="AU12" t="s">
        <v>1593</v>
      </c>
      <c r="AV12" t="s">
        <v>172</v>
      </c>
      <c r="AX12" s="1" t="s">
        <v>159</v>
      </c>
      <c r="AY12">
        <v>3</v>
      </c>
      <c r="AZ12" t="s">
        <v>191</v>
      </c>
      <c r="BA12">
        <v>2019</v>
      </c>
      <c r="BB12" t="s">
        <v>126</v>
      </c>
      <c r="BC12" t="s">
        <v>1594</v>
      </c>
      <c r="BD12" t="s">
        <v>236</v>
      </c>
      <c r="BE12" t="s">
        <v>128</v>
      </c>
      <c r="BF12" t="s">
        <v>162</v>
      </c>
      <c r="BG12" t="s">
        <v>151</v>
      </c>
      <c r="BH12" t="s">
        <v>132</v>
      </c>
      <c r="BI12" t="s">
        <v>1595</v>
      </c>
      <c r="BJ12" t="s">
        <v>1596</v>
      </c>
      <c r="BK12" t="s">
        <v>157</v>
      </c>
      <c r="BN12" t="s">
        <v>173</v>
      </c>
      <c r="CR12" s="1" t="s">
        <v>123</v>
      </c>
      <c r="DB12" s="1" t="s">
        <v>123</v>
      </c>
      <c r="DL12" s="1" t="s">
        <v>123</v>
      </c>
      <c r="EO12" s="1" t="s">
        <v>177</v>
      </c>
      <c r="EP12" t="s">
        <v>178</v>
      </c>
      <c r="EQ12">
        <v>2</v>
      </c>
      <c r="ER12" t="s">
        <v>747</v>
      </c>
      <c r="ES12" t="s">
        <v>236</v>
      </c>
      <c r="ET12" t="s">
        <v>236</v>
      </c>
      <c r="EU12" t="s">
        <v>128</v>
      </c>
      <c r="EV12" t="s">
        <v>178</v>
      </c>
      <c r="EW12" t="s">
        <v>1597</v>
      </c>
      <c r="EX12" t="s">
        <v>1598</v>
      </c>
      <c r="EY12" t="s">
        <v>1206</v>
      </c>
      <c r="EZ12" t="s">
        <v>1599</v>
      </c>
      <c r="FA12" t="s">
        <v>129</v>
      </c>
      <c r="FB12" t="s">
        <v>129</v>
      </c>
      <c r="FC12" t="s">
        <v>236</v>
      </c>
      <c r="FD12" t="s">
        <v>178</v>
      </c>
      <c r="FE12" t="s">
        <v>1600</v>
      </c>
      <c r="FF12" t="s">
        <v>1601</v>
      </c>
      <c r="FG12" t="s">
        <v>173</v>
      </c>
      <c r="FO12" s="1" t="s">
        <v>123</v>
      </c>
      <c r="GW12" t="s">
        <v>1602</v>
      </c>
      <c r="GX12" t="s">
        <v>1603</v>
      </c>
      <c r="GY12" t="s">
        <v>1604</v>
      </c>
      <c r="GZ12" t="s">
        <v>186</v>
      </c>
      <c r="HA12">
        <v>1959</v>
      </c>
      <c r="HB12" t="s">
        <v>483</v>
      </c>
      <c r="HD12" t="s">
        <v>1605</v>
      </c>
      <c r="HE12" t="s">
        <v>1606</v>
      </c>
      <c r="HF12" t="s">
        <v>1607</v>
      </c>
    </row>
    <row r="13" spans="1:214" hidden="1" x14ac:dyDescent="0.45">
      <c r="A13">
        <v>260</v>
      </c>
      <c r="B13">
        <f>_xlfn.IFNA(VLOOKUP(AnalizaCzyste[[#This Row],[Zakończono wypełnianie]],Zakończone[],2,0),"BRAK")</f>
        <v>137</v>
      </c>
      <c r="C13">
        <f>COUNTA(O13:HF13)</f>
        <v>66</v>
      </c>
      <c r="D13" t="s">
        <v>2014</v>
      </c>
      <c r="E13" t="s">
        <v>118</v>
      </c>
      <c r="J13" t="s">
        <v>119</v>
      </c>
      <c r="K13" t="s">
        <v>2046</v>
      </c>
      <c r="L13" t="s">
        <v>2047</v>
      </c>
      <c r="M13">
        <v>707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1985</v>
      </c>
      <c r="AI13" t="s">
        <v>126</v>
      </c>
      <c r="AJ13" t="s">
        <v>2017</v>
      </c>
      <c r="AK13" t="s">
        <v>150</v>
      </c>
      <c r="AL13" t="s">
        <v>150</v>
      </c>
      <c r="AM13" t="s">
        <v>151</v>
      </c>
      <c r="AN13" t="s">
        <v>236</v>
      </c>
      <c r="AO13" t="s">
        <v>150</v>
      </c>
      <c r="AP13" t="s">
        <v>237</v>
      </c>
      <c r="AQ13" t="s">
        <v>152</v>
      </c>
      <c r="AR13" t="s">
        <v>759</v>
      </c>
      <c r="AS13" t="s">
        <v>2048</v>
      </c>
      <c r="AT13" t="s">
        <v>1229</v>
      </c>
      <c r="AU13" t="s">
        <v>1229</v>
      </c>
      <c r="AV13" t="s">
        <v>157</v>
      </c>
      <c r="AW13" t="s">
        <v>2032</v>
      </c>
      <c r="AX13" s="1" t="s">
        <v>159</v>
      </c>
      <c r="AY13">
        <v>1</v>
      </c>
      <c r="AZ13" t="s">
        <v>191</v>
      </c>
      <c r="BA13">
        <v>2018</v>
      </c>
      <c r="BB13" t="s">
        <v>126</v>
      </c>
      <c r="BC13" t="s">
        <v>2049</v>
      </c>
      <c r="BD13" t="s">
        <v>151</v>
      </c>
      <c r="BE13" t="s">
        <v>151</v>
      </c>
      <c r="BF13" t="s">
        <v>128</v>
      </c>
      <c r="BG13" t="s">
        <v>162</v>
      </c>
      <c r="BH13" t="s">
        <v>132</v>
      </c>
      <c r="BI13">
        <v>12</v>
      </c>
      <c r="BJ13" t="s">
        <v>2050</v>
      </c>
      <c r="BK13" t="s">
        <v>157</v>
      </c>
      <c r="BN13" t="s">
        <v>173</v>
      </c>
      <c r="CR13" s="1" t="s">
        <v>123</v>
      </c>
      <c r="DB13" s="1" t="s">
        <v>123</v>
      </c>
      <c r="DL13" s="1" t="s">
        <v>123</v>
      </c>
      <c r="EO13" s="1" t="s">
        <v>177</v>
      </c>
      <c r="EP13" t="s">
        <v>178</v>
      </c>
      <c r="EQ13">
        <v>2</v>
      </c>
      <c r="ER13" t="s">
        <v>191</v>
      </c>
      <c r="ES13" t="s">
        <v>151</v>
      </c>
      <c r="ET13" t="s">
        <v>162</v>
      </c>
      <c r="EU13" t="s">
        <v>151</v>
      </c>
      <c r="EV13" t="s">
        <v>178</v>
      </c>
      <c r="EW13" t="s">
        <v>2051</v>
      </c>
      <c r="EX13" t="s">
        <v>2052</v>
      </c>
      <c r="EY13" t="s">
        <v>1206</v>
      </c>
      <c r="EZ13" t="s">
        <v>223</v>
      </c>
      <c r="FA13" t="s">
        <v>162</v>
      </c>
      <c r="FB13" t="s">
        <v>162</v>
      </c>
      <c r="FC13" t="s">
        <v>151</v>
      </c>
      <c r="FD13" t="s">
        <v>178</v>
      </c>
      <c r="FE13" t="s">
        <v>2053</v>
      </c>
      <c r="FF13" t="s">
        <v>2054</v>
      </c>
      <c r="FG13" t="s">
        <v>173</v>
      </c>
      <c r="FO13" s="1" t="s">
        <v>123</v>
      </c>
      <c r="GW13" t="s">
        <v>1229</v>
      </c>
      <c r="GX13" t="s">
        <v>1229</v>
      </c>
      <c r="GY13" t="s">
        <v>1229</v>
      </c>
      <c r="GZ13" t="s">
        <v>186</v>
      </c>
      <c r="HA13">
        <v>1959</v>
      </c>
      <c r="HB13" t="s">
        <v>141</v>
      </c>
      <c r="HD13" t="s">
        <v>2055</v>
      </c>
      <c r="HF13" t="s">
        <v>2056</v>
      </c>
    </row>
    <row r="14" spans="1:214" hidden="1" x14ac:dyDescent="0.45">
      <c r="A14">
        <v>11</v>
      </c>
      <c r="B14">
        <f>_xlfn.IFNA(VLOOKUP(AnalizaCzyste[[#This Row],[Zakończono wypełnianie]],Zakończone[],2,0),"BRAK")</f>
        <v>10</v>
      </c>
      <c r="C14">
        <f>COUNTA(O14:HF14)</f>
        <v>62</v>
      </c>
      <c r="D14" t="s">
        <v>298</v>
      </c>
      <c r="E14" t="s">
        <v>118</v>
      </c>
      <c r="J14" t="s">
        <v>119</v>
      </c>
      <c r="K14" t="s">
        <v>299</v>
      </c>
      <c r="L14" t="s">
        <v>300</v>
      </c>
      <c r="M14">
        <v>1404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1986</v>
      </c>
      <c r="AI14" t="s">
        <v>126</v>
      </c>
      <c r="AJ14" t="s">
        <v>301</v>
      </c>
      <c r="AK14" t="s">
        <v>150</v>
      </c>
      <c r="AL14" t="s">
        <v>150</v>
      </c>
      <c r="AM14" t="s">
        <v>162</v>
      </c>
      <c r="AN14" t="s">
        <v>151</v>
      </c>
      <c r="AO14" t="s">
        <v>151</v>
      </c>
      <c r="AP14">
        <v>2</v>
      </c>
      <c r="AQ14" t="s">
        <v>302</v>
      </c>
      <c r="AR14" t="s">
        <v>153</v>
      </c>
      <c r="AS14" t="s">
        <v>303</v>
      </c>
      <c r="AT14" t="s">
        <v>304</v>
      </c>
      <c r="AU14" t="s">
        <v>305</v>
      </c>
      <c r="AV14" t="s">
        <v>157</v>
      </c>
      <c r="AX14" s="1" t="s">
        <v>159</v>
      </c>
      <c r="AY14">
        <v>1</v>
      </c>
      <c r="AZ14" t="s">
        <v>223</v>
      </c>
      <c r="BA14">
        <v>2011</v>
      </c>
      <c r="BB14" t="s">
        <v>148</v>
      </c>
      <c r="BC14" t="s">
        <v>127</v>
      </c>
      <c r="BD14" t="s">
        <v>150</v>
      </c>
      <c r="BE14" t="s">
        <v>150</v>
      </c>
      <c r="BF14" t="s">
        <v>169</v>
      </c>
      <c r="BG14" t="s">
        <v>169</v>
      </c>
      <c r="BH14" t="s">
        <v>169</v>
      </c>
      <c r="BI14">
        <v>1</v>
      </c>
      <c r="BJ14" t="s">
        <v>306</v>
      </c>
      <c r="BK14" t="s">
        <v>157</v>
      </c>
      <c r="BM14" t="s">
        <v>307</v>
      </c>
      <c r="BN14" t="s">
        <v>173</v>
      </c>
      <c r="CR14" s="1" t="s">
        <v>123</v>
      </c>
      <c r="DB14" s="1" t="s">
        <v>214</v>
      </c>
      <c r="DC14" t="s">
        <v>191</v>
      </c>
      <c r="DD14" t="s">
        <v>308</v>
      </c>
      <c r="DE14" t="s">
        <v>150</v>
      </c>
      <c r="DF14" t="s">
        <v>150</v>
      </c>
      <c r="DG14" t="s">
        <v>162</v>
      </c>
      <c r="DH14" t="s">
        <v>150</v>
      </c>
      <c r="DI14" t="s">
        <v>150</v>
      </c>
      <c r="DJ14" t="s">
        <v>150</v>
      </c>
      <c r="DK14" t="s">
        <v>309</v>
      </c>
      <c r="DL14" s="1" t="s">
        <v>123</v>
      </c>
      <c r="EO14" s="1" t="s">
        <v>123</v>
      </c>
      <c r="EP14" t="s">
        <v>180</v>
      </c>
      <c r="EQ14" t="s">
        <v>132</v>
      </c>
      <c r="FO14" s="1" t="s">
        <v>123</v>
      </c>
      <c r="FP14" t="s">
        <v>132</v>
      </c>
      <c r="FR14" t="s">
        <v>132</v>
      </c>
      <c r="GW14" t="s">
        <v>310</v>
      </c>
      <c r="GX14" t="s">
        <v>311</v>
      </c>
      <c r="GY14" t="s">
        <v>312</v>
      </c>
      <c r="GZ14" t="s">
        <v>186</v>
      </c>
      <c r="HA14">
        <v>1963</v>
      </c>
      <c r="HB14" t="s">
        <v>141</v>
      </c>
      <c r="HC14" t="s">
        <v>313</v>
      </c>
      <c r="HD14" t="s">
        <v>314</v>
      </c>
      <c r="HE14" t="s">
        <v>315</v>
      </c>
    </row>
    <row r="15" spans="1:214" hidden="1" x14ac:dyDescent="0.45">
      <c r="A15">
        <v>257</v>
      </c>
      <c r="B15">
        <f>_xlfn.IFNA(VLOOKUP(AnalizaCzyste[[#This Row],[Zakończono wypełnianie]],Zakończone[],2,0),"BRAK")</f>
        <v>134</v>
      </c>
      <c r="C15">
        <f>COUNTA(O15:HF15)</f>
        <v>61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1989</v>
      </c>
      <c r="AI15" t="s">
        <v>126</v>
      </c>
      <c r="AJ15" t="s">
        <v>2017</v>
      </c>
      <c r="AK15" t="s">
        <v>150</v>
      </c>
      <c r="AL15" t="s">
        <v>150</v>
      </c>
      <c r="AM15" t="s">
        <v>162</v>
      </c>
      <c r="AN15" t="s">
        <v>162</v>
      </c>
      <c r="AO15" t="s">
        <v>162</v>
      </c>
      <c r="AP15">
        <v>0</v>
      </c>
      <c r="AQ15" t="s">
        <v>226</v>
      </c>
      <c r="AR15" t="s">
        <v>226</v>
      </c>
      <c r="AS15" t="s">
        <v>2018</v>
      </c>
      <c r="AT15" t="s">
        <v>1229</v>
      </c>
      <c r="AU15" t="s">
        <v>1229</v>
      </c>
      <c r="AV15" t="s">
        <v>157</v>
      </c>
      <c r="AW15" t="s">
        <v>1271</v>
      </c>
      <c r="AX15" s="1" t="s">
        <v>159</v>
      </c>
      <c r="AY15">
        <v>1</v>
      </c>
      <c r="AZ15" t="s">
        <v>191</v>
      </c>
      <c r="BA15">
        <v>2016</v>
      </c>
      <c r="BB15" t="s">
        <v>126</v>
      </c>
      <c r="BC15" t="s">
        <v>2019</v>
      </c>
      <c r="BD15" t="s">
        <v>150</v>
      </c>
      <c r="BE15" t="s">
        <v>150</v>
      </c>
      <c r="BF15" t="s">
        <v>151</v>
      </c>
      <c r="BG15" t="s">
        <v>128</v>
      </c>
      <c r="BH15" t="s">
        <v>162</v>
      </c>
      <c r="BI15" t="s">
        <v>2020</v>
      </c>
      <c r="BJ15" t="s">
        <v>2021</v>
      </c>
      <c r="BK15" t="s">
        <v>157</v>
      </c>
      <c r="BN15" t="s">
        <v>173</v>
      </c>
      <c r="CR15" s="1" t="s">
        <v>123</v>
      </c>
      <c r="DB15" s="1" t="s">
        <v>123</v>
      </c>
      <c r="DL15" s="1" t="s">
        <v>123</v>
      </c>
      <c r="EO15" s="1" t="s">
        <v>123</v>
      </c>
      <c r="FO15" s="1" t="s">
        <v>2022</v>
      </c>
      <c r="FP15" t="s">
        <v>2023</v>
      </c>
      <c r="FQ15" t="s">
        <v>2024</v>
      </c>
      <c r="FR15">
        <v>1</v>
      </c>
      <c r="FS15" t="s">
        <v>191</v>
      </c>
      <c r="FT15" t="s">
        <v>150</v>
      </c>
      <c r="FU15" t="s">
        <v>150</v>
      </c>
      <c r="FV15" t="s">
        <v>150</v>
      </c>
      <c r="FW15" t="s">
        <v>150</v>
      </c>
      <c r="FX15" t="s">
        <v>150</v>
      </c>
      <c r="FY15" t="s">
        <v>150</v>
      </c>
      <c r="FZ15" t="s">
        <v>150</v>
      </c>
      <c r="GB15" t="s">
        <v>2025</v>
      </c>
      <c r="GC15" t="s">
        <v>173</v>
      </c>
      <c r="GW15" t="s">
        <v>1229</v>
      </c>
      <c r="GX15" t="s">
        <v>1229</v>
      </c>
      <c r="GY15" t="s">
        <v>1229</v>
      </c>
      <c r="GZ15" t="s">
        <v>186</v>
      </c>
      <c r="HA15">
        <v>1965</v>
      </c>
      <c r="HB15" t="s">
        <v>220</v>
      </c>
      <c r="HD15" t="s">
        <v>2026</v>
      </c>
      <c r="HF15" t="s">
        <v>2027</v>
      </c>
    </row>
    <row r="16" spans="1:214" hidden="1" x14ac:dyDescent="0.45">
      <c r="A16">
        <v>261</v>
      </c>
      <c r="B16">
        <f>_xlfn.IFNA(VLOOKUP(AnalizaCzyste[[#This Row],[Zakończono wypełnianie]],Zakończone[],2,0),"BRAK")</f>
        <v>138</v>
      </c>
      <c r="C16">
        <f>COUNTA(O16:HF16)</f>
        <v>61</v>
      </c>
      <c r="D16" t="s">
        <v>2014</v>
      </c>
      <c r="E16" t="s">
        <v>118</v>
      </c>
      <c r="J16" t="s">
        <v>119</v>
      </c>
      <c r="K16" t="s">
        <v>2057</v>
      </c>
      <c r="L16" t="s">
        <v>2058</v>
      </c>
      <c r="M16">
        <v>616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1992</v>
      </c>
      <c r="AI16" t="s">
        <v>148</v>
      </c>
      <c r="AJ16" t="s">
        <v>2059</v>
      </c>
      <c r="AK16" t="s">
        <v>150</v>
      </c>
      <c r="AL16" t="s">
        <v>169</v>
      </c>
      <c r="AM16" t="s">
        <v>150</v>
      </c>
      <c r="AN16" t="s">
        <v>151</v>
      </c>
      <c r="AO16" t="s">
        <v>162</v>
      </c>
      <c r="AP16">
        <v>0</v>
      </c>
      <c r="AQ16" t="s">
        <v>131</v>
      </c>
      <c r="AR16" t="s">
        <v>302</v>
      </c>
      <c r="AS16" t="s">
        <v>2060</v>
      </c>
      <c r="AT16" t="s">
        <v>1229</v>
      </c>
      <c r="AU16" t="s">
        <v>1229</v>
      </c>
      <c r="AV16" t="s">
        <v>157</v>
      </c>
      <c r="AW16" t="s">
        <v>2032</v>
      </c>
      <c r="AX16" s="1" t="s">
        <v>159</v>
      </c>
      <c r="AY16">
        <v>1</v>
      </c>
      <c r="AZ16" t="s">
        <v>445</v>
      </c>
      <c r="BA16">
        <v>2019</v>
      </c>
      <c r="BB16" t="s">
        <v>148</v>
      </c>
      <c r="BC16" t="s">
        <v>461</v>
      </c>
      <c r="BD16" t="s">
        <v>169</v>
      </c>
      <c r="BE16" t="s">
        <v>169</v>
      </c>
      <c r="BF16" t="s">
        <v>169</v>
      </c>
      <c r="BG16" t="s">
        <v>169</v>
      </c>
      <c r="BH16" t="s">
        <v>132</v>
      </c>
      <c r="BI16" t="s">
        <v>2020</v>
      </c>
      <c r="BJ16" t="s">
        <v>2061</v>
      </c>
      <c r="BK16" t="s">
        <v>157</v>
      </c>
      <c r="BM16" t="s">
        <v>2062</v>
      </c>
      <c r="BN16" t="s">
        <v>173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2022</v>
      </c>
      <c r="FP16" t="s">
        <v>2023</v>
      </c>
      <c r="FQ16" t="s">
        <v>2063</v>
      </c>
      <c r="FR16">
        <v>1</v>
      </c>
      <c r="FS16" t="s">
        <v>191</v>
      </c>
      <c r="FT16" t="s">
        <v>150</v>
      </c>
      <c r="FU16" t="s">
        <v>150</v>
      </c>
      <c r="FV16" t="s">
        <v>169</v>
      </c>
      <c r="FW16" t="s">
        <v>169</v>
      </c>
      <c r="FX16" t="s">
        <v>132</v>
      </c>
      <c r="FY16" t="s">
        <v>132</v>
      </c>
      <c r="FZ16" t="s">
        <v>169</v>
      </c>
      <c r="GC16" t="s">
        <v>173</v>
      </c>
      <c r="GW16" t="s">
        <v>1229</v>
      </c>
      <c r="GX16" t="s">
        <v>1229</v>
      </c>
      <c r="GY16" t="s">
        <v>1229</v>
      </c>
      <c r="GZ16" t="s">
        <v>186</v>
      </c>
      <c r="HA16">
        <v>1968</v>
      </c>
      <c r="HB16" t="s">
        <v>220</v>
      </c>
      <c r="HD16" t="s">
        <v>2055</v>
      </c>
      <c r="HF16" t="s">
        <v>2064</v>
      </c>
    </row>
    <row r="17" spans="1:214" hidden="1" x14ac:dyDescent="0.45">
      <c r="A17">
        <v>8</v>
      </c>
      <c r="B17">
        <f>_xlfn.IFNA(VLOOKUP(AnalizaCzyste[[#This Row],[Zakończono wypełnianie]],Zakończone[],2,0),"BRAK")</f>
        <v>8</v>
      </c>
      <c r="C17">
        <f>COUNTA(O17:HF17)</f>
        <v>58</v>
      </c>
      <c r="D17" t="s">
        <v>269</v>
      </c>
      <c r="E17" t="s">
        <v>118</v>
      </c>
      <c r="J17" t="s">
        <v>119</v>
      </c>
      <c r="K17" t="s">
        <v>270</v>
      </c>
      <c r="L17" t="s">
        <v>271</v>
      </c>
      <c r="M17">
        <v>768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>
        <v>1973</v>
      </c>
      <c r="AI17" t="s">
        <v>148</v>
      </c>
      <c r="AJ17" t="s">
        <v>272</v>
      </c>
      <c r="AK17" t="s">
        <v>169</v>
      </c>
      <c r="AL17" t="s">
        <v>169</v>
      </c>
      <c r="AM17" t="s">
        <v>150</v>
      </c>
      <c r="AN17" t="s">
        <v>129</v>
      </c>
      <c r="AO17" t="s">
        <v>129</v>
      </c>
      <c r="AP17">
        <v>0</v>
      </c>
      <c r="AQ17" t="s">
        <v>152</v>
      </c>
      <c r="AR17" t="s">
        <v>152</v>
      </c>
      <c r="AS17" t="s">
        <v>273</v>
      </c>
      <c r="AT17" t="s">
        <v>274</v>
      </c>
      <c r="AU17" t="s">
        <v>275</v>
      </c>
      <c r="AV17" t="s">
        <v>172</v>
      </c>
      <c r="AX17" s="1" t="s">
        <v>159</v>
      </c>
      <c r="AY17">
        <v>3</v>
      </c>
      <c r="AZ17" t="s">
        <v>160</v>
      </c>
      <c r="BA17" t="s">
        <v>276</v>
      </c>
      <c r="BB17" t="s">
        <v>148</v>
      </c>
      <c r="BC17" t="s">
        <v>277</v>
      </c>
      <c r="BD17" t="s">
        <v>169</v>
      </c>
      <c r="BE17" t="s">
        <v>169</v>
      </c>
      <c r="BF17" t="s">
        <v>236</v>
      </c>
      <c r="BG17" t="s">
        <v>236</v>
      </c>
      <c r="BH17" t="s">
        <v>236</v>
      </c>
      <c r="BI17">
        <v>0</v>
      </c>
      <c r="BJ17" t="s">
        <v>278</v>
      </c>
      <c r="BK17" t="s">
        <v>172</v>
      </c>
      <c r="BN17" t="s">
        <v>173</v>
      </c>
      <c r="CR17" s="1" t="s">
        <v>123</v>
      </c>
      <c r="DB17" s="1" t="s">
        <v>214</v>
      </c>
      <c r="DC17" t="s">
        <v>862</v>
      </c>
      <c r="DD17" t="s">
        <v>280</v>
      </c>
      <c r="DE17" t="s">
        <v>150</v>
      </c>
      <c r="DF17" t="s">
        <v>150</v>
      </c>
      <c r="DG17" t="s">
        <v>150</v>
      </c>
      <c r="DH17" t="s">
        <v>150</v>
      </c>
      <c r="DI17" t="s">
        <v>150</v>
      </c>
      <c r="DJ17" t="s">
        <v>150</v>
      </c>
      <c r="DK17" t="s">
        <v>281</v>
      </c>
      <c r="DL17" s="1" t="s">
        <v>123</v>
      </c>
      <c r="EO17" s="1" t="s">
        <v>123</v>
      </c>
      <c r="EP17" t="s">
        <v>180</v>
      </c>
      <c r="EQ17" t="s">
        <v>132</v>
      </c>
      <c r="FO17" s="1" t="s">
        <v>123</v>
      </c>
      <c r="FP17" t="s">
        <v>132</v>
      </c>
      <c r="FR17" t="s">
        <v>132</v>
      </c>
      <c r="GW17" t="s">
        <v>282</v>
      </c>
      <c r="GX17" t="s">
        <v>283</v>
      </c>
      <c r="GY17" t="s">
        <v>284</v>
      </c>
      <c r="GZ17" t="s">
        <v>186</v>
      </c>
      <c r="HA17">
        <v>1950</v>
      </c>
      <c r="HB17" t="s">
        <v>141</v>
      </c>
    </row>
    <row r="18" spans="1:214" hidden="1" x14ac:dyDescent="0.45">
      <c r="A18">
        <v>258</v>
      </c>
      <c r="B18">
        <f>_xlfn.IFNA(VLOOKUP(AnalizaCzyste[[#This Row],[Zakończono wypełnianie]],Zakończone[],2,0),"BRAK")</f>
        <v>135</v>
      </c>
      <c r="C18">
        <f>COUNTA(O18:HF18)</f>
        <v>55</v>
      </c>
      <c r="D18" t="s">
        <v>2014</v>
      </c>
      <c r="E18" t="s">
        <v>118</v>
      </c>
      <c r="J18" t="s">
        <v>119</v>
      </c>
      <c r="K18" t="s">
        <v>2028</v>
      </c>
      <c r="L18" t="s">
        <v>2029</v>
      </c>
      <c r="M18">
        <v>721</v>
      </c>
      <c r="N18">
        <v>0</v>
      </c>
      <c r="O18" t="s">
        <v>122</v>
      </c>
      <c r="P18" s="1" t="s">
        <v>123</v>
      </c>
      <c r="AF18" s="1" t="s">
        <v>124</v>
      </c>
      <c r="AG18" t="s">
        <v>234</v>
      </c>
      <c r="AH18">
        <v>1985</v>
      </c>
      <c r="AI18" t="s">
        <v>148</v>
      </c>
      <c r="AJ18" t="s">
        <v>2030</v>
      </c>
      <c r="AK18" t="s">
        <v>169</v>
      </c>
      <c r="AL18" t="s">
        <v>169</v>
      </c>
      <c r="AM18" t="s">
        <v>150</v>
      </c>
      <c r="AN18" t="s">
        <v>128</v>
      </c>
      <c r="AO18" t="s">
        <v>128</v>
      </c>
      <c r="AP18">
        <v>4</v>
      </c>
      <c r="AQ18" t="s">
        <v>131</v>
      </c>
      <c r="AR18" t="s">
        <v>131</v>
      </c>
      <c r="AS18" t="s">
        <v>2031</v>
      </c>
      <c r="AT18" t="s">
        <v>1229</v>
      </c>
      <c r="AU18" t="s">
        <v>1229</v>
      </c>
      <c r="AV18" t="s">
        <v>157</v>
      </c>
      <c r="AW18" t="s">
        <v>2032</v>
      </c>
      <c r="AX18" s="1" t="s">
        <v>123</v>
      </c>
      <c r="CR18" s="1" t="s">
        <v>123</v>
      </c>
      <c r="DB18" s="1" t="s">
        <v>123</v>
      </c>
      <c r="DL18" s="1" t="s">
        <v>174</v>
      </c>
      <c r="DM18" t="s">
        <v>394</v>
      </c>
      <c r="DQ18" t="s">
        <v>234</v>
      </c>
      <c r="DR18" t="s">
        <v>162</v>
      </c>
      <c r="DS18" t="s">
        <v>162</v>
      </c>
      <c r="DT18" t="s">
        <v>162</v>
      </c>
      <c r="DU18" t="s">
        <v>132</v>
      </c>
      <c r="DV18" t="s">
        <v>132</v>
      </c>
      <c r="DW18" t="s">
        <v>132</v>
      </c>
      <c r="DX18" t="s">
        <v>162</v>
      </c>
      <c r="DY18">
        <v>20</v>
      </c>
      <c r="DZ18">
        <v>60</v>
      </c>
      <c r="EA18">
        <v>0</v>
      </c>
      <c r="EB18">
        <v>0</v>
      </c>
      <c r="EC18">
        <v>0</v>
      </c>
      <c r="ED18">
        <v>20</v>
      </c>
      <c r="EE18">
        <v>0</v>
      </c>
      <c r="EG18">
        <v>20</v>
      </c>
      <c r="EH18">
        <v>60</v>
      </c>
      <c r="EI18">
        <v>0</v>
      </c>
      <c r="EJ18">
        <v>0</v>
      </c>
      <c r="EK18">
        <v>0</v>
      </c>
      <c r="EL18">
        <v>20</v>
      </c>
      <c r="EM18">
        <v>0</v>
      </c>
      <c r="EO18" s="1" t="s">
        <v>123</v>
      </c>
      <c r="FO18" s="1" t="s">
        <v>123</v>
      </c>
      <c r="GW18" t="s">
        <v>2033</v>
      </c>
      <c r="GX18" t="s">
        <v>1229</v>
      </c>
      <c r="GY18" t="s">
        <v>1229</v>
      </c>
      <c r="GZ18" t="s">
        <v>186</v>
      </c>
      <c r="HA18">
        <v>1961</v>
      </c>
      <c r="HB18" t="s">
        <v>141</v>
      </c>
    </row>
    <row r="19" spans="1:214" hidden="1" x14ac:dyDescent="0.45">
      <c r="A19">
        <v>70</v>
      </c>
      <c r="B19">
        <f>_xlfn.IFNA(VLOOKUP(AnalizaCzyste[[#This Row],[Zakończono wypełnianie]],Zakończone[],2,0),"BRAK")</f>
        <v>39</v>
      </c>
      <c r="C19">
        <f>COUNTA(O19:HF19)</f>
        <v>54</v>
      </c>
      <c r="D19" t="s">
        <v>714</v>
      </c>
      <c r="E19" t="s">
        <v>118</v>
      </c>
      <c r="J19" t="s">
        <v>119</v>
      </c>
      <c r="K19" t="s">
        <v>715</v>
      </c>
      <c r="L19" t="s">
        <v>716</v>
      </c>
      <c r="M19">
        <v>1868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>
        <v>2008</v>
      </c>
      <c r="AI19" t="s">
        <v>126</v>
      </c>
      <c r="AJ19" t="s">
        <v>717</v>
      </c>
      <c r="AK19" t="s">
        <v>162</v>
      </c>
      <c r="AL19" t="s">
        <v>151</v>
      </c>
      <c r="AM19" t="s">
        <v>162</v>
      </c>
      <c r="AN19" t="s">
        <v>236</v>
      </c>
      <c r="AO19" t="s">
        <v>236</v>
      </c>
      <c r="AP19" t="s">
        <v>718</v>
      </c>
      <c r="AQ19" t="s">
        <v>131</v>
      </c>
      <c r="AR19" t="s">
        <v>302</v>
      </c>
      <c r="AS19" t="s">
        <v>719</v>
      </c>
      <c r="AT19" t="s">
        <v>720</v>
      </c>
      <c r="AU19" t="s">
        <v>721</v>
      </c>
      <c r="AV19" t="s">
        <v>172</v>
      </c>
      <c r="AX19" s="1" t="s">
        <v>123</v>
      </c>
      <c r="CR19" s="1" t="s">
        <v>123</v>
      </c>
      <c r="DB19" s="1" t="s">
        <v>214</v>
      </c>
      <c r="DC19" t="s">
        <v>2275</v>
      </c>
      <c r="DD19" t="s">
        <v>2276</v>
      </c>
      <c r="DE19" t="s">
        <v>150</v>
      </c>
      <c r="DF19" t="s">
        <v>162</v>
      </c>
      <c r="DG19" t="s">
        <v>151</v>
      </c>
      <c r="DH19" t="s">
        <v>162</v>
      </c>
      <c r="DI19" t="s">
        <v>128</v>
      </c>
      <c r="DJ19" t="s">
        <v>128</v>
      </c>
      <c r="DK19" t="s">
        <v>724</v>
      </c>
      <c r="DL19" s="1" t="s">
        <v>123</v>
      </c>
      <c r="EO19" s="1" t="s">
        <v>177</v>
      </c>
      <c r="EP19" t="s">
        <v>180</v>
      </c>
      <c r="EQ19">
        <v>1</v>
      </c>
      <c r="ER19" t="s">
        <v>722</v>
      </c>
      <c r="ES19" t="s">
        <v>162</v>
      </c>
      <c r="ET19" t="s">
        <v>150</v>
      </c>
      <c r="EU19" t="s">
        <v>236</v>
      </c>
      <c r="EV19" t="s">
        <v>178</v>
      </c>
      <c r="EW19" t="s">
        <v>725</v>
      </c>
      <c r="EX19" t="s">
        <v>726</v>
      </c>
      <c r="EY19" t="s">
        <v>173</v>
      </c>
      <c r="FO19" s="1" t="s">
        <v>123</v>
      </c>
      <c r="FP19" t="s">
        <v>132</v>
      </c>
      <c r="FR19" t="s">
        <v>132</v>
      </c>
      <c r="GW19" t="s">
        <v>727</v>
      </c>
      <c r="GX19" t="s">
        <v>728</v>
      </c>
      <c r="GY19" t="s">
        <v>729</v>
      </c>
      <c r="GZ19" t="s">
        <v>186</v>
      </c>
      <c r="HA19">
        <v>1983</v>
      </c>
      <c r="HB19" t="s">
        <v>141</v>
      </c>
      <c r="HD19" t="s">
        <v>730</v>
      </c>
      <c r="HF19" t="s">
        <v>731</v>
      </c>
    </row>
    <row r="20" spans="1:214" hidden="1" x14ac:dyDescent="0.45">
      <c r="A20">
        <v>196</v>
      </c>
      <c r="B20">
        <f>_xlfn.IFNA(VLOOKUP(AnalizaCzyste[[#This Row],[Zakończono wypełnianie]],Zakończone[],2,0),"BRAK")</f>
        <v>112</v>
      </c>
      <c r="C20">
        <f>COUNTA(O20:HF20)</f>
        <v>54</v>
      </c>
      <c r="D20" t="s">
        <v>1659</v>
      </c>
      <c r="E20" t="s">
        <v>118</v>
      </c>
      <c r="J20" t="s">
        <v>119</v>
      </c>
      <c r="K20" t="s">
        <v>1660</v>
      </c>
      <c r="L20" t="s">
        <v>1661</v>
      </c>
      <c r="M20">
        <v>614</v>
      </c>
      <c r="N20">
        <v>0</v>
      </c>
      <c r="O20" t="s">
        <v>122</v>
      </c>
      <c r="P20" s="1" t="s">
        <v>123</v>
      </c>
      <c r="AF20" s="1" t="s">
        <v>124</v>
      </c>
      <c r="AG20" t="s">
        <v>191</v>
      </c>
      <c r="AH20">
        <v>1991</v>
      </c>
      <c r="AI20" t="s">
        <v>126</v>
      </c>
      <c r="AJ20" t="s">
        <v>1662</v>
      </c>
      <c r="AK20" t="s">
        <v>150</v>
      </c>
      <c r="AL20" t="s">
        <v>150</v>
      </c>
      <c r="AM20" t="s">
        <v>150</v>
      </c>
      <c r="AN20" t="s">
        <v>132</v>
      </c>
      <c r="AO20" t="s">
        <v>132</v>
      </c>
      <c r="AP20" t="s">
        <v>718</v>
      </c>
      <c r="AQ20" t="s">
        <v>132</v>
      </c>
      <c r="AR20" t="s">
        <v>132</v>
      </c>
      <c r="AS20" t="s">
        <v>1663</v>
      </c>
      <c r="AT20" t="s">
        <v>1664</v>
      </c>
      <c r="AU20" t="s">
        <v>1665</v>
      </c>
      <c r="AV20" t="s">
        <v>172</v>
      </c>
      <c r="AX20" s="1" t="s">
        <v>159</v>
      </c>
      <c r="AY20">
        <v>1</v>
      </c>
      <c r="AZ20" t="s">
        <v>191</v>
      </c>
      <c r="BA20">
        <v>2018</v>
      </c>
      <c r="BB20" t="s">
        <v>126</v>
      </c>
      <c r="BC20" t="s">
        <v>1666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>
        <v>1</v>
      </c>
      <c r="BK20" t="s">
        <v>172</v>
      </c>
      <c r="BN20" t="s">
        <v>173</v>
      </c>
      <c r="CR20" s="1" t="s">
        <v>123</v>
      </c>
      <c r="DB20" s="1" t="s">
        <v>123</v>
      </c>
      <c r="DL20" s="1" t="s">
        <v>123</v>
      </c>
      <c r="EO20" s="1" t="s">
        <v>177</v>
      </c>
      <c r="EP20" t="s">
        <v>178</v>
      </c>
      <c r="EQ20">
        <v>1</v>
      </c>
      <c r="ER20" t="s">
        <v>191</v>
      </c>
      <c r="ES20" t="s">
        <v>169</v>
      </c>
      <c r="ET20" t="s">
        <v>169</v>
      </c>
      <c r="EU20" t="s">
        <v>151</v>
      </c>
      <c r="EV20" t="s">
        <v>178</v>
      </c>
      <c r="EW20" t="s">
        <v>1667</v>
      </c>
      <c r="EX20" t="s">
        <v>1668</v>
      </c>
      <c r="EY20" t="s">
        <v>173</v>
      </c>
      <c r="FO20" s="1" t="s">
        <v>123</v>
      </c>
      <c r="GW20" t="s">
        <v>1669</v>
      </c>
      <c r="GX20" t="s">
        <v>1670</v>
      </c>
      <c r="GY20" t="s">
        <v>1671</v>
      </c>
      <c r="GZ20" t="s">
        <v>186</v>
      </c>
      <c r="HA20">
        <v>1966</v>
      </c>
      <c r="HB20" t="s">
        <v>141</v>
      </c>
    </row>
    <row r="21" spans="1:214" hidden="1" x14ac:dyDescent="0.45">
      <c r="A21">
        <v>76</v>
      </c>
      <c r="B21">
        <f>_xlfn.IFNA(VLOOKUP(AnalizaCzyste[[#This Row],[Zakończono wypełnianie]],Zakończone[],2,0),"BRAK")</f>
        <v>42</v>
      </c>
      <c r="C21">
        <f>COUNTA(O21:HF21)</f>
        <v>53</v>
      </c>
      <c r="D21" t="s">
        <v>773</v>
      </c>
      <c r="E21" t="s">
        <v>118</v>
      </c>
      <c r="F21" t="s">
        <v>774</v>
      </c>
      <c r="J21" t="s">
        <v>119</v>
      </c>
      <c r="K21" t="s">
        <v>775</v>
      </c>
      <c r="L21" t="s">
        <v>776</v>
      </c>
      <c r="M21">
        <v>1636</v>
      </c>
      <c r="N21">
        <v>0</v>
      </c>
      <c r="O21" t="s">
        <v>122</v>
      </c>
      <c r="P21" s="1" t="s">
        <v>123</v>
      </c>
      <c r="AF21" s="1" t="s">
        <v>124</v>
      </c>
      <c r="AG21" t="s">
        <v>1461</v>
      </c>
      <c r="AH21">
        <v>2013</v>
      </c>
      <c r="AI21" t="s">
        <v>148</v>
      </c>
      <c r="AJ21" t="s">
        <v>429</v>
      </c>
      <c r="AK21" t="s">
        <v>128</v>
      </c>
      <c r="AL21" t="s">
        <v>151</v>
      </c>
      <c r="AM21" t="s">
        <v>162</v>
      </c>
      <c r="AN21" t="s">
        <v>129</v>
      </c>
      <c r="AO21" t="s">
        <v>236</v>
      </c>
      <c r="AP21">
        <v>0</v>
      </c>
      <c r="AQ21" t="s">
        <v>131</v>
      </c>
      <c r="AR21" t="s">
        <v>131</v>
      </c>
      <c r="AS21" t="s">
        <v>778</v>
      </c>
      <c r="AT21" t="s">
        <v>779</v>
      </c>
      <c r="AU21" t="s">
        <v>780</v>
      </c>
      <c r="AV21" t="s">
        <v>157</v>
      </c>
      <c r="AX21" s="1" t="s">
        <v>123</v>
      </c>
      <c r="CR21" s="1" t="s">
        <v>123</v>
      </c>
      <c r="DB21" s="1" t="s">
        <v>214</v>
      </c>
      <c r="DC21" t="s">
        <v>1461</v>
      </c>
      <c r="DD21" t="s">
        <v>781</v>
      </c>
      <c r="DE21" t="s">
        <v>129</v>
      </c>
      <c r="DF21" t="s">
        <v>150</v>
      </c>
      <c r="DG21" t="s">
        <v>129</v>
      </c>
      <c r="DH21" t="s">
        <v>236</v>
      </c>
      <c r="DI21" t="s">
        <v>151</v>
      </c>
      <c r="DJ21" t="s">
        <v>151</v>
      </c>
      <c r="DK21" t="s">
        <v>782</v>
      </c>
      <c r="DL21" s="1" t="s">
        <v>123</v>
      </c>
      <c r="EO21" s="1" t="s">
        <v>177</v>
      </c>
      <c r="EP21" t="s">
        <v>180</v>
      </c>
      <c r="EQ21">
        <v>1</v>
      </c>
      <c r="ER21" t="s">
        <v>783</v>
      </c>
      <c r="ES21" t="s">
        <v>150</v>
      </c>
      <c r="ET21" t="s">
        <v>150</v>
      </c>
      <c r="EU21" t="s">
        <v>236</v>
      </c>
      <c r="EV21" t="s">
        <v>178</v>
      </c>
      <c r="EW21" t="s">
        <v>784</v>
      </c>
      <c r="EX21" t="s">
        <v>785</v>
      </c>
      <c r="EY21" t="s">
        <v>173</v>
      </c>
      <c r="FO21" s="1" t="s">
        <v>123</v>
      </c>
      <c r="FP21" t="s">
        <v>132</v>
      </c>
      <c r="GW21" t="s">
        <v>786</v>
      </c>
      <c r="GX21" t="s">
        <v>787</v>
      </c>
      <c r="GY21" t="s">
        <v>788</v>
      </c>
      <c r="GZ21" t="s">
        <v>140</v>
      </c>
      <c r="HA21">
        <v>1988</v>
      </c>
      <c r="HB21" t="s">
        <v>246</v>
      </c>
      <c r="HD21" t="s">
        <v>789</v>
      </c>
      <c r="HF21" t="s">
        <v>790</v>
      </c>
    </row>
    <row r="22" spans="1:214" x14ac:dyDescent="0.45">
      <c r="A22">
        <v>75</v>
      </c>
      <c r="B22">
        <f>_xlfn.IFNA(VLOOKUP(AnalizaCzyste[[#This Row],[Zakończono wypełnianie]],Zakończone[],2,0),"BRAK")</f>
        <v>41</v>
      </c>
      <c r="C22">
        <f>COUNTA(O22:HF22)</f>
        <v>51</v>
      </c>
      <c r="D22" t="s">
        <v>754</v>
      </c>
      <c r="E22" t="s">
        <v>118</v>
      </c>
      <c r="F22" t="s">
        <v>755</v>
      </c>
      <c r="J22" t="s">
        <v>119</v>
      </c>
      <c r="K22" t="s">
        <v>756</v>
      </c>
      <c r="L22" t="s">
        <v>757</v>
      </c>
      <c r="M22">
        <v>487</v>
      </c>
      <c r="N22">
        <v>0</v>
      </c>
      <c r="O22" t="s">
        <v>122</v>
      </c>
      <c r="P22" s="1" t="s">
        <v>416</v>
      </c>
      <c r="Q22" t="s">
        <v>147</v>
      </c>
      <c r="R22" t="s">
        <v>148</v>
      </c>
      <c r="S22" t="s">
        <v>758</v>
      </c>
      <c r="T22" t="s">
        <v>236</v>
      </c>
      <c r="U22" t="s">
        <v>129</v>
      </c>
      <c r="V22" t="s">
        <v>236</v>
      </c>
      <c r="W22" t="s">
        <v>718</v>
      </c>
      <c r="X22" t="s">
        <v>759</v>
      </c>
      <c r="Y22" t="s">
        <v>194</v>
      </c>
      <c r="Z22" t="s">
        <v>760</v>
      </c>
      <c r="AA22" t="s">
        <v>761</v>
      </c>
      <c r="AB22" t="s">
        <v>762</v>
      </c>
      <c r="AC22" t="s">
        <v>157</v>
      </c>
      <c r="AE22">
        <v>2</v>
      </c>
      <c r="AF22" s="1" t="s">
        <v>124</v>
      </c>
      <c r="AG22" t="s">
        <v>223</v>
      </c>
      <c r="AH22">
        <v>2012</v>
      </c>
      <c r="AI22" t="s">
        <v>148</v>
      </c>
      <c r="AJ22" t="s">
        <v>764</v>
      </c>
      <c r="AK22" t="s">
        <v>236</v>
      </c>
      <c r="AL22" t="s">
        <v>236</v>
      </c>
      <c r="AM22" t="s">
        <v>236</v>
      </c>
      <c r="AN22" t="s">
        <v>129</v>
      </c>
      <c r="AO22" t="s">
        <v>236</v>
      </c>
      <c r="AP22" t="s">
        <v>237</v>
      </c>
      <c r="AQ22" t="s">
        <v>302</v>
      </c>
      <c r="AR22" t="s">
        <v>153</v>
      </c>
      <c r="AS22" t="s">
        <v>765</v>
      </c>
      <c r="AT22" t="s">
        <v>766</v>
      </c>
      <c r="AU22" t="s">
        <v>767</v>
      </c>
      <c r="AV22" t="s">
        <v>230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768</v>
      </c>
      <c r="GX22" t="s">
        <v>769</v>
      </c>
      <c r="GY22" t="s">
        <v>770</v>
      </c>
      <c r="GZ22" t="s">
        <v>186</v>
      </c>
      <c r="HA22">
        <v>1990</v>
      </c>
      <c r="HB22" t="s">
        <v>141</v>
      </c>
      <c r="HD22" t="s">
        <v>771</v>
      </c>
      <c r="HE22" t="s">
        <v>772</v>
      </c>
    </row>
    <row r="23" spans="1:214" x14ac:dyDescent="0.45">
      <c r="A23">
        <v>84</v>
      </c>
      <c r="B23">
        <f>_xlfn.IFNA(VLOOKUP(AnalizaCzyste[[#This Row],[Zakończono wypełnianie]],Zakończone[],2,0),"BRAK")</f>
        <v>49</v>
      </c>
      <c r="C23">
        <f>COUNTA(O23:HF23)</f>
        <v>49</v>
      </c>
      <c r="D23" t="s">
        <v>854</v>
      </c>
      <c r="E23" t="s">
        <v>118</v>
      </c>
      <c r="J23" t="s">
        <v>119</v>
      </c>
      <c r="K23" t="s">
        <v>855</v>
      </c>
      <c r="L23" t="s">
        <v>856</v>
      </c>
      <c r="M23">
        <v>1349</v>
      </c>
      <c r="N23">
        <v>0</v>
      </c>
      <c r="O23" t="s">
        <v>122</v>
      </c>
      <c r="P23" s="1" t="s">
        <v>416</v>
      </c>
      <c r="Q23" t="s">
        <v>179</v>
      </c>
      <c r="R23" t="s">
        <v>148</v>
      </c>
      <c r="S23" t="s">
        <v>857</v>
      </c>
      <c r="T23" t="s">
        <v>162</v>
      </c>
      <c r="U23" t="s">
        <v>162</v>
      </c>
      <c r="V23" t="s">
        <v>151</v>
      </c>
      <c r="W23" t="s">
        <v>718</v>
      </c>
      <c r="X23" t="s">
        <v>152</v>
      </c>
      <c r="Y23" t="s">
        <v>759</v>
      </c>
      <c r="Z23" t="s">
        <v>858</v>
      </c>
      <c r="AA23" t="s">
        <v>859</v>
      </c>
      <c r="AB23" t="s">
        <v>860</v>
      </c>
      <c r="AD23" t="s">
        <v>861</v>
      </c>
      <c r="AE23">
        <v>2</v>
      </c>
      <c r="AF23" s="1" t="s">
        <v>124</v>
      </c>
      <c r="AG23" t="s">
        <v>862</v>
      </c>
      <c r="AH23">
        <v>2019</v>
      </c>
      <c r="AI23" t="s">
        <v>148</v>
      </c>
      <c r="AJ23" t="s">
        <v>863</v>
      </c>
      <c r="AK23" t="s">
        <v>150</v>
      </c>
      <c r="AL23" t="s">
        <v>150</v>
      </c>
      <c r="AM23" t="s">
        <v>169</v>
      </c>
      <c r="AN23" t="s">
        <v>151</v>
      </c>
      <c r="AO23" t="s">
        <v>150</v>
      </c>
      <c r="AP23" t="s">
        <v>864</v>
      </c>
      <c r="AQ23" t="s">
        <v>302</v>
      </c>
      <c r="AR23" t="s">
        <v>759</v>
      </c>
      <c r="AS23" t="s">
        <v>865</v>
      </c>
      <c r="AT23" t="s">
        <v>866</v>
      </c>
      <c r="AU23" t="s">
        <v>867</v>
      </c>
      <c r="AV23" t="s">
        <v>157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868</v>
      </c>
      <c r="GX23" t="s">
        <v>869</v>
      </c>
      <c r="GY23" t="s">
        <v>870</v>
      </c>
      <c r="GZ23" t="s">
        <v>186</v>
      </c>
      <c r="HA23">
        <v>1991</v>
      </c>
      <c r="HB23" t="s">
        <v>220</v>
      </c>
      <c r="HC23" t="s">
        <v>871</v>
      </c>
      <c r="HD23" t="s">
        <v>872</v>
      </c>
      <c r="HE23" t="s">
        <v>386</v>
      </c>
    </row>
    <row r="24" spans="1:214" x14ac:dyDescent="0.45">
      <c r="A24">
        <v>139</v>
      </c>
      <c r="B24">
        <f>_xlfn.IFNA(VLOOKUP(AnalizaCzyste[[#This Row],[Zakończono wypełnianie]],Zakończone[],2,0),"BRAK")</f>
        <v>84</v>
      </c>
      <c r="C24">
        <f>COUNTA(O24:HF24)</f>
        <v>47</v>
      </c>
      <c r="D24" t="s">
        <v>1302</v>
      </c>
      <c r="E24" t="s">
        <v>118</v>
      </c>
      <c r="J24" t="s">
        <v>119</v>
      </c>
      <c r="K24" t="s">
        <v>1303</v>
      </c>
      <c r="L24" t="s">
        <v>1304</v>
      </c>
      <c r="M24">
        <v>558</v>
      </c>
      <c r="N24">
        <v>0</v>
      </c>
      <c r="O24" t="s">
        <v>122</v>
      </c>
      <c r="P24" s="1" t="s">
        <v>416</v>
      </c>
      <c r="Q24" t="s">
        <v>191</v>
      </c>
      <c r="R24" t="s">
        <v>126</v>
      </c>
      <c r="S24" t="s">
        <v>1305</v>
      </c>
      <c r="T24" t="s">
        <v>162</v>
      </c>
      <c r="U24" t="s">
        <v>128</v>
      </c>
      <c r="V24" t="s">
        <v>150</v>
      </c>
      <c r="W24" t="s">
        <v>1306</v>
      </c>
      <c r="X24" t="s">
        <v>153</v>
      </c>
      <c r="Y24" t="s">
        <v>759</v>
      </c>
      <c r="Z24" t="s">
        <v>1307</v>
      </c>
      <c r="AA24" t="s">
        <v>1308</v>
      </c>
      <c r="AB24" t="s">
        <v>1309</v>
      </c>
      <c r="AC24" t="s">
        <v>230</v>
      </c>
      <c r="AE24">
        <v>2</v>
      </c>
      <c r="AF24" s="1" t="s">
        <v>124</v>
      </c>
      <c r="AG24" t="s">
        <v>191</v>
      </c>
      <c r="AH24">
        <v>2015</v>
      </c>
      <c r="AI24" t="s">
        <v>126</v>
      </c>
      <c r="AJ24" t="s">
        <v>1312</v>
      </c>
      <c r="AK24" t="s">
        <v>162</v>
      </c>
      <c r="AL24" t="s">
        <v>128</v>
      </c>
      <c r="AM24" t="s">
        <v>162</v>
      </c>
      <c r="AN24" t="s">
        <v>162</v>
      </c>
      <c r="AO24" t="s">
        <v>162</v>
      </c>
      <c r="AP24" t="s">
        <v>237</v>
      </c>
      <c r="AQ24" t="s">
        <v>302</v>
      </c>
      <c r="AR24" t="s">
        <v>153</v>
      </c>
      <c r="AS24" t="s">
        <v>1313</v>
      </c>
      <c r="AT24" t="s">
        <v>1314</v>
      </c>
      <c r="AU24" t="s">
        <v>1315</v>
      </c>
      <c r="AV24" t="s">
        <v>172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FO24" s="1" t="s">
        <v>123</v>
      </c>
      <c r="GW24" t="s">
        <v>1316</v>
      </c>
      <c r="GX24" t="s">
        <v>1317</v>
      </c>
      <c r="GY24" t="s">
        <v>1318</v>
      </c>
      <c r="GZ24" t="s">
        <v>186</v>
      </c>
      <c r="HA24">
        <v>1992</v>
      </c>
      <c r="HB24" t="s">
        <v>398</v>
      </c>
      <c r="HD24" t="s">
        <v>1319</v>
      </c>
      <c r="HE24" t="s">
        <v>1320</v>
      </c>
    </row>
    <row r="25" spans="1:214" hidden="1" x14ac:dyDescent="0.45">
      <c r="A25">
        <v>30</v>
      </c>
      <c r="B25">
        <f>_xlfn.IFNA(VLOOKUP(AnalizaCzyste[[#This Row],[Zakończono wypełnianie]],Zakończone[],2,0),"BRAK")</f>
        <v>21</v>
      </c>
      <c r="C25">
        <f>COUNTA(O25:HF25)</f>
        <v>46</v>
      </c>
      <c r="D25" t="s">
        <v>442</v>
      </c>
      <c r="E25" t="s">
        <v>118</v>
      </c>
      <c r="J25" t="s">
        <v>119</v>
      </c>
      <c r="K25" t="s">
        <v>443</v>
      </c>
      <c r="L25" t="s">
        <v>444</v>
      </c>
      <c r="M25">
        <v>6812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446</v>
      </c>
      <c r="AK25" t="s">
        <v>150</v>
      </c>
      <c r="AL25" t="s">
        <v>150</v>
      </c>
      <c r="AM25" t="s">
        <v>169</v>
      </c>
      <c r="AN25" t="s">
        <v>169</v>
      </c>
      <c r="AO25" t="s">
        <v>132</v>
      </c>
      <c r="AP25" t="s">
        <v>237</v>
      </c>
      <c r="AQ25" t="s">
        <v>226</v>
      </c>
      <c r="AR25" t="s">
        <v>132</v>
      </c>
      <c r="AS25" t="s">
        <v>447</v>
      </c>
      <c r="AT25" t="s">
        <v>448</v>
      </c>
      <c r="AU25" t="s">
        <v>449</v>
      </c>
      <c r="AV25" t="s">
        <v>157</v>
      </c>
      <c r="AX25" s="1" t="s">
        <v>123</v>
      </c>
      <c r="CR25" s="1" t="s">
        <v>387</v>
      </c>
      <c r="CS25" t="s">
        <v>445</v>
      </c>
      <c r="CT25" t="s">
        <v>450</v>
      </c>
      <c r="CU25" t="s">
        <v>169</v>
      </c>
      <c r="CV25" t="s">
        <v>169</v>
      </c>
      <c r="CW25" t="s">
        <v>169</v>
      </c>
      <c r="CX25" t="s">
        <v>150</v>
      </c>
      <c r="CY25" t="s">
        <v>150</v>
      </c>
      <c r="CZ25" t="s">
        <v>150</v>
      </c>
      <c r="DA25" t="s">
        <v>451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452</v>
      </c>
      <c r="GX25" t="s">
        <v>453</v>
      </c>
      <c r="GY25" t="s">
        <v>454</v>
      </c>
      <c r="GZ25" t="s">
        <v>140</v>
      </c>
      <c r="HA25">
        <v>1994</v>
      </c>
      <c r="HB25" t="s">
        <v>220</v>
      </c>
      <c r="HD25" t="s">
        <v>455</v>
      </c>
      <c r="HE25" t="s">
        <v>456</v>
      </c>
    </row>
    <row r="26" spans="1:214" hidden="1" x14ac:dyDescent="0.45">
      <c r="A26">
        <v>74</v>
      </c>
      <c r="B26">
        <f>_xlfn.IFNA(VLOOKUP(AnalizaCzyste[[#This Row],[Zakończono wypełnianie]],Zakończone[],2,0),"BRAK")</f>
        <v>40</v>
      </c>
      <c r="C26">
        <f>COUNTA(O26:HF26)</f>
        <v>46</v>
      </c>
      <c r="D26" t="s">
        <v>739</v>
      </c>
      <c r="E26" t="s">
        <v>118</v>
      </c>
      <c r="J26" t="s">
        <v>119</v>
      </c>
      <c r="K26" t="s">
        <v>740</v>
      </c>
      <c r="L26" t="s">
        <v>741</v>
      </c>
      <c r="M26">
        <v>341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>
        <v>2007</v>
      </c>
      <c r="AI26" t="s">
        <v>148</v>
      </c>
      <c r="AJ26" t="s">
        <v>743</v>
      </c>
      <c r="AK26" t="s">
        <v>236</v>
      </c>
      <c r="AL26" t="s">
        <v>129</v>
      </c>
      <c r="AM26" t="s">
        <v>128</v>
      </c>
      <c r="AN26" t="s">
        <v>162</v>
      </c>
      <c r="AO26" t="s">
        <v>150</v>
      </c>
      <c r="AP26" t="s">
        <v>237</v>
      </c>
      <c r="AQ26" t="s">
        <v>302</v>
      </c>
      <c r="AR26" t="s">
        <v>153</v>
      </c>
      <c r="AS26" t="s">
        <v>744</v>
      </c>
      <c r="AT26" t="s">
        <v>745</v>
      </c>
      <c r="AU26" t="s">
        <v>746</v>
      </c>
      <c r="AV26" t="s">
        <v>172</v>
      </c>
      <c r="AX26" s="1" t="s">
        <v>123</v>
      </c>
      <c r="CR26" s="1" t="s">
        <v>387</v>
      </c>
      <c r="CS26" t="s">
        <v>191</v>
      </c>
      <c r="CT26" t="s">
        <v>748</v>
      </c>
      <c r="CU26" t="s">
        <v>150</v>
      </c>
      <c r="CV26" t="s">
        <v>150</v>
      </c>
      <c r="CW26" t="s">
        <v>169</v>
      </c>
      <c r="CX26" t="s">
        <v>169</v>
      </c>
      <c r="CY26" t="s">
        <v>150</v>
      </c>
      <c r="CZ26" t="s">
        <v>150</v>
      </c>
      <c r="DA26" t="s">
        <v>749</v>
      </c>
      <c r="DB26" s="1" t="s">
        <v>123</v>
      </c>
      <c r="DL26" s="1" t="s">
        <v>123</v>
      </c>
      <c r="EO26" s="1" t="s">
        <v>123</v>
      </c>
      <c r="EP26" t="s">
        <v>178</v>
      </c>
      <c r="EQ26" t="s">
        <v>132</v>
      </c>
      <c r="FO26" s="1" t="s">
        <v>123</v>
      </c>
      <c r="FP26" t="s">
        <v>132</v>
      </c>
      <c r="FR26" t="s">
        <v>132</v>
      </c>
      <c r="GW26" t="s">
        <v>750</v>
      </c>
      <c r="GX26" t="s">
        <v>751</v>
      </c>
      <c r="GY26" t="s">
        <v>752</v>
      </c>
      <c r="GZ26" t="s">
        <v>186</v>
      </c>
      <c r="HA26">
        <v>1983</v>
      </c>
      <c r="HB26" t="s">
        <v>398</v>
      </c>
      <c r="HD26" t="s">
        <v>753</v>
      </c>
      <c r="HE26" t="s">
        <v>532</v>
      </c>
    </row>
    <row r="27" spans="1:214" hidden="1" x14ac:dyDescent="0.45">
      <c r="A27">
        <v>88</v>
      </c>
      <c r="B27">
        <f>_xlfn.IFNA(VLOOKUP(AnalizaCzyste[[#This Row],[Zakończono wypełnianie]],Zakończone[],2,0),"BRAK")</f>
        <v>53</v>
      </c>
      <c r="C27">
        <f>COUNTA(O27:HF27)</f>
        <v>46</v>
      </c>
      <c r="D27" t="s">
        <v>873</v>
      </c>
      <c r="E27" t="s">
        <v>118</v>
      </c>
      <c r="F27" t="s">
        <v>797</v>
      </c>
      <c r="J27" t="s">
        <v>119</v>
      </c>
      <c r="K27" t="s">
        <v>895</v>
      </c>
      <c r="L27" t="s">
        <v>896</v>
      </c>
      <c r="M27">
        <v>1418</v>
      </c>
      <c r="N27">
        <v>0</v>
      </c>
      <c r="O27" t="s">
        <v>122</v>
      </c>
      <c r="P27" s="1" t="s">
        <v>123</v>
      </c>
      <c r="AF27" s="1" t="s">
        <v>124</v>
      </c>
      <c r="AG27" t="s">
        <v>191</v>
      </c>
      <c r="AH27">
        <v>1975</v>
      </c>
      <c r="AI27" t="s">
        <v>126</v>
      </c>
      <c r="AJ27" t="s">
        <v>897</v>
      </c>
      <c r="AK27" t="s">
        <v>150</v>
      </c>
      <c r="AL27" t="s">
        <v>162</v>
      </c>
      <c r="AM27" t="s">
        <v>150</v>
      </c>
      <c r="AN27" t="s">
        <v>162</v>
      </c>
      <c r="AO27" t="s">
        <v>162</v>
      </c>
      <c r="AP27" t="s">
        <v>898</v>
      </c>
      <c r="AQ27" t="s">
        <v>153</v>
      </c>
      <c r="AR27" t="s">
        <v>153</v>
      </c>
      <c r="AT27" t="s">
        <v>532</v>
      </c>
      <c r="AU27" t="s">
        <v>532</v>
      </c>
      <c r="AV27" t="s">
        <v>157</v>
      </c>
      <c r="AX27" s="1" t="s">
        <v>159</v>
      </c>
      <c r="AY27">
        <v>1</v>
      </c>
      <c r="AZ27" t="s">
        <v>191</v>
      </c>
      <c r="BA27">
        <v>2011</v>
      </c>
      <c r="BB27" t="s">
        <v>126</v>
      </c>
      <c r="BC27" t="s">
        <v>127</v>
      </c>
      <c r="BD27" t="s">
        <v>162</v>
      </c>
      <c r="BE27" t="s">
        <v>150</v>
      </c>
      <c r="BF27" t="s">
        <v>236</v>
      </c>
      <c r="BG27" t="s">
        <v>132</v>
      </c>
      <c r="BH27" t="s">
        <v>132</v>
      </c>
      <c r="BI27" t="s">
        <v>900</v>
      </c>
      <c r="BJ27" t="s">
        <v>901</v>
      </c>
      <c r="BK27" t="s">
        <v>157</v>
      </c>
      <c r="BL27" t="s">
        <v>878</v>
      </c>
      <c r="BN27" t="s">
        <v>173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532</v>
      </c>
      <c r="GX27" t="s">
        <v>532</v>
      </c>
      <c r="GY27" t="s">
        <v>532</v>
      </c>
      <c r="GZ27" t="s">
        <v>140</v>
      </c>
      <c r="HA27">
        <v>1950</v>
      </c>
      <c r="HB27" t="s">
        <v>141</v>
      </c>
    </row>
    <row r="28" spans="1:214" hidden="1" x14ac:dyDescent="0.45">
      <c r="A28">
        <v>93</v>
      </c>
      <c r="B28">
        <f>_xlfn.IFNA(VLOOKUP(AnalizaCzyste[[#This Row],[Zakończono wypełnianie]],Zakończone[],2,0),"BRAK")</f>
        <v>56</v>
      </c>
      <c r="C28">
        <f>COUNTA(O28:HF28)</f>
        <v>46</v>
      </c>
      <c r="D28" t="s">
        <v>938</v>
      </c>
      <c r="E28" t="s">
        <v>118</v>
      </c>
      <c r="J28" t="s">
        <v>119</v>
      </c>
      <c r="K28" t="s">
        <v>939</v>
      </c>
      <c r="L28" t="s">
        <v>940</v>
      </c>
      <c r="M28">
        <v>451</v>
      </c>
      <c r="N28">
        <v>0</v>
      </c>
      <c r="O28" t="s">
        <v>122</v>
      </c>
      <c r="P28" s="1" t="s">
        <v>123</v>
      </c>
      <c r="AF28" s="1" t="s">
        <v>124</v>
      </c>
      <c r="AG28" t="s">
        <v>223</v>
      </c>
      <c r="AH28">
        <v>2004</v>
      </c>
      <c r="AI28" t="s">
        <v>148</v>
      </c>
      <c r="AJ28" t="s">
        <v>942</v>
      </c>
      <c r="AK28" t="s">
        <v>150</v>
      </c>
      <c r="AL28" t="s">
        <v>150</v>
      </c>
      <c r="AM28" t="s">
        <v>150</v>
      </c>
      <c r="AN28" t="s">
        <v>150</v>
      </c>
      <c r="AO28" t="s">
        <v>169</v>
      </c>
      <c r="AP28" t="s">
        <v>237</v>
      </c>
      <c r="AQ28" t="s">
        <v>302</v>
      </c>
      <c r="AR28" t="s">
        <v>943</v>
      </c>
      <c r="AS28" t="s">
        <v>944</v>
      </c>
      <c r="AT28" t="s">
        <v>945</v>
      </c>
      <c r="AU28" t="s">
        <v>946</v>
      </c>
      <c r="AV28" t="s">
        <v>157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177</v>
      </c>
      <c r="EP28" t="s">
        <v>178</v>
      </c>
      <c r="EQ28">
        <v>1</v>
      </c>
      <c r="ER28" t="s">
        <v>747</v>
      </c>
      <c r="ES28" t="s">
        <v>169</v>
      </c>
      <c r="ET28" t="s">
        <v>169</v>
      </c>
      <c r="EU28" t="s">
        <v>169</v>
      </c>
      <c r="EV28" t="s">
        <v>178</v>
      </c>
      <c r="EW28" t="s">
        <v>947</v>
      </c>
      <c r="EX28" t="s">
        <v>948</v>
      </c>
      <c r="EY28" t="s">
        <v>173</v>
      </c>
      <c r="FO28" s="1" t="s">
        <v>123</v>
      </c>
      <c r="FP28" t="s">
        <v>132</v>
      </c>
      <c r="FR28" t="s">
        <v>132</v>
      </c>
      <c r="GW28" t="s">
        <v>949</v>
      </c>
      <c r="GX28" t="s">
        <v>950</v>
      </c>
      <c r="GY28" t="s">
        <v>951</v>
      </c>
      <c r="GZ28" t="s">
        <v>186</v>
      </c>
      <c r="HA28">
        <v>1984</v>
      </c>
      <c r="HB28" t="s">
        <v>141</v>
      </c>
      <c r="HC28" t="s">
        <v>952</v>
      </c>
      <c r="HD28" t="s">
        <v>953</v>
      </c>
      <c r="HE28" t="s">
        <v>954</v>
      </c>
    </row>
    <row r="29" spans="1:214" hidden="1" x14ac:dyDescent="0.45">
      <c r="A29">
        <v>87</v>
      </c>
      <c r="B29">
        <f>_xlfn.IFNA(VLOOKUP(AnalizaCzyste[[#This Row],[Zakończono wypełnianie]],Zakończone[],2,0),"BRAK")</f>
        <v>52</v>
      </c>
      <c r="C29">
        <f>COUNTA(O29:HF29)</f>
        <v>45</v>
      </c>
      <c r="D29" t="s">
        <v>873</v>
      </c>
      <c r="E29" t="s">
        <v>118</v>
      </c>
      <c r="F29" t="s">
        <v>797</v>
      </c>
      <c r="J29" t="s">
        <v>119</v>
      </c>
      <c r="K29" t="s">
        <v>888</v>
      </c>
      <c r="L29" t="s">
        <v>889</v>
      </c>
      <c r="M29">
        <v>1595</v>
      </c>
      <c r="N29">
        <v>0</v>
      </c>
      <c r="O29" t="s">
        <v>122</v>
      </c>
      <c r="P29" s="1" t="s">
        <v>123</v>
      </c>
      <c r="AF29" s="1" t="s">
        <v>124</v>
      </c>
      <c r="AG29" t="s">
        <v>191</v>
      </c>
      <c r="AH29">
        <v>1975</v>
      </c>
      <c r="AI29" t="s">
        <v>126</v>
      </c>
      <c r="AJ29" t="s">
        <v>890</v>
      </c>
      <c r="AK29" t="s">
        <v>150</v>
      </c>
      <c r="AL29" t="s">
        <v>162</v>
      </c>
      <c r="AM29" t="s">
        <v>128</v>
      </c>
      <c r="AN29" t="s">
        <v>169</v>
      </c>
      <c r="AO29" t="s">
        <v>169</v>
      </c>
      <c r="AP29" t="s">
        <v>883</v>
      </c>
      <c r="AQ29" t="s">
        <v>194</v>
      </c>
      <c r="AR29" t="s">
        <v>194</v>
      </c>
      <c r="AS29" t="s">
        <v>891</v>
      </c>
      <c r="AT29" t="s">
        <v>532</v>
      </c>
      <c r="AU29" t="s">
        <v>532</v>
      </c>
      <c r="AV29" t="s">
        <v>892</v>
      </c>
      <c r="AX29" s="1" t="s">
        <v>159</v>
      </c>
      <c r="AY29">
        <v>1</v>
      </c>
      <c r="AZ29" t="s">
        <v>893</v>
      </c>
      <c r="BA29">
        <v>2002</v>
      </c>
      <c r="BB29" t="s">
        <v>126</v>
      </c>
      <c r="BC29" t="s">
        <v>801</v>
      </c>
      <c r="BD29" t="s">
        <v>150</v>
      </c>
      <c r="BE29" t="s">
        <v>150</v>
      </c>
      <c r="BF29" t="s">
        <v>150</v>
      </c>
      <c r="BG29" t="s">
        <v>236</v>
      </c>
      <c r="BH29" t="s">
        <v>128</v>
      </c>
      <c r="BI29">
        <v>3</v>
      </c>
      <c r="BK29" t="s">
        <v>157</v>
      </c>
      <c r="BN29" t="s">
        <v>173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532</v>
      </c>
      <c r="GX29" t="s">
        <v>532</v>
      </c>
      <c r="GY29" t="s">
        <v>532</v>
      </c>
      <c r="GZ29" t="s">
        <v>186</v>
      </c>
      <c r="HA29">
        <v>1950</v>
      </c>
      <c r="HB29" t="s">
        <v>141</v>
      </c>
    </row>
    <row r="30" spans="1:214" hidden="1" x14ac:dyDescent="0.45">
      <c r="A30">
        <v>4</v>
      </c>
      <c r="B30">
        <f>_xlfn.IFNA(VLOOKUP(AnalizaCzyste[[#This Row],[Zakończono wypełnianie]],Zakończone[],2,0),"BRAK")</f>
        <v>4</v>
      </c>
      <c r="C30">
        <f>COUNTA(O30:HF30)</f>
        <v>44</v>
      </c>
      <c r="D30" t="s">
        <v>202</v>
      </c>
      <c r="E30" t="s">
        <v>118</v>
      </c>
      <c r="J30" t="s">
        <v>119</v>
      </c>
      <c r="K30" t="s">
        <v>203</v>
      </c>
      <c r="L30" t="s">
        <v>204</v>
      </c>
      <c r="M30">
        <v>3161</v>
      </c>
      <c r="N30">
        <v>0</v>
      </c>
      <c r="O30" t="s">
        <v>122</v>
      </c>
      <c r="P30" s="1" t="s">
        <v>123</v>
      </c>
      <c r="AF30" s="1" t="s">
        <v>124</v>
      </c>
      <c r="AG30" t="s">
        <v>234</v>
      </c>
      <c r="AH30">
        <v>1986</v>
      </c>
      <c r="AI30" t="s">
        <v>148</v>
      </c>
      <c r="AJ30" t="s">
        <v>207</v>
      </c>
      <c r="AK30" t="s">
        <v>150</v>
      </c>
      <c r="AL30" t="s">
        <v>150</v>
      </c>
      <c r="AM30" t="s">
        <v>162</v>
      </c>
      <c r="AN30" t="s">
        <v>162</v>
      </c>
      <c r="AO30" t="s">
        <v>162</v>
      </c>
      <c r="AP30" t="s">
        <v>208</v>
      </c>
      <c r="AQ30" t="s">
        <v>209</v>
      </c>
      <c r="AR30" t="s">
        <v>209</v>
      </c>
      <c r="AS30" t="s">
        <v>210</v>
      </c>
      <c r="AT30" t="s">
        <v>211</v>
      </c>
      <c r="AU30" t="s">
        <v>212</v>
      </c>
      <c r="AV30" t="s">
        <v>157</v>
      </c>
      <c r="AW30" t="s">
        <v>213</v>
      </c>
      <c r="AX30" s="1" t="s">
        <v>123</v>
      </c>
      <c r="CR30" s="1" t="s">
        <v>123</v>
      </c>
      <c r="DB30" s="1" t="s">
        <v>214</v>
      </c>
      <c r="DC30" t="s">
        <v>205</v>
      </c>
      <c r="DD30" t="s">
        <v>215</v>
      </c>
      <c r="DE30" t="s">
        <v>150</v>
      </c>
      <c r="DF30" t="s">
        <v>169</v>
      </c>
      <c r="DG30" t="s">
        <v>169</v>
      </c>
      <c r="DH30" t="s">
        <v>150</v>
      </c>
      <c r="DI30" t="s">
        <v>151</v>
      </c>
      <c r="DJ30" t="s">
        <v>151</v>
      </c>
      <c r="DK30" t="s">
        <v>216</v>
      </c>
      <c r="DL30" s="1" t="s">
        <v>123</v>
      </c>
      <c r="EO30" s="1" t="s">
        <v>123</v>
      </c>
      <c r="EP30" t="s">
        <v>178</v>
      </c>
      <c r="EQ30" t="s">
        <v>132</v>
      </c>
      <c r="FO30" s="1" t="s">
        <v>123</v>
      </c>
      <c r="FP30" t="s">
        <v>132</v>
      </c>
      <c r="GW30" t="s">
        <v>217</v>
      </c>
      <c r="GX30" t="s">
        <v>218</v>
      </c>
      <c r="GY30" t="s">
        <v>219</v>
      </c>
      <c r="GZ30" t="s">
        <v>140</v>
      </c>
      <c r="HA30">
        <v>1961</v>
      </c>
      <c r="HB30" t="s">
        <v>220</v>
      </c>
    </row>
    <row r="31" spans="1:214" hidden="1" x14ac:dyDescent="0.45">
      <c r="A31">
        <v>38</v>
      </c>
      <c r="B31">
        <f>_xlfn.IFNA(VLOOKUP(AnalizaCzyste[[#This Row],[Zakończono wypełnianie]],Zakończone[],2,0),"BRAK")</f>
        <v>26</v>
      </c>
      <c r="C31">
        <f>COUNTA(O31:HF31)</f>
        <v>44</v>
      </c>
      <c r="D31" t="s">
        <v>511</v>
      </c>
      <c r="E31" t="s">
        <v>118</v>
      </c>
      <c r="F31" t="s">
        <v>375</v>
      </c>
      <c r="J31" t="s">
        <v>119</v>
      </c>
      <c r="K31" t="s">
        <v>512</v>
      </c>
      <c r="L31" t="s">
        <v>513</v>
      </c>
      <c r="M31">
        <v>424</v>
      </c>
      <c r="N31">
        <v>0</v>
      </c>
      <c r="O31" t="s">
        <v>122</v>
      </c>
      <c r="P31" s="1" t="s">
        <v>123</v>
      </c>
      <c r="AF31" s="1" t="s">
        <v>124</v>
      </c>
      <c r="AG31" t="s">
        <v>445</v>
      </c>
      <c r="AH31">
        <v>2018</v>
      </c>
      <c r="AI31" t="s">
        <v>148</v>
      </c>
      <c r="AJ31" t="s">
        <v>514</v>
      </c>
      <c r="AK31" t="s">
        <v>150</v>
      </c>
      <c r="AL31" t="s">
        <v>169</v>
      </c>
      <c r="AM31" t="s">
        <v>169</v>
      </c>
      <c r="AN31" t="s">
        <v>150</v>
      </c>
      <c r="AO31" t="s">
        <v>132</v>
      </c>
      <c r="AP31" t="s">
        <v>515</v>
      </c>
      <c r="AQ31" t="s">
        <v>302</v>
      </c>
      <c r="AR31" t="s">
        <v>132</v>
      </c>
      <c r="AS31" t="s">
        <v>516</v>
      </c>
      <c r="AT31" t="s">
        <v>517</v>
      </c>
      <c r="AU31" t="s">
        <v>142</v>
      </c>
      <c r="AV31" t="s">
        <v>157</v>
      </c>
      <c r="AX31" s="1" t="s">
        <v>123</v>
      </c>
      <c r="CR31" s="1" t="s">
        <v>123</v>
      </c>
      <c r="DB31" s="1" t="s">
        <v>214</v>
      </c>
      <c r="DC31" t="s">
        <v>445</v>
      </c>
      <c r="DD31" t="s">
        <v>518</v>
      </c>
      <c r="DE31" t="s">
        <v>169</v>
      </c>
      <c r="DF31" t="s">
        <v>150</v>
      </c>
      <c r="DG31" t="s">
        <v>162</v>
      </c>
      <c r="DH31" t="s">
        <v>150</v>
      </c>
      <c r="DI31" t="s">
        <v>150</v>
      </c>
      <c r="DJ31" t="s">
        <v>151</v>
      </c>
      <c r="DL31" s="1" t="s">
        <v>123</v>
      </c>
      <c r="EO31" s="1" t="s">
        <v>123</v>
      </c>
      <c r="EP31" t="s">
        <v>180</v>
      </c>
      <c r="EQ31" t="s">
        <v>132</v>
      </c>
      <c r="FO31" s="1" t="s">
        <v>123</v>
      </c>
      <c r="FP31" t="s">
        <v>132</v>
      </c>
      <c r="FR31" t="s">
        <v>132</v>
      </c>
      <c r="GW31" t="s">
        <v>519</v>
      </c>
      <c r="GX31" t="s">
        <v>520</v>
      </c>
      <c r="GY31" t="s">
        <v>142</v>
      </c>
      <c r="GZ31" t="s">
        <v>186</v>
      </c>
      <c r="HA31">
        <v>1994</v>
      </c>
      <c r="HB31" t="s">
        <v>141</v>
      </c>
      <c r="HE31" t="s">
        <v>521</v>
      </c>
    </row>
    <row r="32" spans="1:214" hidden="1" x14ac:dyDescent="0.45">
      <c r="A32">
        <v>102</v>
      </c>
      <c r="B32">
        <f>_xlfn.IFNA(VLOOKUP(AnalizaCzyste[[#This Row],[Zakończono wypełnianie]],Zakończone[],2,0),"BRAK")</f>
        <v>63</v>
      </c>
      <c r="C32">
        <f>COUNTA(O32:HF32)</f>
        <v>44</v>
      </c>
      <c r="D32" t="s">
        <v>999</v>
      </c>
      <c r="E32" t="s">
        <v>118</v>
      </c>
      <c r="F32" t="s">
        <v>260</v>
      </c>
      <c r="J32" t="s">
        <v>119</v>
      </c>
      <c r="K32" t="s">
        <v>1000</v>
      </c>
      <c r="L32" t="s">
        <v>1001</v>
      </c>
      <c r="M32">
        <v>18013</v>
      </c>
      <c r="N32">
        <v>0</v>
      </c>
      <c r="O32" t="s">
        <v>122</v>
      </c>
      <c r="P32" s="1" t="s">
        <v>123</v>
      </c>
      <c r="AF32" s="1" t="s">
        <v>124</v>
      </c>
      <c r="AG32" t="s">
        <v>2271</v>
      </c>
      <c r="AH32">
        <v>1996</v>
      </c>
      <c r="AI32" t="s">
        <v>148</v>
      </c>
      <c r="AJ32" t="s">
        <v>1003</v>
      </c>
      <c r="AK32" t="s">
        <v>150</v>
      </c>
      <c r="AL32" t="s">
        <v>150</v>
      </c>
      <c r="AM32" t="s">
        <v>162</v>
      </c>
      <c r="AN32" t="s">
        <v>129</v>
      </c>
      <c r="AO32" t="s">
        <v>236</v>
      </c>
      <c r="AP32">
        <v>1</v>
      </c>
      <c r="AQ32" t="s">
        <v>131</v>
      </c>
      <c r="AR32" t="s">
        <v>153</v>
      </c>
      <c r="AS32" t="s">
        <v>1004</v>
      </c>
      <c r="AT32" t="s">
        <v>1005</v>
      </c>
      <c r="AU32" t="s">
        <v>532</v>
      </c>
      <c r="AV32" t="s">
        <v>157</v>
      </c>
      <c r="AW32" t="s">
        <v>1006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177</v>
      </c>
      <c r="EP32" t="s">
        <v>178</v>
      </c>
      <c r="EQ32" t="s">
        <v>132</v>
      </c>
      <c r="ER32" t="s">
        <v>1002</v>
      </c>
      <c r="ES32" t="s">
        <v>236</v>
      </c>
      <c r="ET32" t="s">
        <v>236</v>
      </c>
      <c r="EU32" t="s">
        <v>151</v>
      </c>
      <c r="EV32" t="s">
        <v>178</v>
      </c>
      <c r="EW32" t="s">
        <v>1007</v>
      </c>
      <c r="EX32" t="s">
        <v>1008</v>
      </c>
      <c r="EY32" t="s">
        <v>173</v>
      </c>
      <c r="FO32" s="1" t="s">
        <v>123</v>
      </c>
      <c r="FP32" t="s">
        <v>132</v>
      </c>
      <c r="FR32" t="s">
        <v>132</v>
      </c>
      <c r="GW32" t="s">
        <v>1009</v>
      </c>
      <c r="GX32" t="s">
        <v>1007</v>
      </c>
      <c r="GY32" t="s">
        <v>1009</v>
      </c>
      <c r="GZ32" t="s">
        <v>186</v>
      </c>
      <c r="HA32">
        <v>1966</v>
      </c>
      <c r="HB32" t="s">
        <v>141</v>
      </c>
    </row>
    <row r="33" spans="1:213" hidden="1" x14ac:dyDescent="0.45">
      <c r="A33">
        <v>233</v>
      </c>
      <c r="B33">
        <f>_xlfn.IFNA(VLOOKUP(AnalizaCzyste[[#This Row],[Zakończono wypełnianie]],Zakończone[],2,0),"BRAK")</f>
        <v>125</v>
      </c>
      <c r="C33">
        <f>COUNTA(O33:HF33)</f>
        <v>44</v>
      </c>
      <c r="D33" t="s">
        <v>1880</v>
      </c>
      <c r="E33" t="s">
        <v>118</v>
      </c>
      <c r="F33" t="s">
        <v>359</v>
      </c>
      <c r="J33" t="s">
        <v>119</v>
      </c>
      <c r="K33" t="s">
        <v>1881</v>
      </c>
      <c r="L33" t="s">
        <v>1882</v>
      </c>
      <c r="M33">
        <v>627</v>
      </c>
      <c r="N33">
        <v>0</v>
      </c>
      <c r="O33" t="s">
        <v>122</v>
      </c>
      <c r="P33" s="1" t="s">
        <v>123</v>
      </c>
      <c r="AF33" s="1" t="s">
        <v>124</v>
      </c>
      <c r="AG33" t="s">
        <v>125</v>
      </c>
      <c r="AH33">
        <v>2011</v>
      </c>
      <c r="AI33" t="s">
        <v>126</v>
      </c>
      <c r="AJ33" t="s">
        <v>1883</v>
      </c>
      <c r="AK33" t="s">
        <v>169</v>
      </c>
      <c r="AL33" t="s">
        <v>169</v>
      </c>
      <c r="AM33" t="s">
        <v>169</v>
      </c>
      <c r="AN33" t="s">
        <v>151</v>
      </c>
      <c r="AO33" t="s">
        <v>150</v>
      </c>
      <c r="AP33" t="s">
        <v>1884</v>
      </c>
      <c r="AQ33" t="s">
        <v>131</v>
      </c>
      <c r="AR33" t="s">
        <v>153</v>
      </c>
      <c r="AS33" t="s">
        <v>1885</v>
      </c>
      <c r="AT33" t="s">
        <v>1886</v>
      </c>
      <c r="AU33" t="s">
        <v>1887</v>
      </c>
      <c r="AV33" t="s">
        <v>157</v>
      </c>
      <c r="AW33" t="s">
        <v>1888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177</v>
      </c>
      <c r="EP33" t="s">
        <v>180</v>
      </c>
      <c r="EQ33" t="s">
        <v>132</v>
      </c>
      <c r="ER33" t="s">
        <v>1889</v>
      </c>
      <c r="ES33" t="s">
        <v>132</v>
      </c>
      <c r="ET33" t="s">
        <v>132</v>
      </c>
      <c r="EU33" t="s">
        <v>132</v>
      </c>
      <c r="EV33" t="s">
        <v>180</v>
      </c>
      <c r="EW33" t="s">
        <v>1889</v>
      </c>
      <c r="EX33" t="s">
        <v>1889</v>
      </c>
      <c r="EY33" t="s">
        <v>173</v>
      </c>
      <c r="FO33" s="1" t="s">
        <v>123</v>
      </c>
      <c r="GW33" t="s">
        <v>1889</v>
      </c>
      <c r="GX33" t="s">
        <v>1889</v>
      </c>
      <c r="GY33" t="s">
        <v>1889</v>
      </c>
      <c r="GZ33" t="s">
        <v>140</v>
      </c>
      <c r="HA33">
        <v>1987</v>
      </c>
      <c r="HB33" t="s">
        <v>220</v>
      </c>
      <c r="HD33" t="s">
        <v>1889</v>
      </c>
      <c r="HE33" t="s">
        <v>1889</v>
      </c>
    </row>
    <row r="34" spans="1:213" hidden="1" x14ac:dyDescent="0.45">
      <c r="A34">
        <v>86</v>
      </c>
      <c r="B34">
        <f>_xlfn.IFNA(VLOOKUP(AnalizaCzyste[[#This Row],[Zakończono wypełnianie]],Zakończone[],2,0),"BRAK")</f>
        <v>51</v>
      </c>
      <c r="C34">
        <f>COUNTA(O34:HF34)</f>
        <v>43</v>
      </c>
      <c r="D34" t="s">
        <v>873</v>
      </c>
      <c r="E34" t="s">
        <v>118</v>
      </c>
      <c r="F34" t="s">
        <v>797</v>
      </c>
      <c r="J34" t="s">
        <v>119</v>
      </c>
      <c r="K34" t="s">
        <v>880</v>
      </c>
      <c r="L34" t="s">
        <v>881</v>
      </c>
      <c r="M34">
        <v>2138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>
        <v>2005</v>
      </c>
      <c r="AI34" t="s">
        <v>126</v>
      </c>
      <c r="AJ34" t="s">
        <v>882</v>
      </c>
      <c r="AK34" t="s">
        <v>162</v>
      </c>
      <c r="AL34" t="s">
        <v>162</v>
      </c>
      <c r="AM34" t="s">
        <v>162</v>
      </c>
      <c r="AN34" t="s">
        <v>236</v>
      </c>
      <c r="AO34" t="s">
        <v>128</v>
      </c>
      <c r="AP34" t="s">
        <v>883</v>
      </c>
      <c r="AQ34" t="s">
        <v>131</v>
      </c>
      <c r="AR34" t="s">
        <v>302</v>
      </c>
      <c r="AS34" t="s">
        <v>884</v>
      </c>
      <c r="AT34" t="s">
        <v>532</v>
      </c>
      <c r="AU34" t="s">
        <v>532</v>
      </c>
      <c r="AV34" t="s">
        <v>157</v>
      </c>
      <c r="AW34" t="s">
        <v>878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177</v>
      </c>
      <c r="EP34" t="s">
        <v>178</v>
      </c>
      <c r="EQ34">
        <v>1</v>
      </c>
      <c r="ER34" t="s">
        <v>747</v>
      </c>
      <c r="ES34" t="s">
        <v>162</v>
      </c>
      <c r="ET34" t="s">
        <v>162</v>
      </c>
      <c r="EU34" t="s">
        <v>151</v>
      </c>
      <c r="EV34" t="s">
        <v>178</v>
      </c>
      <c r="EW34" t="s">
        <v>885</v>
      </c>
      <c r="EX34" t="s">
        <v>886</v>
      </c>
      <c r="EY34" t="s">
        <v>173</v>
      </c>
      <c r="FO34" s="1" t="s">
        <v>123</v>
      </c>
      <c r="FP34" t="s">
        <v>132</v>
      </c>
      <c r="GW34" t="s">
        <v>887</v>
      </c>
      <c r="GX34" t="s">
        <v>532</v>
      </c>
      <c r="GY34" t="s">
        <v>532</v>
      </c>
      <c r="GZ34" t="s">
        <v>140</v>
      </c>
      <c r="HA34">
        <v>1981</v>
      </c>
      <c r="HB34" t="s">
        <v>141</v>
      </c>
    </row>
    <row r="35" spans="1:213" hidden="1" x14ac:dyDescent="0.45">
      <c r="A35">
        <v>128</v>
      </c>
      <c r="B35">
        <f>_xlfn.IFNA(VLOOKUP(AnalizaCzyste[[#This Row],[Zakończono wypełnianie]],Zakończone[],2,0),"BRAK")</f>
        <v>77</v>
      </c>
      <c r="C35">
        <f>COUNTA(O35:HF35)</f>
        <v>43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X35" s="1" t="s">
        <v>123</v>
      </c>
      <c r="CR35" s="1" t="s">
        <v>123</v>
      </c>
      <c r="DB35" s="1" t="s">
        <v>214</v>
      </c>
      <c r="DC35" t="s">
        <v>191</v>
      </c>
      <c r="DD35" t="s">
        <v>308</v>
      </c>
      <c r="DE35" t="s">
        <v>162</v>
      </c>
      <c r="DF35" t="s">
        <v>162</v>
      </c>
      <c r="DG35" t="s">
        <v>150</v>
      </c>
      <c r="DH35" t="s">
        <v>150</v>
      </c>
      <c r="DI35" t="s">
        <v>150</v>
      </c>
      <c r="DJ35" t="s">
        <v>169</v>
      </c>
      <c r="DK35" t="s">
        <v>1203</v>
      </c>
      <c r="DL35" s="1" t="s">
        <v>123</v>
      </c>
      <c r="EO35" s="1" t="s">
        <v>177</v>
      </c>
      <c r="EP35" t="s">
        <v>178</v>
      </c>
      <c r="EQ35">
        <v>2</v>
      </c>
      <c r="ER35" t="s">
        <v>191</v>
      </c>
      <c r="ES35" t="s">
        <v>169</v>
      </c>
      <c r="ET35" t="s">
        <v>169</v>
      </c>
      <c r="EU35" t="s">
        <v>169</v>
      </c>
      <c r="EV35" t="s">
        <v>178</v>
      </c>
      <c r="EW35" t="s">
        <v>1204</v>
      </c>
      <c r="EX35" t="s">
        <v>1205</v>
      </c>
      <c r="EY35" t="s">
        <v>1206</v>
      </c>
      <c r="EZ35" t="s">
        <v>223</v>
      </c>
      <c r="FA35" t="s">
        <v>128</v>
      </c>
      <c r="FB35" t="s">
        <v>236</v>
      </c>
      <c r="FC35" t="s">
        <v>129</v>
      </c>
      <c r="FD35" t="s">
        <v>178</v>
      </c>
      <c r="FE35" t="s">
        <v>960</v>
      </c>
      <c r="FF35" t="s">
        <v>1207</v>
      </c>
      <c r="FG35" t="s">
        <v>173</v>
      </c>
      <c r="FO35" s="1" t="s">
        <v>123</v>
      </c>
      <c r="GW35" t="s">
        <v>1208</v>
      </c>
      <c r="GX35" t="s">
        <v>1209</v>
      </c>
      <c r="GY35" t="s">
        <v>1210</v>
      </c>
      <c r="GZ35" t="s">
        <v>186</v>
      </c>
      <c r="HA35">
        <v>1987</v>
      </c>
      <c r="HB35" t="s">
        <v>141</v>
      </c>
      <c r="HD35" t="s">
        <v>191</v>
      </c>
    </row>
    <row r="36" spans="1:213" hidden="1" x14ac:dyDescent="0.45">
      <c r="A36">
        <v>137</v>
      </c>
      <c r="B36">
        <f>_xlfn.IFNA(VLOOKUP(AnalizaCzyste[[#This Row],[Zakończono wypełnianie]],Zakończone[],2,0),"BRAK")</f>
        <v>83</v>
      </c>
      <c r="C36">
        <f>COUNTA(O36:HF36)</f>
        <v>43</v>
      </c>
      <c r="D36" t="s">
        <v>1142</v>
      </c>
      <c r="E36" t="s">
        <v>118</v>
      </c>
      <c r="J36" t="s">
        <v>119</v>
      </c>
      <c r="K36" t="s">
        <v>1288</v>
      </c>
      <c r="L36" t="s">
        <v>1289</v>
      </c>
      <c r="M36">
        <v>1208727</v>
      </c>
      <c r="N36">
        <v>0</v>
      </c>
      <c r="O36" t="s">
        <v>122</v>
      </c>
      <c r="P36" s="1" t="s">
        <v>123</v>
      </c>
      <c r="AF36" s="1" t="s">
        <v>124</v>
      </c>
      <c r="AG36" t="s">
        <v>1290</v>
      </c>
      <c r="AH36">
        <v>2012</v>
      </c>
      <c r="AI36" t="s">
        <v>148</v>
      </c>
      <c r="AJ36" t="s">
        <v>1050</v>
      </c>
      <c r="AK36" t="s">
        <v>162</v>
      </c>
      <c r="AL36" t="s">
        <v>151</v>
      </c>
      <c r="AM36" t="s">
        <v>162</v>
      </c>
      <c r="AN36" t="s">
        <v>151</v>
      </c>
      <c r="AO36" t="s">
        <v>128</v>
      </c>
      <c r="AP36" t="s">
        <v>237</v>
      </c>
      <c r="AQ36" t="s">
        <v>132</v>
      </c>
      <c r="AR36" t="s">
        <v>132</v>
      </c>
      <c r="AS36" t="s">
        <v>1291</v>
      </c>
      <c r="AT36" t="s">
        <v>1292</v>
      </c>
      <c r="AU36" t="s">
        <v>1293</v>
      </c>
      <c r="AV36" t="s">
        <v>892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177</v>
      </c>
      <c r="EP36" t="s">
        <v>178</v>
      </c>
      <c r="EQ36" t="s">
        <v>132</v>
      </c>
      <c r="ER36" t="s">
        <v>191</v>
      </c>
      <c r="ES36" t="s">
        <v>162</v>
      </c>
      <c r="ET36" t="s">
        <v>151</v>
      </c>
      <c r="EU36" t="s">
        <v>128</v>
      </c>
      <c r="EV36" t="s">
        <v>178</v>
      </c>
      <c r="EW36" t="s">
        <v>1294</v>
      </c>
      <c r="EX36" t="s">
        <v>1295</v>
      </c>
      <c r="EY36" t="s">
        <v>173</v>
      </c>
      <c r="FO36" s="1" t="s">
        <v>123</v>
      </c>
      <c r="GW36" t="s">
        <v>1296</v>
      </c>
      <c r="GX36" t="s">
        <v>1297</v>
      </c>
      <c r="GY36" t="s">
        <v>1298</v>
      </c>
      <c r="GZ36" t="s">
        <v>186</v>
      </c>
      <c r="HA36">
        <v>1987</v>
      </c>
      <c r="HB36" t="s">
        <v>246</v>
      </c>
      <c r="HD36" t="s">
        <v>1299</v>
      </c>
      <c r="HE36" t="s">
        <v>1300</v>
      </c>
    </row>
    <row r="37" spans="1:213" hidden="1" x14ac:dyDescent="0.45">
      <c r="A37">
        <v>145</v>
      </c>
      <c r="B37">
        <f>_xlfn.IFNA(VLOOKUP(AnalizaCzyste[[#This Row],[Zakończono wypełnianie]],Zakończone[],2,0),"BRAK")</f>
        <v>86</v>
      </c>
      <c r="C37">
        <f>COUNTA(O37:HF37)</f>
        <v>43</v>
      </c>
      <c r="D37" t="s">
        <v>1336</v>
      </c>
      <c r="E37" t="s">
        <v>118</v>
      </c>
      <c r="J37" t="s">
        <v>119</v>
      </c>
      <c r="K37" t="s">
        <v>1337</v>
      </c>
      <c r="L37" t="s">
        <v>1338</v>
      </c>
      <c r="M37">
        <v>516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>
        <v>2007</v>
      </c>
      <c r="AI37" t="s">
        <v>126</v>
      </c>
      <c r="AJ37" t="s">
        <v>1339</v>
      </c>
      <c r="AK37" t="s">
        <v>162</v>
      </c>
      <c r="AL37" t="s">
        <v>162</v>
      </c>
      <c r="AM37" t="s">
        <v>150</v>
      </c>
      <c r="AN37" t="s">
        <v>169</v>
      </c>
      <c r="AO37" t="s">
        <v>169</v>
      </c>
      <c r="AP37" t="s">
        <v>1340</v>
      </c>
      <c r="AQ37" t="s">
        <v>131</v>
      </c>
      <c r="AR37" t="s">
        <v>759</v>
      </c>
      <c r="AS37" t="s">
        <v>1341</v>
      </c>
      <c r="AT37" t="s">
        <v>1342</v>
      </c>
      <c r="AU37" t="s">
        <v>1343</v>
      </c>
      <c r="AV37" t="s">
        <v>157</v>
      </c>
      <c r="AW37" t="s">
        <v>1344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177</v>
      </c>
      <c r="EP37" t="s">
        <v>178</v>
      </c>
      <c r="EQ37" t="s">
        <v>132</v>
      </c>
      <c r="ER37" t="s">
        <v>191</v>
      </c>
      <c r="ES37" t="s">
        <v>236</v>
      </c>
      <c r="ET37" t="s">
        <v>236</v>
      </c>
      <c r="EU37" t="s">
        <v>151</v>
      </c>
      <c r="EV37" t="s">
        <v>178</v>
      </c>
      <c r="EW37" t="s">
        <v>1345</v>
      </c>
      <c r="EX37" t="s">
        <v>1346</v>
      </c>
      <c r="EY37" t="s">
        <v>173</v>
      </c>
      <c r="FO37" s="1" t="s">
        <v>123</v>
      </c>
      <c r="GW37" t="s">
        <v>1347</v>
      </c>
      <c r="GX37" t="s">
        <v>1348</v>
      </c>
      <c r="GY37" t="s">
        <v>1349</v>
      </c>
      <c r="GZ37" t="s">
        <v>186</v>
      </c>
      <c r="HA37">
        <v>1982</v>
      </c>
      <c r="HB37" t="s">
        <v>141</v>
      </c>
      <c r="HD37" t="s">
        <v>1350</v>
      </c>
    </row>
    <row r="38" spans="1:213" hidden="1" x14ac:dyDescent="0.45">
      <c r="A38">
        <v>127</v>
      </c>
      <c r="B38">
        <f>_xlfn.IFNA(VLOOKUP(AnalizaCzyste[[#This Row],[Zakończono wypełnianie]],Zakończone[],2,0),"BRAK")</f>
        <v>76</v>
      </c>
      <c r="C38">
        <f>COUNTA(O38:HF38)</f>
        <v>42</v>
      </c>
      <c r="D38" t="s">
        <v>1192</v>
      </c>
      <c r="E38" t="s">
        <v>118</v>
      </c>
      <c r="J38" t="s">
        <v>119</v>
      </c>
      <c r="K38" t="s">
        <v>1193</v>
      </c>
      <c r="L38" t="s">
        <v>1194</v>
      </c>
      <c r="M38">
        <v>1676</v>
      </c>
      <c r="N38">
        <v>0</v>
      </c>
      <c r="O38" t="s">
        <v>122</v>
      </c>
      <c r="P38" s="1" t="s">
        <v>123</v>
      </c>
      <c r="AF38" s="1" t="s">
        <v>124</v>
      </c>
      <c r="AG38" t="s">
        <v>223</v>
      </c>
      <c r="AH38">
        <v>1998</v>
      </c>
      <c r="AI38" t="s">
        <v>148</v>
      </c>
      <c r="AJ38" t="s">
        <v>1195</v>
      </c>
      <c r="AK38" t="s">
        <v>162</v>
      </c>
      <c r="AL38" t="s">
        <v>151</v>
      </c>
      <c r="AM38" t="s">
        <v>151</v>
      </c>
      <c r="AN38" t="s">
        <v>236</v>
      </c>
      <c r="AO38" t="s">
        <v>151</v>
      </c>
      <c r="AP38">
        <v>0</v>
      </c>
      <c r="AQ38" t="s">
        <v>131</v>
      </c>
      <c r="AR38" t="s">
        <v>302</v>
      </c>
      <c r="AS38" t="s">
        <v>1196</v>
      </c>
      <c r="AT38" t="s">
        <v>1196</v>
      </c>
      <c r="AU38" t="s">
        <v>1197</v>
      </c>
      <c r="AV38" t="s">
        <v>157</v>
      </c>
      <c r="AX38" s="1" t="s">
        <v>123</v>
      </c>
      <c r="CR38" s="1" t="s">
        <v>123</v>
      </c>
      <c r="DB38" s="1" t="s">
        <v>123</v>
      </c>
      <c r="DL38" s="1" t="s">
        <v>123</v>
      </c>
      <c r="EO38" s="1" t="s">
        <v>177</v>
      </c>
      <c r="EP38" t="s">
        <v>180</v>
      </c>
      <c r="EQ38" t="s">
        <v>132</v>
      </c>
      <c r="ER38" t="s">
        <v>132</v>
      </c>
      <c r="ES38" t="s">
        <v>151</v>
      </c>
      <c r="ET38" t="s">
        <v>151</v>
      </c>
      <c r="EU38" t="s">
        <v>151</v>
      </c>
      <c r="EV38" t="s">
        <v>178</v>
      </c>
      <c r="EW38" t="s">
        <v>132</v>
      </c>
      <c r="EX38" t="s">
        <v>132</v>
      </c>
      <c r="EY38" t="s">
        <v>173</v>
      </c>
      <c r="FO38" s="1" t="s">
        <v>123</v>
      </c>
      <c r="GW38" t="s">
        <v>1198</v>
      </c>
      <c r="GX38" t="s">
        <v>1199</v>
      </c>
      <c r="GY38" t="s">
        <v>1198</v>
      </c>
      <c r="GZ38" t="s">
        <v>186</v>
      </c>
      <c r="HA38">
        <v>1974</v>
      </c>
      <c r="HB38" t="s">
        <v>141</v>
      </c>
      <c r="HC38" t="s">
        <v>313</v>
      </c>
    </row>
    <row r="39" spans="1:213" hidden="1" x14ac:dyDescent="0.45">
      <c r="A39">
        <v>179</v>
      </c>
      <c r="B39">
        <f>_xlfn.IFNA(VLOOKUP(AnalizaCzyste[[#This Row],[Zakończono wypełnianie]],Zakończone[],2,0),"BRAK")</f>
        <v>101</v>
      </c>
      <c r="C39">
        <f>COUNTA(O39:HF39)</f>
        <v>42</v>
      </c>
      <c r="D39" t="s">
        <v>1511</v>
      </c>
      <c r="E39" t="s">
        <v>118</v>
      </c>
      <c r="J39" t="s">
        <v>119</v>
      </c>
      <c r="K39" t="s">
        <v>1512</v>
      </c>
      <c r="L39" t="s">
        <v>1513</v>
      </c>
      <c r="M39">
        <v>2685</v>
      </c>
      <c r="N39">
        <v>0</v>
      </c>
      <c r="O39" t="s">
        <v>122</v>
      </c>
      <c r="P39" s="1" t="s">
        <v>123</v>
      </c>
      <c r="AF39" s="1" t="s">
        <v>124</v>
      </c>
      <c r="AG39" t="s">
        <v>1514</v>
      </c>
      <c r="AH39">
        <v>1996</v>
      </c>
      <c r="AI39" t="s">
        <v>148</v>
      </c>
      <c r="AJ39" t="s">
        <v>1515</v>
      </c>
      <c r="AK39" t="s">
        <v>162</v>
      </c>
      <c r="AL39" t="s">
        <v>151</v>
      </c>
      <c r="AM39" t="s">
        <v>162</v>
      </c>
      <c r="AN39" t="s">
        <v>162</v>
      </c>
      <c r="AO39" t="s">
        <v>151</v>
      </c>
      <c r="AP39" t="s">
        <v>1516</v>
      </c>
      <c r="AQ39" t="s">
        <v>194</v>
      </c>
      <c r="AR39" t="s">
        <v>194</v>
      </c>
      <c r="AS39" t="s">
        <v>1517</v>
      </c>
      <c r="AT39" t="s">
        <v>1518</v>
      </c>
      <c r="AU39" t="s">
        <v>1519</v>
      </c>
      <c r="AV39" t="s">
        <v>172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177</v>
      </c>
      <c r="EP39" t="s">
        <v>180</v>
      </c>
      <c r="EQ39">
        <v>1</v>
      </c>
      <c r="ER39" t="s">
        <v>1520</v>
      </c>
      <c r="ES39" t="s">
        <v>150</v>
      </c>
      <c r="ET39" t="s">
        <v>162</v>
      </c>
      <c r="EU39" t="s">
        <v>162</v>
      </c>
      <c r="EV39" t="s">
        <v>178</v>
      </c>
      <c r="EW39" t="s">
        <v>1521</v>
      </c>
      <c r="EX39" t="s">
        <v>1522</v>
      </c>
      <c r="EY39" t="s">
        <v>173</v>
      </c>
      <c r="FO39" s="1" t="s">
        <v>123</v>
      </c>
      <c r="GW39" t="s">
        <v>1523</v>
      </c>
      <c r="GX39" t="s">
        <v>1524</v>
      </c>
      <c r="GY39" t="s">
        <v>1525</v>
      </c>
      <c r="GZ39" t="s">
        <v>186</v>
      </c>
      <c r="HA39">
        <v>1974</v>
      </c>
      <c r="HB39" t="s">
        <v>398</v>
      </c>
      <c r="HD39" t="s">
        <v>1526</v>
      </c>
    </row>
    <row r="40" spans="1:213" hidden="1" x14ac:dyDescent="0.45">
      <c r="A40">
        <v>114</v>
      </c>
      <c r="B40">
        <f>_xlfn.IFNA(VLOOKUP(AnalizaCzyste[[#This Row],[Zakończono wypełnianie]],Zakończone[],2,0),"BRAK")</f>
        <v>68</v>
      </c>
      <c r="C40">
        <f>COUNTA(O40:HF40)</f>
        <v>41</v>
      </c>
      <c r="D40" t="s">
        <v>1077</v>
      </c>
      <c r="E40" t="s">
        <v>118</v>
      </c>
      <c r="J40" t="s">
        <v>119</v>
      </c>
      <c r="K40" t="s">
        <v>1078</v>
      </c>
      <c r="L40" t="s">
        <v>1079</v>
      </c>
      <c r="M40">
        <v>862</v>
      </c>
      <c r="N40">
        <v>0</v>
      </c>
      <c r="O40" t="s">
        <v>122</v>
      </c>
      <c r="P40" s="1" t="s">
        <v>123</v>
      </c>
      <c r="AF40" s="1" t="s">
        <v>124</v>
      </c>
      <c r="AG40" t="s">
        <v>223</v>
      </c>
      <c r="AH40">
        <v>2007</v>
      </c>
      <c r="AI40" t="s">
        <v>148</v>
      </c>
      <c r="AJ40" t="s">
        <v>969</v>
      </c>
      <c r="AK40" t="s">
        <v>151</v>
      </c>
      <c r="AL40" t="s">
        <v>151</v>
      </c>
      <c r="AM40" t="s">
        <v>150</v>
      </c>
      <c r="AN40" t="s">
        <v>162</v>
      </c>
      <c r="AO40" t="s">
        <v>150</v>
      </c>
      <c r="AP40" t="s">
        <v>237</v>
      </c>
      <c r="AQ40" t="s">
        <v>131</v>
      </c>
      <c r="AR40" t="s">
        <v>302</v>
      </c>
      <c r="AT40" t="s">
        <v>1080</v>
      </c>
      <c r="AU40" t="s">
        <v>1081</v>
      </c>
      <c r="AV40" t="s">
        <v>230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178</v>
      </c>
      <c r="EQ40" t="s">
        <v>132</v>
      </c>
      <c r="ER40" t="s">
        <v>1082</v>
      </c>
      <c r="ES40" t="s">
        <v>151</v>
      </c>
      <c r="ET40" t="s">
        <v>151</v>
      </c>
      <c r="EU40" t="s">
        <v>151</v>
      </c>
      <c r="EV40" t="s">
        <v>178</v>
      </c>
      <c r="EX40" t="s">
        <v>1083</v>
      </c>
      <c r="EY40" t="s">
        <v>173</v>
      </c>
      <c r="FO40" s="1" t="s">
        <v>123</v>
      </c>
      <c r="FP40" t="s">
        <v>132</v>
      </c>
      <c r="FR40" t="s">
        <v>132</v>
      </c>
      <c r="GW40" t="s">
        <v>1084</v>
      </c>
      <c r="GX40" t="s">
        <v>1085</v>
      </c>
      <c r="GY40" t="s">
        <v>1086</v>
      </c>
      <c r="GZ40" t="s">
        <v>140</v>
      </c>
      <c r="HA40">
        <v>1982</v>
      </c>
      <c r="HB40" t="s">
        <v>141</v>
      </c>
    </row>
    <row r="41" spans="1:213" hidden="1" x14ac:dyDescent="0.45">
      <c r="A41">
        <v>133</v>
      </c>
      <c r="B41">
        <f>_xlfn.IFNA(VLOOKUP(AnalizaCzyste[[#This Row],[Zakończono wypełnianie]],Zakończone[],2,0),"BRAK")</f>
        <v>81</v>
      </c>
      <c r="C41">
        <f>COUNTA(O41:HF41)</f>
        <v>41</v>
      </c>
      <c r="D41" t="s">
        <v>1251</v>
      </c>
      <c r="E41" t="s">
        <v>118</v>
      </c>
      <c r="J41" t="s">
        <v>119</v>
      </c>
      <c r="K41" t="s">
        <v>1252</v>
      </c>
      <c r="L41" t="s">
        <v>1253</v>
      </c>
      <c r="M41">
        <v>367</v>
      </c>
      <c r="N41">
        <v>0</v>
      </c>
      <c r="O41" t="s">
        <v>122</v>
      </c>
      <c r="P41" s="1" t="s">
        <v>123</v>
      </c>
      <c r="AF41" s="1" t="s">
        <v>124</v>
      </c>
      <c r="AG41" t="s">
        <v>223</v>
      </c>
      <c r="AH41">
        <v>2006</v>
      </c>
      <c r="AI41" t="s">
        <v>148</v>
      </c>
      <c r="AJ41" t="s">
        <v>1050</v>
      </c>
      <c r="AK41" t="s">
        <v>162</v>
      </c>
      <c r="AL41" t="s">
        <v>162</v>
      </c>
      <c r="AM41" t="s">
        <v>169</v>
      </c>
      <c r="AN41" t="s">
        <v>236</v>
      </c>
      <c r="AO41" t="s">
        <v>151</v>
      </c>
      <c r="AP41">
        <v>3</v>
      </c>
      <c r="AQ41" t="s">
        <v>131</v>
      </c>
      <c r="AR41" t="s">
        <v>302</v>
      </c>
      <c r="AS41" t="s">
        <v>1254</v>
      </c>
      <c r="AT41" t="s">
        <v>1255</v>
      </c>
      <c r="AU41" t="s">
        <v>1256</v>
      </c>
      <c r="AV41" t="s">
        <v>157</v>
      </c>
      <c r="AW41" t="s">
        <v>1257</v>
      </c>
      <c r="AX41" s="1" t="s">
        <v>123</v>
      </c>
      <c r="CR41" s="1" t="s">
        <v>123</v>
      </c>
      <c r="DB41" s="1" t="s">
        <v>214</v>
      </c>
      <c r="DC41" t="s">
        <v>191</v>
      </c>
      <c r="DD41" t="s">
        <v>308</v>
      </c>
      <c r="DE41" t="s">
        <v>169</v>
      </c>
      <c r="DF41" t="s">
        <v>150</v>
      </c>
      <c r="DG41" t="s">
        <v>150</v>
      </c>
      <c r="DH41" t="s">
        <v>169</v>
      </c>
      <c r="DI41" t="s">
        <v>162</v>
      </c>
      <c r="DJ41" t="s">
        <v>162</v>
      </c>
      <c r="DK41" t="s">
        <v>1258</v>
      </c>
      <c r="DL41" s="1" t="s">
        <v>123</v>
      </c>
      <c r="EO41" s="1" t="s">
        <v>123</v>
      </c>
      <c r="FO41" s="1" t="s">
        <v>123</v>
      </c>
      <c r="GW41" t="s">
        <v>1259</v>
      </c>
      <c r="GX41" t="s">
        <v>1260</v>
      </c>
      <c r="GY41" t="s">
        <v>1261</v>
      </c>
      <c r="GZ41" t="s">
        <v>186</v>
      </c>
      <c r="HA41">
        <v>1982</v>
      </c>
      <c r="HB41" t="s">
        <v>141</v>
      </c>
    </row>
    <row r="42" spans="1:213" hidden="1" x14ac:dyDescent="0.45">
      <c r="A42">
        <v>223</v>
      </c>
      <c r="B42">
        <f>_xlfn.IFNA(VLOOKUP(AnalizaCzyste[[#This Row],[Zakończono wypełnianie]],Zakończone[],2,0),"BRAK")</f>
        <v>122</v>
      </c>
      <c r="C42">
        <f>COUNTA(O42:HF42)</f>
        <v>41</v>
      </c>
      <c r="D42" t="s">
        <v>1827</v>
      </c>
      <c r="E42" t="s">
        <v>118</v>
      </c>
      <c r="J42" t="s">
        <v>119</v>
      </c>
      <c r="K42" t="s">
        <v>1828</v>
      </c>
      <c r="L42" t="s">
        <v>1829</v>
      </c>
      <c r="M42">
        <v>673</v>
      </c>
      <c r="N42">
        <v>0</v>
      </c>
      <c r="O42" t="s">
        <v>122</v>
      </c>
      <c r="P42" s="1" t="s">
        <v>123</v>
      </c>
      <c r="AF42" s="1" t="s">
        <v>124</v>
      </c>
      <c r="AG42" t="s">
        <v>223</v>
      </c>
      <c r="AH42">
        <v>2005</v>
      </c>
      <c r="AI42" t="s">
        <v>148</v>
      </c>
      <c r="AJ42" t="s">
        <v>1831</v>
      </c>
      <c r="AK42" t="s">
        <v>162</v>
      </c>
      <c r="AL42" t="s">
        <v>169</v>
      </c>
      <c r="AM42" t="s">
        <v>169</v>
      </c>
      <c r="AN42" t="s">
        <v>128</v>
      </c>
      <c r="AO42" t="s">
        <v>162</v>
      </c>
      <c r="AP42" t="s">
        <v>237</v>
      </c>
      <c r="AQ42" t="s">
        <v>302</v>
      </c>
      <c r="AR42" t="s">
        <v>153</v>
      </c>
      <c r="AS42" t="s">
        <v>1832</v>
      </c>
      <c r="AT42" t="s">
        <v>1833</v>
      </c>
      <c r="AU42" t="s">
        <v>1834</v>
      </c>
      <c r="AW42" t="s">
        <v>158</v>
      </c>
      <c r="AX42" s="1" t="s">
        <v>123</v>
      </c>
      <c r="CR42" s="1" t="s">
        <v>123</v>
      </c>
      <c r="DB42" s="1" t="s">
        <v>214</v>
      </c>
      <c r="DC42" t="s">
        <v>191</v>
      </c>
      <c r="DD42" t="s">
        <v>2277</v>
      </c>
      <c r="DE42" t="s">
        <v>150</v>
      </c>
      <c r="DF42" t="s">
        <v>150</v>
      </c>
      <c r="DG42" t="s">
        <v>151</v>
      </c>
      <c r="DH42" t="s">
        <v>150</v>
      </c>
      <c r="DI42" t="s">
        <v>169</v>
      </c>
      <c r="DJ42" t="s">
        <v>169</v>
      </c>
      <c r="DK42" t="s">
        <v>1836</v>
      </c>
      <c r="DL42" s="1" t="s">
        <v>123</v>
      </c>
      <c r="EO42" s="1" t="s">
        <v>123</v>
      </c>
      <c r="FO42" s="1" t="s">
        <v>123</v>
      </c>
      <c r="GW42" t="s">
        <v>1837</v>
      </c>
      <c r="GX42" t="s">
        <v>1838</v>
      </c>
      <c r="GY42" t="s">
        <v>1839</v>
      </c>
      <c r="GZ42" t="s">
        <v>140</v>
      </c>
      <c r="HA42">
        <v>1981</v>
      </c>
      <c r="HB42" t="s">
        <v>141</v>
      </c>
      <c r="HD42" t="s">
        <v>1840</v>
      </c>
    </row>
    <row r="43" spans="1:213" hidden="1" x14ac:dyDescent="0.45">
      <c r="A43">
        <v>60</v>
      </c>
      <c r="B43">
        <f>_xlfn.IFNA(VLOOKUP(AnalizaCzyste[[#This Row],[Zakończono wypełnianie]],Zakończone[],2,0),"BRAK")</f>
        <v>35</v>
      </c>
      <c r="C43">
        <f>COUNTA(O43:HF43)</f>
        <v>40</v>
      </c>
      <c r="D43" t="s">
        <v>656</v>
      </c>
      <c r="E43" t="s">
        <v>118</v>
      </c>
      <c r="F43" t="s">
        <v>359</v>
      </c>
      <c r="J43" t="s">
        <v>119</v>
      </c>
      <c r="K43" t="s">
        <v>657</v>
      </c>
      <c r="L43" t="s">
        <v>658</v>
      </c>
      <c r="M43">
        <v>770</v>
      </c>
      <c r="N43">
        <v>0</v>
      </c>
      <c r="O43" t="s">
        <v>122</v>
      </c>
      <c r="P43" s="1" t="s">
        <v>123</v>
      </c>
      <c r="AF43" s="1" t="s">
        <v>124</v>
      </c>
      <c r="AG43" t="s">
        <v>445</v>
      </c>
      <c r="AH43" t="s">
        <v>659</v>
      </c>
      <c r="AI43" t="s">
        <v>148</v>
      </c>
      <c r="AJ43" t="s">
        <v>660</v>
      </c>
      <c r="AK43" t="s">
        <v>169</v>
      </c>
      <c r="AL43" t="s">
        <v>169</v>
      </c>
      <c r="AM43" t="s">
        <v>169</v>
      </c>
      <c r="AN43" t="s">
        <v>150</v>
      </c>
      <c r="AO43" t="s">
        <v>132</v>
      </c>
      <c r="AP43" t="s">
        <v>661</v>
      </c>
      <c r="AQ43" t="s">
        <v>302</v>
      </c>
      <c r="AR43" t="s">
        <v>132</v>
      </c>
      <c r="AT43" t="s">
        <v>662</v>
      </c>
      <c r="AU43" t="s">
        <v>663</v>
      </c>
      <c r="AV43" t="s">
        <v>157</v>
      </c>
      <c r="AW43" t="s">
        <v>664</v>
      </c>
      <c r="AX43" s="1" t="s">
        <v>123</v>
      </c>
      <c r="CR43" s="1" t="s">
        <v>123</v>
      </c>
      <c r="DB43" s="1" t="s">
        <v>214</v>
      </c>
      <c r="DC43" t="s">
        <v>445</v>
      </c>
      <c r="DD43" t="s">
        <v>518</v>
      </c>
      <c r="DE43" t="s">
        <v>169</v>
      </c>
      <c r="DF43" t="s">
        <v>169</v>
      </c>
      <c r="DG43" t="s">
        <v>169</v>
      </c>
      <c r="DH43" t="s">
        <v>169</v>
      </c>
      <c r="DI43" t="s">
        <v>169</v>
      </c>
      <c r="DJ43" t="s">
        <v>150</v>
      </c>
      <c r="DL43" s="1" t="s">
        <v>123</v>
      </c>
      <c r="EO43" s="1" t="s">
        <v>123</v>
      </c>
      <c r="FO43" s="1" t="s">
        <v>123</v>
      </c>
      <c r="FP43" t="s">
        <v>132</v>
      </c>
      <c r="GW43" t="s">
        <v>665</v>
      </c>
      <c r="GX43" t="s">
        <v>666</v>
      </c>
      <c r="GY43" t="s">
        <v>667</v>
      </c>
      <c r="GZ43" t="s">
        <v>140</v>
      </c>
      <c r="HA43">
        <v>1989</v>
      </c>
      <c r="HB43" t="s">
        <v>141</v>
      </c>
    </row>
    <row r="44" spans="1:213" hidden="1" x14ac:dyDescent="0.45">
      <c r="A44">
        <v>7</v>
      </c>
      <c r="B44">
        <f>_xlfn.IFNA(VLOOKUP(AnalizaCzyste[[#This Row],[Zakończono wypełnianie]],Zakończone[],2,0),"BRAK")</f>
        <v>7</v>
      </c>
      <c r="C44">
        <f>COUNTA(O44:HF44)</f>
        <v>37</v>
      </c>
      <c r="D44" t="s">
        <v>259</v>
      </c>
      <c r="E44" t="s">
        <v>118</v>
      </c>
      <c r="F44" t="s">
        <v>260</v>
      </c>
      <c r="J44" t="s">
        <v>119</v>
      </c>
      <c r="K44" t="s">
        <v>261</v>
      </c>
      <c r="L44" t="s">
        <v>262</v>
      </c>
      <c r="M44">
        <v>422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>
        <v>2013</v>
      </c>
      <c r="AI44" t="s">
        <v>126</v>
      </c>
      <c r="AJ44" t="s">
        <v>263</v>
      </c>
      <c r="AK44" t="s">
        <v>169</v>
      </c>
      <c r="AL44" t="s">
        <v>150</v>
      </c>
      <c r="AM44" t="s">
        <v>169</v>
      </c>
      <c r="AN44" t="s">
        <v>169</v>
      </c>
      <c r="AO44" t="s">
        <v>169</v>
      </c>
      <c r="AP44">
        <v>4</v>
      </c>
      <c r="AQ44" t="s">
        <v>153</v>
      </c>
      <c r="AR44" t="s">
        <v>153</v>
      </c>
      <c r="AS44" t="s">
        <v>264</v>
      </c>
      <c r="AT44" t="s">
        <v>265</v>
      </c>
      <c r="AU44" t="s">
        <v>266</v>
      </c>
      <c r="AV44" t="s">
        <v>157</v>
      </c>
      <c r="AX44" s="1" t="s">
        <v>123</v>
      </c>
      <c r="CR44" s="1" t="s">
        <v>123</v>
      </c>
      <c r="DB44" s="1" t="s">
        <v>123</v>
      </c>
      <c r="DL44" s="1" t="s">
        <v>123</v>
      </c>
      <c r="EO44" s="1" t="s">
        <v>123</v>
      </c>
      <c r="EP44" t="s">
        <v>180</v>
      </c>
      <c r="EQ44" t="s">
        <v>132</v>
      </c>
      <c r="FO44" s="1" t="s">
        <v>123</v>
      </c>
      <c r="FP44" t="s">
        <v>132</v>
      </c>
      <c r="FR44" t="s">
        <v>132</v>
      </c>
      <c r="GW44" t="s">
        <v>267</v>
      </c>
      <c r="GX44" t="s">
        <v>267</v>
      </c>
      <c r="GY44" t="s">
        <v>267</v>
      </c>
      <c r="GZ44" t="s">
        <v>186</v>
      </c>
      <c r="HA44">
        <v>1988</v>
      </c>
      <c r="HB44" t="s">
        <v>220</v>
      </c>
      <c r="HD44" t="s">
        <v>268</v>
      </c>
      <c r="HE44" t="s">
        <v>268</v>
      </c>
    </row>
    <row r="45" spans="1:213" hidden="1" x14ac:dyDescent="0.45">
      <c r="A45">
        <v>37</v>
      </c>
      <c r="B45">
        <f>_xlfn.IFNA(VLOOKUP(AnalizaCzyste[[#This Row],[Zakończono wypełnianie]],Zakończone[],2,0),"BRAK")</f>
        <v>25</v>
      </c>
      <c r="C45">
        <f>COUNTA(O45:HF45)</f>
        <v>37</v>
      </c>
      <c r="D45" t="s">
        <v>500</v>
      </c>
      <c r="E45" t="s">
        <v>118</v>
      </c>
      <c r="F45" t="s">
        <v>375</v>
      </c>
      <c r="J45" t="s">
        <v>119</v>
      </c>
      <c r="K45" t="s">
        <v>499</v>
      </c>
      <c r="L45" t="s">
        <v>501</v>
      </c>
      <c r="M45">
        <v>394</v>
      </c>
      <c r="N45">
        <v>0</v>
      </c>
      <c r="O45" t="s">
        <v>122</v>
      </c>
      <c r="P45" s="1" t="s">
        <v>123</v>
      </c>
      <c r="AF45" s="1" t="s">
        <v>124</v>
      </c>
      <c r="AG45" t="s">
        <v>445</v>
      </c>
      <c r="AH45">
        <v>2019</v>
      </c>
      <c r="AI45" t="s">
        <v>148</v>
      </c>
      <c r="AJ45" t="s">
        <v>502</v>
      </c>
      <c r="AK45" t="s">
        <v>162</v>
      </c>
      <c r="AL45" t="s">
        <v>162</v>
      </c>
      <c r="AM45" t="s">
        <v>162</v>
      </c>
      <c r="AN45" t="s">
        <v>150</v>
      </c>
      <c r="AO45" t="s">
        <v>132</v>
      </c>
      <c r="AP45">
        <v>0</v>
      </c>
      <c r="AQ45" t="s">
        <v>153</v>
      </c>
      <c r="AR45" t="s">
        <v>132</v>
      </c>
      <c r="AS45" t="s">
        <v>503</v>
      </c>
      <c r="AT45" t="s">
        <v>504</v>
      </c>
      <c r="AU45" t="s">
        <v>505</v>
      </c>
      <c r="AV45" t="s">
        <v>157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506</v>
      </c>
      <c r="GX45" t="s">
        <v>507</v>
      </c>
      <c r="GY45" t="s">
        <v>508</v>
      </c>
      <c r="GZ45" t="s">
        <v>140</v>
      </c>
      <c r="HA45">
        <v>1994</v>
      </c>
      <c r="HB45" t="s">
        <v>220</v>
      </c>
      <c r="HD45" t="s">
        <v>509</v>
      </c>
      <c r="HE45" t="s">
        <v>510</v>
      </c>
    </row>
    <row r="46" spans="1:213" hidden="1" x14ac:dyDescent="0.45">
      <c r="A46">
        <v>63</v>
      </c>
      <c r="B46">
        <f>_xlfn.IFNA(VLOOKUP(AnalizaCzyste[[#This Row],[Zakończono wypełnianie]],Zakończone[],2,0),"BRAK")</f>
        <v>37</v>
      </c>
      <c r="C46">
        <f>COUNTA(O46:HF46)</f>
        <v>37</v>
      </c>
      <c r="D46" t="s">
        <v>679</v>
      </c>
      <c r="E46" t="s">
        <v>118</v>
      </c>
      <c r="F46" t="s">
        <v>359</v>
      </c>
      <c r="J46" t="s">
        <v>119</v>
      </c>
      <c r="K46" t="s">
        <v>680</v>
      </c>
      <c r="L46" t="s">
        <v>681</v>
      </c>
      <c r="M46">
        <v>770</v>
      </c>
      <c r="N46">
        <v>0</v>
      </c>
      <c r="O46" t="s">
        <v>122</v>
      </c>
      <c r="P46" s="1" t="s">
        <v>123</v>
      </c>
      <c r="AF46" s="1" t="s">
        <v>124</v>
      </c>
      <c r="AG46" t="s">
        <v>682</v>
      </c>
      <c r="AH46">
        <v>2017</v>
      </c>
      <c r="AI46" t="s">
        <v>148</v>
      </c>
      <c r="AJ46" t="s">
        <v>601</v>
      </c>
      <c r="AK46" t="s">
        <v>169</v>
      </c>
      <c r="AL46" t="s">
        <v>169</v>
      </c>
      <c r="AM46" t="s">
        <v>150</v>
      </c>
      <c r="AN46" t="s">
        <v>236</v>
      </c>
      <c r="AO46" t="s">
        <v>169</v>
      </c>
      <c r="AP46" t="s">
        <v>683</v>
      </c>
      <c r="AQ46" t="s">
        <v>131</v>
      </c>
      <c r="AR46" t="s">
        <v>153</v>
      </c>
      <c r="AS46" t="s">
        <v>684</v>
      </c>
      <c r="AT46" t="s">
        <v>685</v>
      </c>
      <c r="AU46" t="s">
        <v>686</v>
      </c>
      <c r="AV46" t="s">
        <v>157</v>
      </c>
      <c r="AX46" s="1" t="s">
        <v>123</v>
      </c>
      <c r="CR46" s="1" t="s">
        <v>123</v>
      </c>
      <c r="DB46" s="1" t="s">
        <v>123</v>
      </c>
      <c r="DL46" s="1" t="s">
        <v>123</v>
      </c>
      <c r="EO46" s="1" t="s">
        <v>123</v>
      </c>
      <c r="EP46" t="s">
        <v>180</v>
      </c>
      <c r="EQ46" t="s">
        <v>132</v>
      </c>
      <c r="FO46" s="1" t="s">
        <v>123</v>
      </c>
      <c r="FP46" t="s">
        <v>132</v>
      </c>
      <c r="FR46" t="s">
        <v>132</v>
      </c>
      <c r="GW46" t="s">
        <v>687</v>
      </c>
      <c r="GX46" t="s">
        <v>688</v>
      </c>
      <c r="GY46" t="s">
        <v>689</v>
      </c>
      <c r="GZ46" t="s">
        <v>140</v>
      </c>
      <c r="HA46">
        <v>1994</v>
      </c>
      <c r="HB46" t="s">
        <v>246</v>
      </c>
      <c r="HD46" t="s">
        <v>142</v>
      </c>
      <c r="HE46" t="s">
        <v>142</v>
      </c>
    </row>
    <row r="47" spans="1:213" hidden="1" x14ac:dyDescent="0.45">
      <c r="A47">
        <v>97</v>
      </c>
      <c r="B47">
        <f>_xlfn.IFNA(VLOOKUP(AnalizaCzyste[[#This Row],[Zakończono wypełnianie]],Zakończone[],2,0),"BRAK")</f>
        <v>60</v>
      </c>
      <c r="C47">
        <f>COUNTA(O47:HF47)</f>
        <v>37</v>
      </c>
      <c r="D47" t="s">
        <v>370</v>
      </c>
      <c r="E47" t="s">
        <v>118</v>
      </c>
      <c r="F47" t="s">
        <v>774</v>
      </c>
      <c r="J47" t="s">
        <v>119</v>
      </c>
      <c r="K47" t="s">
        <v>973</v>
      </c>
      <c r="L47" t="s">
        <v>974</v>
      </c>
      <c r="M47">
        <v>1963</v>
      </c>
      <c r="N47">
        <v>0</v>
      </c>
      <c r="O47" t="s">
        <v>122</v>
      </c>
      <c r="P47" s="1" t="s">
        <v>123</v>
      </c>
      <c r="AF47" s="1" t="s">
        <v>124</v>
      </c>
      <c r="AG47" t="s">
        <v>975</v>
      </c>
      <c r="AH47">
        <v>1996</v>
      </c>
      <c r="AI47" t="s">
        <v>148</v>
      </c>
      <c r="AJ47" t="s">
        <v>601</v>
      </c>
      <c r="AK47" t="s">
        <v>128</v>
      </c>
      <c r="AL47" t="s">
        <v>151</v>
      </c>
      <c r="AM47" t="s">
        <v>169</v>
      </c>
      <c r="AN47" t="s">
        <v>129</v>
      </c>
      <c r="AO47" t="s">
        <v>129</v>
      </c>
      <c r="AP47" t="s">
        <v>976</v>
      </c>
      <c r="AQ47" t="s">
        <v>131</v>
      </c>
      <c r="AR47" t="s">
        <v>131</v>
      </c>
      <c r="AS47" t="s">
        <v>802</v>
      </c>
      <c r="AT47" t="s">
        <v>824</v>
      </c>
      <c r="AU47" t="s">
        <v>977</v>
      </c>
      <c r="AV47" t="s">
        <v>230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EP47" t="s">
        <v>178</v>
      </c>
      <c r="EQ47" t="s">
        <v>132</v>
      </c>
      <c r="FO47" s="1" t="s">
        <v>123</v>
      </c>
      <c r="FP47" t="s">
        <v>132</v>
      </c>
      <c r="FR47" t="s">
        <v>132</v>
      </c>
      <c r="GW47" t="s">
        <v>978</v>
      </c>
      <c r="GX47" t="s">
        <v>819</v>
      </c>
      <c r="GY47" t="s">
        <v>979</v>
      </c>
      <c r="GZ47" t="s">
        <v>140</v>
      </c>
      <c r="HA47">
        <v>1962</v>
      </c>
      <c r="HB47" t="s">
        <v>220</v>
      </c>
      <c r="HD47" t="s">
        <v>980</v>
      </c>
      <c r="HE47" t="s">
        <v>386</v>
      </c>
    </row>
    <row r="48" spans="1:213" hidden="1" x14ac:dyDescent="0.45">
      <c r="A48">
        <v>100</v>
      </c>
      <c r="B48">
        <f>_xlfn.IFNA(VLOOKUP(AnalizaCzyste[[#This Row],[Zakończono wypełnianie]],Zakończone[],2,0),"BRAK")</f>
        <v>62</v>
      </c>
      <c r="C48">
        <f>COUNTA(O48:HF48)</f>
        <v>37</v>
      </c>
      <c r="D48" t="s">
        <v>984</v>
      </c>
      <c r="E48" t="s">
        <v>118</v>
      </c>
      <c r="F48" t="s">
        <v>992</v>
      </c>
      <c r="J48" t="s">
        <v>119</v>
      </c>
      <c r="K48" t="s">
        <v>993</v>
      </c>
      <c r="L48" t="s">
        <v>994</v>
      </c>
      <c r="M48">
        <v>1026</v>
      </c>
      <c r="N48">
        <v>0</v>
      </c>
      <c r="O48" t="s">
        <v>122</v>
      </c>
      <c r="P48" s="1" t="s">
        <v>123</v>
      </c>
      <c r="AF48" s="1" t="s">
        <v>124</v>
      </c>
      <c r="AG48" t="s">
        <v>995</v>
      </c>
      <c r="AH48">
        <v>2010</v>
      </c>
      <c r="AI48" t="s">
        <v>148</v>
      </c>
      <c r="AJ48" t="s">
        <v>429</v>
      </c>
      <c r="AK48" t="s">
        <v>169</v>
      </c>
      <c r="AL48" t="s">
        <v>169</v>
      </c>
      <c r="AM48" t="s">
        <v>150</v>
      </c>
      <c r="AN48" t="s">
        <v>236</v>
      </c>
      <c r="AO48" t="s">
        <v>128</v>
      </c>
      <c r="AP48" t="s">
        <v>883</v>
      </c>
      <c r="AQ48" t="s">
        <v>152</v>
      </c>
      <c r="AR48" t="s">
        <v>131</v>
      </c>
      <c r="AS48" t="s">
        <v>996</v>
      </c>
      <c r="AT48" t="s">
        <v>794</v>
      </c>
      <c r="AU48" t="s">
        <v>780</v>
      </c>
      <c r="AV48" t="s">
        <v>230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EP48" t="s">
        <v>180</v>
      </c>
      <c r="EQ48" t="s">
        <v>132</v>
      </c>
      <c r="FO48" s="1" t="s">
        <v>123</v>
      </c>
      <c r="FP48" t="s">
        <v>132</v>
      </c>
      <c r="FR48" t="s">
        <v>132</v>
      </c>
      <c r="GW48" t="s">
        <v>786</v>
      </c>
      <c r="GX48" t="s">
        <v>819</v>
      </c>
      <c r="GY48" t="s">
        <v>820</v>
      </c>
      <c r="GZ48" t="s">
        <v>186</v>
      </c>
      <c r="HA48">
        <v>1986</v>
      </c>
      <c r="HB48" t="s">
        <v>483</v>
      </c>
      <c r="HD48" t="s">
        <v>386</v>
      </c>
      <c r="HE48" t="s">
        <v>386</v>
      </c>
    </row>
    <row r="49" spans="1:213" hidden="1" x14ac:dyDescent="0.45">
      <c r="A49">
        <v>111</v>
      </c>
      <c r="B49">
        <f>_xlfn.IFNA(VLOOKUP(AnalizaCzyste[[#This Row],[Zakończono wypełnianie]],Zakończone[],2,0),"BRAK")</f>
        <v>66</v>
      </c>
      <c r="C49">
        <f>COUNTA(O49:HF49)</f>
        <v>37</v>
      </c>
      <c r="D49" t="s">
        <v>1046</v>
      </c>
      <c r="E49" t="s">
        <v>118</v>
      </c>
      <c r="J49" t="s">
        <v>119</v>
      </c>
      <c r="K49" t="s">
        <v>1047</v>
      </c>
      <c r="L49" t="s">
        <v>1048</v>
      </c>
      <c r="M49">
        <v>1978</v>
      </c>
      <c r="N49">
        <v>0</v>
      </c>
      <c r="O49" t="s">
        <v>122</v>
      </c>
      <c r="P49" s="1" t="s">
        <v>123</v>
      </c>
      <c r="AF49" s="1" t="s">
        <v>124</v>
      </c>
      <c r="AG49" t="s">
        <v>1290</v>
      </c>
      <c r="AH49">
        <v>2009</v>
      </c>
      <c r="AI49" t="s">
        <v>148</v>
      </c>
      <c r="AJ49" t="s">
        <v>1050</v>
      </c>
      <c r="AK49" t="s">
        <v>150</v>
      </c>
      <c r="AL49" t="s">
        <v>162</v>
      </c>
      <c r="AM49" t="s">
        <v>169</v>
      </c>
      <c r="AN49" t="s">
        <v>162</v>
      </c>
      <c r="AO49" t="s">
        <v>150</v>
      </c>
      <c r="AP49" t="s">
        <v>1051</v>
      </c>
      <c r="AQ49" t="s">
        <v>302</v>
      </c>
      <c r="AR49" t="s">
        <v>153</v>
      </c>
      <c r="AS49" t="s">
        <v>1052</v>
      </c>
      <c r="AT49" t="s">
        <v>1053</v>
      </c>
      <c r="AU49" t="s">
        <v>1054</v>
      </c>
      <c r="AV49" t="s">
        <v>230</v>
      </c>
      <c r="AW49" t="s">
        <v>1050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1055</v>
      </c>
      <c r="GX49" t="s">
        <v>1056</v>
      </c>
      <c r="GY49" t="s">
        <v>1057</v>
      </c>
      <c r="GZ49" t="s">
        <v>186</v>
      </c>
      <c r="HA49">
        <v>1978</v>
      </c>
      <c r="HB49" t="s">
        <v>141</v>
      </c>
      <c r="HD49" t="s">
        <v>1058</v>
      </c>
    </row>
    <row r="50" spans="1:213" hidden="1" x14ac:dyDescent="0.45">
      <c r="A50">
        <v>22</v>
      </c>
      <c r="B50">
        <f>_xlfn.IFNA(VLOOKUP(AnalizaCzyste[[#This Row],[Zakończono wypełnianie]],Zakończone[],2,0),"BRAK")</f>
        <v>19</v>
      </c>
      <c r="C50">
        <f>COUNTA(O50:HF50)</f>
        <v>36</v>
      </c>
      <c r="D50" t="s">
        <v>399</v>
      </c>
      <c r="E50" t="s">
        <v>118</v>
      </c>
      <c r="F50" t="s">
        <v>400</v>
      </c>
      <c r="J50" t="s">
        <v>119</v>
      </c>
      <c r="K50" t="s">
        <v>401</v>
      </c>
      <c r="L50" t="s">
        <v>402</v>
      </c>
      <c r="M50">
        <v>1075</v>
      </c>
      <c r="N50">
        <v>0</v>
      </c>
      <c r="O50" t="s">
        <v>122</v>
      </c>
      <c r="P50" s="1" t="s">
        <v>123</v>
      </c>
      <c r="AF50" s="1" t="s">
        <v>124</v>
      </c>
      <c r="AG50" t="s">
        <v>2272</v>
      </c>
      <c r="AH50">
        <v>2010</v>
      </c>
      <c r="AI50" t="s">
        <v>148</v>
      </c>
      <c r="AJ50" t="s">
        <v>404</v>
      </c>
      <c r="AK50" t="s">
        <v>151</v>
      </c>
      <c r="AL50" t="s">
        <v>150</v>
      </c>
      <c r="AM50" t="s">
        <v>162</v>
      </c>
      <c r="AN50" t="s">
        <v>150</v>
      </c>
      <c r="AO50" t="s">
        <v>150</v>
      </c>
      <c r="AP50" t="s">
        <v>405</v>
      </c>
      <c r="AQ50" t="s">
        <v>131</v>
      </c>
      <c r="AR50" t="s">
        <v>302</v>
      </c>
      <c r="AS50" t="s">
        <v>406</v>
      </c>
      <c r="AT50" t="s">
        <v>407</v>
      </c>
      <c r="AU50" t="s">
        <v>408</v>
      </c>
      <c r="AV50" t="s">
        <v>230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EP50" t="s">
        <v>180</v>
      </c>
      <c r="EQ50" t="s">
        <v>132</v>
      </c>
      <c r="FO50" s="1" t="s">
        <v>123</v>
      </c>
      <c r="FP50" t="s">
        <v>132</v>
      </c>
      <c r="FR50" t="s">
        <v>132</v>
      </c>
      <c r="GW50" t="s">
        <v>409</v>
      </c>
      <c r="GX50" t="s">
        <v>410</v>
      </c>
      <c r="GY50" t="s">
        <v>411</v>
      </c>
      <c r="GZ50" t="s">
        <v>140</v>
      </c>
      <c r="HA50">
        <v>1985</v>
      </c>
      <c r="HB50" t="s">
        <v>398</v>
      </c>
      <c r="HD50" t="s">
        <v>412</v>
      </c>
    </row>
    <row r="51" spans="1:213" hidden="1" x14ac:dyDescent="0.45">
      <c r="A51">
        <v>32</v>
      </c>
      <c r="B51">
        <f>_xlfn.IFNA(VLOOKUP(AnalizaCzyste[[#This Row],[Zakończono wypełnianie]],Zakończone[],2,0),"BRAK")</f>
        <v>22</v>
      </c>
      <c r="C51">
        <f>COUNTA(O51:HF51)</f>
        <v>36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123</v>
      </c>
      <c r="EP51" t="s">
        <v>180</v>
      </c>
      <c r="EQ51" t="s">
        <v>132</v>
      </c>
      <c r="FO51" s="1" t="s">
        <v>123</v>
      </c>
      <c r="FP51" t="s">
        <v>132</v>
      </c>
      <c r="FR51" t="s">
        <v>132</v>
      </c>
      <c r="GW51" t="s">
        <v>468</v>
      </c>
      <c r="GX51" t="s">
        <v>469</v>
      </c>
      <c r="GY51" t="s">
        <v>142</v>
      </c>
      <c r="GZ51" t="s">
        <v>140</v>
      </c>
      <c r="HA51">
        <v>1996</v>
      </c>
      <c r="HB51" t="s">
        <v>141</v>
      </c>
      <c r="HD51" t="s">
        <v>470</v>
      </c>
      <c r="HE51" t="s">
        <v>471</v>
      </c>
    </row>
    <row r="52" spans="1:213" hidden="1" x14ac:dyDescent="0.45">
      <c r="A52">
        <v>34</v>
      </c>
      <c r="B52">
        <f>_xlfn.IFNA(VLOOKUP(AnalizaCzyste[[#This Row],[Zakończono wypełnianie]],Zakończone[],2,0),"BRAK")</f>
        <v>24</v>
      </c>
      <c r="C52">
        <f>COUNTA(O52:HF52)</f>
        <v>36</v>
      </c>
      <c r="D52" t="s">
        <v>484</v>
      </c>
      <c r="E52" t="s">
        <v>118</v>
      </c>
      <c r="F52" t="s">
        <v>359</v>
      </c>
      <c r="J52" t="s">
        <v>119</v>
      </c>
      <c r="K52" t="s">
        <v>485</v>
      </c>
      <c r="L52" t="s">
        <v>486</v>
      </c>
      <c r="M52">
        <v>709</v>
      </c>
      <c r="N52">
        <v>0</v>
      </c>
      <c r="O52" t="s">
        <v>122</v>
      </c>
      <c r="P52" s="1" t="s">
        <v>123</v>
      </c>
      <c r="AF52" s="1" t="s">
        <v>124</v>
      </c>
      <c r="AG52" t="s">
        <v>445</v>
      </c>
      <c r="AH52">
        <v>2018</v>
      </c>
      <c r="AI52" t="s">
        <v>148</v>
      </c>
      <c r="AJ52" t="s">
        <v>487</v>
      </c>
      <c r="AK52" t="s">
        <v>162</v>
      </c>
      <c r="AL52" t="s">
        <v>162</v>
      </c>
      <c r="AM52" t="s">
        <v>151</v>
      </c>
      <c r="AN52" t="s">
        <v>129</v>
      </c>
      <c r="AO52" t="s">
        <v>151</v>
      </c>
      <c r="AP52">
        <v>2</v>
      </c>
      <c r="AQ52" t="s">
        <v>131</v>
      </c>
      <c r="AR52" t="s">
        <v>153</v>
      </c>
      <c r="AS52" t="s">
        <v>488</v>
      </c>
      <c r="AT52" t="s">
        <v>489</v>
      </c>
      <c r="AU52" t="s">
        <v>490</v>
      </c>
      <c r="AV52" t="s">
        <v>157</v>
      </c>
      <c r="AX52" s="1" t="s">
        <v>123</v>
      </c>
      <c r="CR52" s="1" t="s">
        <v>123</v>
      </c>
      <c r="DB52" s="1" t="s">
        <v>123</v>
      </c>
      <c r="DL52" s="1" t="s">
        <v>123</v>
      </c>
      <c r="EO52" s="1" t="s">
        <v>123</v>
      </c>
      <c r="EP52" t="s">
        <v>180</v>
      </c>
      <c r="FO52" s="1" t="s">
        <v>123</v>
      </c>
      <c r="FP52" t="s">
        <v>132</v>
      </c>
      <c r="FR52" t="s">
        <v>132</v>
      </c>
      <c r="GW52" t="s">
        <v>491</v>
      </c>
      <c r="GX52" t="s">
        <v>492</v>
      </c>
      <c r="GY52" t="s">
        <v>493</v>
      </c>
      <c r="GZ52" t="s">
        <v>186</v>
      </c>
      <c r="HA52">
        <v>1994</v>
      </c>
      <c r="HB52" t="s">
        <v>483</v>
      </c>
      <c r="HD52" t="s">
        <v>494</v>
      </c>
      <c r="HE52" t="s">
        <v>495</v>
      </c>
    </row>
    <row r="53" spans="1:213" hidden="1" x14ac:dyDescent="0.45">
      <c r="A53">
        <v>52</v>
      </c>
      <c r="B53">
        <f>_xlfn.IFNA(VLOOKUP(AnalizaCzyste[[#This Row],[Zakończono wypełnianie]],Zakończone[],2,0),"BRAK")</f>
        <v>31</v>
      </c>
      <c r="C53">
        <f>COUNTA(O53:HF53)</f>
        <v>36</v>
      </c>
      <c r="D53" t="s">
        <v>598</v>
      </c>
      <c r="E53" t="s">
        <v>118</v>
      </c>
      <c r="F53" t="s">
        <v>359</v>
      </c>
      <c r="J53" t="s">
        <v>119</v>
      </c>
      <c r="K53" t="s">
        <v>599</v>
      </c>
      <c r="L53" t="s">
        <v>600</v>
      </c>
      <c r="M53">
        <v>61362</v>
      </c>
      <c r="N53">
        <v>0</v>
      </c>
      <c r="O53" t="s">
        <v>122</v>
      </c>
      <c r="P53" s="1" t="s">
        <v>123</v>
      </c>
      <c r="AF53" s="1" t="s">
        <v>124</v>
      </c>
      <c r="AG53" t="s">
        <v>445</v>
      </c>
      <c r="AH53">
        <v>2018</v>
      </c>
      <c r="AI53" t="s">
        <v>148</v>
      </c>
      <c r="AJ53" t="s">
        <v>601</v>
      </c>
      <c r="AK53" t="s">
        <v>150</v>
      </c>
      <c r="AL53" t="s">
        <v>162</v>
      </c>
      <c r="AM53" t="s">
        <v>128</v>
      </c>
      <c r="AN53" t="s">
        <v>129</v>
      </c>
      <c r="AO53" t="s">
        <v>132</v>
      </c>
      <c r="AP53" t="s">
        <v>602</v>
      </c>
      <c r="AQ53" t="s">
        <v>131</v>
      </c>
      <c r="AR53" t="s">
        <v>132</v>
      </c>
      <c r="AT53" t="s">
        <v>603</v>
      </c>
      <c r="AU53" t="s">
        <v>604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EP53" t="s">
        <v>180</v>
      </c>
      <c r="EQ53" t="s">
        <v>132</v>
      </c>
      <c r="FO53" s="1" t="s">
        <v>123</v>
      </c>
      <c r="FP53" t="s">
        <v>132</v>
      </c>
      <c r="FR53" t="s">
        <v>132</v>
      </c>
      <c r="GW53" t="s">
        <v>605</v>
      </c>
      <c r="GX53" t="s">
        <v>606</v>
      </c>
      <c r="GY53" t="s">
        <v>607</v>
      </c>
      <c r="GZ53" t="s">
        <v>140</v>
      </c>
      <c r="HA53">
        <v>1994</v>
      </c>
      <c r="HB53" t="s">
        <v>483</v>
      </c>
      <c r="HD53" t="s">
        <v>608</v>
      </c>
      <c r="HE53" t="s">
        <v>609</v>
      </c>
    </row>
    <row r="54" spans="1:213" hidden="1" x14ac:dyDescent="0.45">
      <c r="A54">
        <v>96</v>
      </c>
      <c r="B54">
        <f>_xlfn.IFNA(VLOOKUP(AnalizaCzyste[[#This Row],[Zakończono wypełnianie]],Zakończone[],2,0),"BRAK")</f>
        <v>59</v>
      </c>
      <c r="C54">
        <f>COUNTA(O54:HF54)</f>
        <v>36</v>
      </c>
      <c r="D54" t="s">
        <v>370</v>
      </c>
      <c r="E54" t="s">
        <v>118</v>
      </c>
      <c r="F54" t="s">
        <v>774</v>
      </c>
      <c r="J54" t="s">
        <v>119</v>
      </c>
      <c r="K54" t="s">
        <v>967</v>
      </c>
      <c r="L54" t="s">
        <v>968</v>
      </c>
      <c r="M54">
        <v>5160</v>
      </c>
      <c r="N54">
        <v>0</v>
      </c>
      <c r="O54" t="s">
        <v>122</v>
      </c>
      <c r="P54" s="1" t="s">
        <v>123</v>
      </c>
      <c r="AF54" s="1" t="s">
        <v>124</v>
      </c>
      <c r="AG54" t="s">
        <v>191</v>
      </c>
      <c r="AH54">
        <v>2000</v>
      </c>
      <c r="AI54" t="s">
        <v>148</v>
      </c>
      <c r="AJ54" t="s">
        <v>969</v>
      </c>
      <c r="AK54" t="s">
        <v>151</v>
      </c>
      <c r="AL54" t="s">
        <v>151</v>
      </c>
      <c r="AM54" t="s">
        <v>162</v>
      </c>
      <c r="AN54" t="s">
        <v>162</v>
      </c>
      <c r="AO54" t="s">
        <v>150</v>
      </c>
      <c r="AP54">
        <v>0</v>
      </c>
      <c r="AQ54" t="s">
        <v>153</v>
      </c>
      <c r="AR54" t="s">
        <v>226</v>
      </c>
      <c r="AS54" t="s">
        <v>802</v>
      </c>
      <c r="AT54" t="s">
        <v>824</v>
      </c>
      <c r="AU54" t="s">
        <v>780</v>
      </c>
      <c r="AV54" t="s">
        <v>230</v>
      </c>
      <c r="AW54" t="s">
        <v>970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FR54" t="s">
        <v>132</v>
      </c>
      <c r="GW54" t="s">
        <v>786</v>
      </c>
      <c r="GX54" t="s">
        <v>787</v>
      </c>
      <c r="GY54" t="s">
        <v>807</v>
      </c>
      <c r="GZ54" t="s">
        <v>186</v>
      </c>
      <c r="HA54">
        <v>1968</v>
      </c>
      <c r="HB54" t="s">
        <v>398</v>
      </c>
      <c r="HC54" t="s">
        <v>971</v>
      </c>
      <c r="HD54" t="s">
        <v>972</v>
      </c>
    </row>
    <row r="55" spans="1:213" hidden="1" x14ac:dyDescent="0.45">
      <c r="A55">
        <v>12</v>
      </c>
      <c r="B55">
        <f>_xlfn.IFNA(VLOOKUP(AnalizaCzyste[[#This Row],[Zakończono wypełnianie]],Zakończone[],2,0),"BRAK")</f>
        <v>11</v>
      </c>
      <c r="C55">
        <f>COUNTA(O55:HF55)</f>
        <v>35</v>
      </c>
      <c r="D55" t="s">
        <v>316</v>
      </c>
      <c r="E55" t="s">
        <v>118</v>
      </c>
      <c r="J55" t="s">
        <v>119</v>
      </c>
      <c r="K55" t="s">
        <v>317</v>
      </c>
      <c r="L55" t="s">
        <v>318</v>
      </c>
      <c r="M55">
        <v>349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2010</v>
      </c>
      <c r="AI55" t="s">
        <v>126</v>
      </c>
      <c r="AJ55" t="s">
        <v>319</v>
      </c>
      <c r="AK55" t="s">
        <v>236</v>
      </c>
      <c r="AL55" t="s">
        <v>128</v>
      </c>
      <c r="AM55" t="s">
        <v>162</v>
      </c>
      <c r="AN55" t="s">
        <v>162</v>
      </c>
      <c r="AO55" t="s">
        <v>162</v>
      </c>
      <c r="AP55">
        <v>6</v>
      </c>
      <c r="AQ55" t="s">
        <v>131</v>
      </c>
      <c r="AR55" t="s">
        <v>302</v>
      </c>
      <c r="AS55" t="s">
        <v>320</v>
      </c>
      <c r="AT55" t="s">
        <v>321</v>
      </c>
      <c r="AU55" t="s">
        <v>322</v>
      </c>
      <c r="AV55" t="s">
        <v>157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123</v>
      </c>
      <c r="EP55" t="s">
        <v>180</v>
      </c>
      <c r="EQ55" t="s">
        <v>132</v>
      </c>
      <c r="FO55" s="1" t="s">
        <v>123</v>
      </c>
      <c r="FP55" t="s">
        <v>132</v>
      </c>
      <c r="FR55" t="s">
        <v>132</v>
      </c>
      <c r="GW55" t="s">
        <v>323</v>
      </c>
      <c r="GX55" t="s">
        <v>324</v>
      </c>
      <c r="GY55" t="s">
        <v>325</v>
      </c>
      <c r="GZ55" t="s">
        <v>186</v>
      </c>
      <c r="HA55">
        <v>1985</v>
      </c>
      <c r="HB55" t="s">
        <v>141</v>
      </c>
    </row>
    <row r="56" spans="1:213" hidden="1" x14ac:dyDescent="0.45">
      <c r="A56">
        <v>13</v>
      </c>
      <c r="B56">
        <f>_xlfn.IFNA(VLOOKUP(AnalizaCzyste[[#This Row],[Zakończono wypełnianie]],Zakończone[],2,0),"BRAK")</f>
        <v>12</v>
      </c>
      <c r="C56">
        <f>COUNTA(O56:HF56)</f>
        <v>35</v>
      </c>
      <c r="D56" t="s">
        <v>326</v>
      </c>
      <c r="E56" t="s">
        <v>118</v>
      </c>
      <c r="J56" t="s">
        <v>119</v>
      </c>
      <c r="K56" t="s">
        <v>327</v>
      </c>
      <c r="L56" t="s">
        <v>328</v>
      </c>
      <c r="M56">
        <v>1387173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2011</v>
      </c>
      <c r="AI56" t="s">
        <v>126</v>
      </c>
      <c r="AJ56" t="s">
        <v>330</v>
      </c>
      <c r="AK56" t="s">
        <v>169</v>
      </c>
      <c r="AL56" t="s">
        <v>169</v>
      </c>
      <c r="AM56" t="s">
        <v>150</v>
      </c>
      <c r="AN56" t="s">
        <v>162</v>
      </c>
      <c r="AO56" t="s">
        <v>169</v>
      </c>
      <c r="AP56" t="s">
        <v>331</v>
      </c>
      <c r="AQ56" t="s">
        <v>302</v>
      </c>
      <c r="AR56" t="s">
        <v>226</v>
      </c>
      <c r="AS56" t="s">
        <v>332</v>
      </c>
      <c r="AT56" t="s">
        <v>333</v>
      </c>
      <c r="AU56" t="s">
        <v>334</v>
      </c>
      <c r="AV56" t="s">
        <v>157</v>
      </c>
      <c r="AW56" t="s">
        <v>335</v>
      </c>
      <c r="AX56" s="1" t="s">
        <v>123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336</v>
      </c>
      <c r="GX56" t="s">
        <v>337</v>
      </c>
      <c r="GY56" t="s">
        <v>338</v>
      </c>
      <c r="GZ56" t="s">
        <v>186</v>
      </c>
      <c r="HA56">
        <v>1987</v>
      </c>
      <c r="HB56" t="s">
        <v>246</v>
      </c>
      <c r="HD56" t="s">
        <v>339</v>
      </c>
      <c r="HE56" t="s">
        <v>340</v>
      </c>
    </row>
    <row r="57" spans="1:213" hidden="1" x14ac:dyDescent="0.45">
      <c r="A57">
        <v>26</v>
      </c>
      <c r="B57">
        <f>_xlfn.IFNA(VLOOKUP(AnalizaCzyste[[#This Row],[Zakończono wypełnianie]],Zakończone[],2,0),"BRAK")</f>
        <v>20</v>
      </c>
      <c r="C57">
        <f>COUNTA(O57:HF57)</f>
        <v>35</v>
      </c>
      <c r="D57" t="s">
        <v>425</v>
      </c>
      <c r="E57" t="s">
        <v>118</v>
      </c>
      <c r="J57" t="s">
        <v>119</v>
      </c>
      <c r="K57" t="s">
        <v>426</v>
      </c>
      <c r="L57" t="s">
        <v>427</v>
      </c>
      <c r="M57">
        <v>1039</v>
      </c>
      <c r="N57">
        <v>0</v>
      </c>
      <c r="O57" t="s">
        <v>122</v>
      </c>
      <c r="P57" s="1" t="s">
        <v>123</v>
      </c>
      <c r="AF57" s="1" t="s">
        <v>124</v>
      </c>
      <c r="AG57" t="s">
        <v>428</v>
      </c>
      <c r="AH57">
        <v>2011</v>
      </c>
      <c r="AI57" t="s">
        <v>148</v>
      </c>
      <c r="AJ57" t="s">
        <v>429</v>
      </c>
      <c r="AK57" t="s">
        <v>162</v>
      </c>
      <c r="AL57" t="s">
        <v>162</v>
      </c>
      <c r="AM57" t="s">
        <v>128</v>
      </c>
      <c r="AN57" t="s">
        <v>128</v>
      </c>
      <c r="AO57" t="s">
        <v>128</v>
      </c>
      <c r="AP57">
        <v>2</v>
      </c>
      <c r="AQ57" t="s">
        <v>131</v>
      </c>
      <c r="AR57" t="s">
        <v>302</v>
      </c>
      <c r="AS57" t="s">
        <v>430</v>
      </c>
      <c r="AT57" t="s">
        <v>431</v>
      </c>
      <c r="AU57" t="s">
        <v>432</v>
      </c>
      <c r="AV57" t="s">
        <v>157</v>
      </c>
      <c r="AX57" s="1" t="s">
        <v>123</v>
      </c>
      <c r="CR57" s="1" t="s">
        <v>123</v>
      </c>
      <c r="DB57" s="1" t="s">
        <v>123</v>
      </c>
      <c r="DL57" s="1" t="s">
        <v>123</v>
      </c>
      <c r="EO57" s="1" t="s">
        <v>123</v>
      </c>
      <c r="EP57" t="s">
        <v>180</v>
      </c>
      <c r="EQ57" t="s">
        <v>132</v>
      </c>
      <c r="FO57" s="1" t="s">
        <v>123</v>
      </c>
      <c r="FP57" t="s">
        <v>132</v>
      </c>
      <c r="FR57" t="s">
        <v>132</v>
      </c>
      <c r="GW57" t="s">
        <v>433</v>
      </c>
      <c r="GX57" t="s">
        <v>434</v>
      </c>
      <c r="GY57" t="s">
        <v>435</v>
      </c>
      <c r="GZ57" t="s">
        <v>140</v>
      </c>
      <c r="HA57">
        <v>1987</v>
      </c>
      <c r="HB57" t="s">
        <v>141</v>
      </c>
    </row>
    <row r="58" spans="1:213" hidden="1" x14ac:dyDescent="0.45">
      <c r="A58">
        <v>61</v>
      </c>
      <c r="B58">
        <f>_xlfn.IFNA(VLOOKUP(AnalizaCzyste[[#This Row],[Zakończono wypełnianie]],Zakończone[],2,0),"BRAK")</f>
        <v>36</v>
      </c>
      <c r="C58">
        <f>COUNTA(O58:HF58)</f>
        <v>35</v>
      </c>
      <c r="D58" t="s">
        <v>668</v>
      </c>
      <c r="E58" t="s">
        <v>118</v>
      </c>
      <c r="F58" t="s">
        <v>359</v>
      </c>
      <c r="J58" t="s">
        <v>119</v>
      </c>
      <c r="K58" t="s">
        <v>669</v>
      </c>
      <c r="L58" t="s">
        <v>670</v>
      </c>
      <c r="M58">
        <v>463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>
        <v>2019</v>
      </c>
      <c r="AI58" t="s">
        <v>148</v>
      </c>
      <c r="AJ58" t="s">
        <v>601</v>
      </c>
      <c r="AK58" t="s">
        <v>162</v>
      </c>
      <c r="AL58" t="s">
        <v>162</v>
      </c>
      <c r="AM58" t="s">
        <v>129</v>
      </c>
      <c r="AN58" t="s">
        <v>129</v>
      </c>
      <c r="AO58" t="s">
        <v>129</v>
      </c>
      <c r="AP58">
        <v>4</v>
      </c>
      <c r="AQ58" t="s">
        <v>152</v>
      </c>
      <c r="AR58" t="s">
        <v>131</v>
      </c>
      <c r="AS58" t="s">
        <v>671</v>
      </c>
      <c r="AT58" t="s">
        <v>672</v>
      </c>
      <c r="AU58" t="s">
        <v>673</v>
      </c>
      <c r="AV58" t="s">
        <v>157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674</v>
      </c>
      <c r="GX58" t="s">
        <v>675</v>
      </c>
      <c r="GY58" t="s">
        <v>676</v>
      </c>
      <c r="GZ58" t="s">
        <v>140</v>
      </c>
      <c r="HA58">
        <v>1994</v>
      </c>
      <c r="HB58" t="s">
        <v>483</v>
      </c>
    </row>
    <row r="59" spans="1:213" hidden="1" x14ac:dyDescent="0.45">
      <c r="A59">
        <v>67</v>
      </c>
      <c r="B59">
        <f>_xlfn.IFNA(VLOOKUP(AnalizaCzyste[[#This Row],[Zakończono wypełnianie]],Zakończone[],2,0),"BRAK")</f>
        <v>38</v>
      </c>
      <c r="C59">
        <f>COUNTA(O59:HF59)</f>
        <v>35</v>
      </c>
      <c r="D59" t="s">
        <v>698</v>
      </c>
      <c r="E59" t="s">
        <v>118</v>
      </c>
      <c r="F59" t="s">
        <v>359</v>
      </c>
      <c r="J59" t="s">
        <v>119</v>
      </c>
      <c r="K59" t="s">
        <v>699</v>
      </c>
      <c r="L59" t="s">
        <v>700</v>
      </c>
      <c r="M59">
        <v>1910</v>
      </c>
      <c r="N59">
        <v>0</v>
      </c>
      <c r="O59" t="s">
        <v>122</v>
      </c>
      <c r="P59" s="1" t="s">
        <v>123</v>
      </c>
      <c r="AF59" s="1" t="s">
        <v>124</v>
      </c>
      <c r="AG59" t="s">
        <v>701</v>
      </c>
      <c r="AH59">
        <v>2020</v>
      </c>
      <c r="AI59" t="s">
        <v>148</v>
      </c>
      <c r="AJ59" t="s">
        <v>702</v>
      </c>
      <c r="AK59" t="s">
        <v>162</v>
      </c>
      <c r="AL59" t="s">
        <v>162</v>
      </c>
      <c r="AM59" t="s">
        <v>236</v>
      </c>
      <c r="AN59" t="s">
        <v>236</v>
      </c>
      <c r="AO59" t="s">
        <v>132</v>
      </c>
      <c r="AP59" t="s">
        <v>703</v>
      </c>
      <c r="AQ59" t="s">
        <v>131</v>
      </c>
      <c r="AR59" t="s">
        <v>132</v>
      </c>
      <c r="AS59" t="s">
        <v>704</v>
      </c>
      <c r="AT59" t="s">
        <v>705</v>
      </c>
      <c r="AU59" t="s">
        <v>706</v>
      </c>
      <c r="AV59" t="s">
        <v>157</v>
      </c>
      <c r="AX59" s="1" t="s">
        <v>123</v>
      </c>
      <c r="CR59" s="1" t="s">
        <v>123</v>
      </c>
      <c r="DB59" s="1" t="s">
        <v>123</v>
      </c>
      <c r="DL59" s="1" t="s">
        <v>123</v>
      </c>
      <c r="EO59" s="1" t="s">
        <v>123</v>
      </c>
      <c r="EP59" t="s">
        <v>180</v>
      </c>
      <c r="EQ59" t="s">
        <v>132</v>
      </c>
      <c r="FO59" s="1" t="s">
        <v>123</v>
      </c>
      <c r="FP59" t="s">
        <v>132</v>
      </c>
      <c r="FR59" t="s">
        <v>132</v>
      </c>
      <c r="GW59" t="s">
        <v>707</v>
      </c>
      <c r="GX59" t="s">
        <v>708</v>
      </c>
      <c r="GY59" t="s">
        <v>709</v>
      </c>
      <c r="GZ59" t="s">
        <v>140</v>
      </c>
      <c r="HA59">
        <v>1994</v>
      </c>
      <c r="HB59" t="s">
        <v>220</v>
      </c>
    </row>
    <row r="60" spans="1:213" hidden="1" x14ac:dyDescent="0.45">
      <c r="A60">
        <v>80</v>
      </c>
      <c r="B60">
        <f>_xlfn.IFNA(VLOOKUP(AnalizaCzyste[[#This Row],[Zakończono wypełnianie]],Zakończone[],2,0),"BRAK")</f>
        <v>45</v>
      </c>
      <c r="C60">
        <f>COUNTA(O60:HF60)</f>
        <v>35</v>
      </c>
      <c r="D60" t="s">
        <v>370</v>
      </c>
      <c r="E60" t="s">
        <v>118</v>
      </c>
      <c r="F60" t="s">
        <v>774</v>
      </c>
      <c r="J60" t="s">
        <v>119</v>
      </c>
      <c r="K60" t="s">
        <v>811</v>
      </c>
      <c r="L60" t="s">
        <v>812</v>
      </c>
      <c r="M60">
        <v>1671</v>
      </c>
      <c r="N60">
        <v>0</v>
      </c>
      <c r="O60" t="s">
        <v>122</v>
      </c>
      <c r="P60" s="1" t="s">
        <v>123</v>
      </c>
      <c r="AF60" s="1" t="s">
        <v>124</v>
      </c>
      <c r="AG60" t="s">
        <v>813</v>
      </c>
      <c r="AH60">
        <v>1956</v>
      </c>
      <c r="AI60" t="s">
        <v>148</v>
      </c>
      <c r="AJ60" t="s">
        <v>601</v>
      </c>
      <c r="AK60" t="s">
        <v>162</v>
      </c>
      <c r="AL60" t="s">
        <v>162</v>
      </c>
      <c r="AM60" t="s">
        <v>150</v>
      </c>
      <c r="AN60" t="s">
        <v>236</v>
      </c>
      <c r="AO60" t="s">
        <v>236</v>
      </c>
      <c r="AP60" t="s">
        <v>814</v>
      </c>
      <c r="AQ60" t="s">
        <v>131</v>
      </c>
      <c r="AR60" t="s">
        <v>131</v>
      </c>
      <c r="AT60" t="s">
        <v>815</v>
      </c>
      <c r="AU60" t="s">
        <v>816</v>
      </c>
      <c r="AV60" t="s">
        <v>172</v>
      </c>
      <c r="AW60" t="s">
        <v>817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123</v>
      </c>
      <c r="EP60" t="s">
        <v>180</v>
      </c>
      <c r="EQ60" t="s">
        <v>132</v>
      </c>
      <c r="FO60" s="1" t="s">
        <v>123</v>
      </c>
      <c r="FP60" t="s">
        <v>132</v>
      </c>
      <c r="FR60" t="s">
        <v>132</v>
      </c>
      <c r="GW60" t="s">
        <v>818</v>
      </c>
      <c r="GX60" t="s">
        <v>819</v>
      </c>
      <c r="GY60" t="s">
        <v>820</v>
      </c>
      <c r="GZ60" t="s">
        <v>140</v>
      </c>
      <c r="HA60">
        <v>1933</v>
      </c>
      <c r="HB60" t="s">
        <v>220</v>
      </c>
    </row>
    <row r="61" spans="1:213" hidden="1" x14ac:dyDescent="0.45">
      <c r="A61">
        <v>89</v>
      </c>
      <c r="B61">
        <f>_xlfn.IFNA(VLOOKUP(AnalizaCzyste[[#This Row],[Zakończono wypełnianie]],Zakończone[],2,0),"BRAK")</f>
        <v>54</v>
      </c>
      <c r="C61">
        <f>COUNTA(O61:HF61)</f>
        <v>35</v>
      </c>
      <c r="D61" t="s">
        <v>902</v>
      </c>
      <c r="E61" t="s">
        <v>118</v>
      </c>
      <c r="J61" t="s">
        <v>119</v>
      </c>
      <c r="K61" t="s">
        <v>903</v>
      </c>
      <c r="L61" t="s">
        <v>904</v>
      </c>
      <c r="M61">
        <v>255</v>
      </c>
      <c r="N61">
        <v>0</v>
      </c>
      <c r="O61" t="s">
        <v>122</v>
      </c>
      <c r="P61" s="1" t="s">
        <v>123</v>
      </c>
      <c r="AF61" s="1" t="s">
        <v>124</v>
      </c>
      <c r="AG61" t="s">
        <v>191</v>
      </c>
      <c r="AH61">
        <v>2009</v>
      </c>
      <c r="AI61" t="s">
        <v>126</v>
      </c>
      <c r="AJ61" t="s">
        <v>906</v>
      </c>
      <c r="AK61" t="s">
        <v>151</v>
      </c>
      <c r="AL61" t="s">
        <v>151</v>
      </c>
      <c r="AM61" t="s">
        <v>150</v>
      </c>
      <c r="AN61" t="s">
        <v>128</v>
      </c>
      <c r="AO61" t="s">
        <v>162</v>
      </c>
      <c r="AP61" t="s">
        <v>907</v>
      </c>
      <c r="AQ61" t="s">
        <v>131</v>
      </c>
      <c r="AR61" t="s">
        <v>759</v>
      </c>
      <c r="AS61" t="s">
        <v>908</v>
      </c>
      <c r="AT61" t="s">
        <v>908</v>
      </c>
      <c r="AU61" t="s">
        <v>909</v>
      </c>
      <c r="AV61" t="s">
        <v>172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FR61" t="s">
        <v>132</v>
      </c>
      <c r="GW61" t="s">
        <v>910</v>
      </c>
      <c r="GX61" t="s">
        <v>911</v>
      </c>
      <c r="GY61" t="s">
        <v>912</v>
      </c>
      <c r="GZ61" t="s">
        <v>186</v>
      </c>
      <c r="HA61">
        <v>1983</v>
      </c>
      <c r="HB61" t="s">
        <v>141</v>
      </c>
    </row>
    <row r="62" spans="1:213" hidden="1" x14ac:dyDescent="0.45">
      <c r="A62">
        <v>105</v>
      </c>
      <c r="B62">
        <f>_xlfn.IFNA(VLOOKUP(AnalizaCzyste[[#This Row],[Zakończono wypełnianie]],Zakończone[],2,0),"BRAK")</f>
        <v>64</v>
      </c>
      <c r="C62">
        <f>COUNTA(O62:HF62)</f>
        <v>35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N62">
        <v>0</v>
      </c>
      <c r="O62" t="s">
        <v>122</v>
      </c>
      <c r="P62" s="1" t="s">
        <v>123</v>
      </c>
      <c r="AF62" s="1" t="s">
        <v>124</v>
      </c>
      <c r="AG62" t="s">
        <v>223</v>
      </c>
      <c r="AH62">
        <v>2003</v>
      </c>
      <c r="AI62" t="s">
        <v>148</v>
      </c>
      <c r="AJ62" t="s">
        <v>1017</v>
      </c>
      <c r="AK62" t="s">
        <v>128</v>
      </c>
      <c r="AL62" t="s">
        <v>128</v>
      </c>
      <c r="AM62" t="s">
        <v>128</v>
      </c>
      <c r="AN62" t="s">
        <v>236</v>
      </c>
      <c r="AO62" t="s">
        <v>132</v>
      </c>
      <c r="AP62" t="s">
        <v>1018</v>
      </c>
      <c r="AQ62" t="s">
        <v>131</v>
      </c>
      <c r="AR62" t="s">
        <v>131</v>
      </c>
      <c r="AT62" t="s">
        <v>1019</v>
      </c>
      <c r="AU62" t="s">
        <v>1020</v>
      </c>
      <c r="AV62" t="s">
        <v>157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180</v>
      </c>
      <c r="EQ62" t="s">
        <v>132</v>
      </c>
      <c r="FO62" s="1" t="s">
        <v>123</v>
      </c>
      <c r="FP62" t="s">
        <v>132</v>
      </c>
      <c r="FR62" t="s">
        <v>132</v>
      </c>
      <c r="GW62" t="s">
        <v>276</v>
      </c>
      <c r="GX62" t="s">
        <v>1021</v>
      </c>
      <c r="GY62" t="s">
        <v>1022</v>
      </c>
      <c r="GZ62" t="s">
        <v>140</v>
      </c>
      <c r="HA62">
        <v>1980</v>
      </c>
      <c r="HB62" t="s">
        <v>483</v>
      </c>
      <c r="HD62" t="s">
        <v>1023</v>
      </c>
    </row>
    <row r="63" spans="1:213" hidden="1" x14ac:dyDescent="0.45">
      <c r="A63">
        <v>110</v>
      </c>
      <c r="B63">
        <f>_xlfn.IFNA(VLOOKUP(AnalizaCzyste[[#This Row],[Zakończono wypełnianie]],Zakończone[],2,0),"BRAK")</f>
        <v>65</v>
      </c>
      <c r="C63">
        <f>COUNTA(O63:HF63)</f>
        <v>35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N63">
        <v>0</v>
      </c>
      <c r="O63" t="s">
        <v>122</v>
      </c>
      <c r="P63" s="1" t="s">
        <v>123</v>
      </c>
      <c r="AF63" s="1" t="s">
        <v>124</v>
      </c>
      <c r="AG63" t="s">
        <v>1037</v>
      </c>
      <c r="AH63" t="s">
        <v>1038</v>
      </c>
      <c r="AI63" t="s">
        <v>126</v>
      </c>
      <c r="AJ63" t="s">
        <v>1039</v>
      </c>
      <c r="AK63" t="s">
        <v>128</v>
      </c>
      <c r="AL63" t="s">
        <v>151</v>
      </c>
      <c r="AM63" t="s">
        <v>236</v>
      </c>
      <c r="AN63" t="s">
        <v>129</v>
      </c>
      <c r="AO63" t="s">
        <v>129</v>
      </c>
      <c r="AP63">
        <v>5</v>
      </c>
      <c r="AQ63" t="s">
        <v>302</v>
      </c>
      <c r="AR63" t="s">
        <v>302</v>
      </c>
      <c r="AT63" t="s">
        <v>1040</v>
      </c>
      <c r="AU63" t="s">
        <v>1041</v>
      </c>
      <c r="AV63" t="s">
        <v>892</v>
      </c>
      <c r="AW63" t="s">
        <v>1042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EP63" t="s">
        <v>180</v>
      </c>
      <c r="EQ63" t="s">
        <v>132</v>
      </c>
      <c r="FO63" s="1" t="s">
        <v>123</v>
      </c>
      <c r="FP63" t="s">
        <v>132</v>
      </c>
      <c r="FR63" t="s">
        <v>132</v>
      </c>
      <c r="GW63" t="s">
        <v>1043</v>
      </c>
      <c r="GX63" t="s">
        <v>1044</v>
      </c>
      <c r="GY63" t="s">
        <v>1045</v>
      </c>
      <c r="GZ63" t="s">
        <v>186</v>
      </c>
      <c r="HA63">
        <v>1982</v>
      </c>
      <c r="HB63" t="s">
        <v>246</v>
      </c>
    </row>
    <row r="64" spans="1:213" hidden="1" x14ac:dyDescent="0.45">
      <c r="A64">
        <v>131</v>
      </c>
      <c r="B64">
        <f>_xlfn.IFNA(VLOOKUP(AnalizaCzyste[[#This Row],[Zakończono wypełnianie]],Zakończone[],2,0),"BRAK")</f>
        <v>80</v>
      </c>
      <c r="C64">
        <f>COUNTA(O64:HF64)</f>
        <v>35</v>
      </c>
      <c r="D64" t="s">
        <v>1238</v>
      </c>
      <c r="E64" t="s">
        <v>118</v>
      </c>
      <c r="J64" t="s">
        <v>119</v>
      </c>
      <c r="K64" t="s">
        <v>1239</v>
      </c>
      <c r="L64" t="s">
        <v>1240</v>
      </c>
      <c r="M64">
        <v>356</v>
      </c>
      <c r="N64">
        <v>0</v>
      </c>
      <c r="O64" t="s">
        <v>122</v>
      </c>
      <c r="P64" s="1" t="s">
        <v>123</v>
      </c>
      <c r="AF64" s="1" t="s">
        <v>124</v>
      </c>
      <c r="AG64" t="s">
        <v>223</v>
      </c>
      <c r="AH64">
        <v>1997</v>
      </c>
      <c r="AI64" t="s">
        <v>148</v>
      </c>
      <c r="AJ64" t="s">
        <v>161</v>
      </c>
      <c r="AK64" t="s">
        <v>128</v>
      </c>
      <c r="AL64" t="s">
        <v>128</v>
      </c>
      <c r="AM64" t="s">
        <v>162</v>
      </c>
      <c r="AN64" t="s">
        <v>162</v>
      </c>
      <c r="AO64" t="s">
        <v>162</v>
      </c>
      <c r="AP64">
        <v>1</v>
      </c>
      <c r="AQ64" t="s">
        <v>131</v>
      </c>
      <c r="AR64" t="s">
        <v>131</v>
      </c>
      <c r="AS64" t="s">
        <v>1241</v>
      </c>
      <c r="AT64" t="s">
        <v>1242</v>
      </c>
      <c r="AU64" t="s">
        <v>1243</v>
      </c>
      <c r="AV64" t="s">
        <v>157</v>
      </c>
      <c r="AW64" t="s">
        <v>1244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GW64" t="s">
        <v>1245</v>
      </c>
      <c r="GX64" t="s">
        <v>1246</v>
      </c>
      <c r="GY64" t="s">
        <v>1247</v>
      </c>
      <c r="GZ64" t="s">
        <v>186</v>
      </c>
      <c r="HA64">
        <v>1974</v>
      </c>
      <c r="HB64" t="s">
        <v>398</v>
      </c>
      <c r="HD64" t="s">
        <v>1248</v>
      </c>
    </row>
    <row r="65" spans="1:214" hidden="1" x14ac:dyDescent="0.45">
      <c r="A65">
        <v>211</v>
      </c>
      <c r="B65">
        <f>_xlfn.IFNA(VLOOKUP(AnalizaCzyste[[#This Row],[Zakończono wypełnianie]],Zakończone[],2,0),"BRAK")</f>
        <v>115</v>
      </c>
      <c r="C65">
        <f>COUNTA(O65:HF65)</f>
        <v>35</v>
      </c>
      <c r="D65" t="s">
        <v>1572</v>
      </c>
      <c r="E65" t="s">
        <v>118</v>
      </c>
      <c r="J65" t="s">
        <v>119</v>
      </c>
      <c r="K65" t="s">
        <v>1738</v>
      </c>
      <c r="L65" t="s">
        <v>1739</v>
      </c>
      <c r="M65">
        <v>1112</v>
      </c>
      <c r="N65">
        <v>0</v>
      </c>
      <c r="O65" t="s">
        <v>122</v>
      </c>
      <c r="P65" s="1" t="s">
        <v>123</v>
      </c>
      <c r="AF65" s="1" t="s">
        <v>124</v>
      </c>
      <c r="AG65" t="s">
        <v>125</v>
      </c>
      <c r="AH65">
        <v>2001</v>
      </c>
      <c r="AI65" t="s">
        <v>126</v>
      </c>
      <c r="AJ65" t="s">
        <v>1339</v>
      </c>
      <c r="AK65" t="s">
        <v>150</v>
      </c>
      <c r="AL65" t="s">
        <v>150</v>
      </c>
      <c r="AM65" t="s">
        <v>150</v>
      </c>
      <c r="AN65" t="s">
        <v>162</v>
      </c>
      <c r="AO65" t="s">
        <v>162</v>
      </c>
      <c r="AP65" t="s">
        <v>1740</v>
      </c>
      <c r="AQ65" t="s">
        <v>131</v>
      </c>
      <c r="AR65" t="s">
        <v>302</v>
      </c>
      <c r="AS65" t="s">
        <v>1741</v>
      </c>
      <c r="AT65" t="s">
        <v>1742</v>
      </c>
      <c r="AU65" t="s">
        <v>1743</v>
      </c>
      <c r="AV65" t="s">
        <v>157</v>
      </c>
      <c r="AW65" t="s">
        <v>1744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GW65" t="s">
        <v>1745</v>
      </c>
      <c r="GX65" t="s">
        <v>1746</v>
      </c>
      <c r="GY65" t="s">
        <v>1747</v>
      </c>
      <c r="GZ65" t="s">
        <v>186</v>
      </c>
      <c r="HA65">
        <v>1976</v>
      </c>
      <c r="HB65" t="s">
        <v>141</v>
      </c>
      <c r="HD65" t="s">
        <v>1748</v>
      </c>
      <c r="HE65" t="s">
        <v>1749</v>
      </c>
      <c r="HF65" t="s">
        <v>1750</v>
      </c>
    </row>
    <row r="66" spans="1:214" hidden="1" x14ac:dyDescent="0.45">
      <c r="A66">
        <v>1</v>
      </c>
      <c r="B66">
        <f>_xlfn.IFNA(VLOOKUP(AnalizaCzyste[[#This Row],[Zakończono wypełnianie]],Zakończone[],2,0),"BRAK")</f>
        <v>1</v>
      </c>
      <c r="C66">
        <f>COUNTA(O66:HF66)</f>
        <v>34</v>
      </c>
      <c r="D66" t="s">
        <v>117</v>
      </c>
      <c r="E66" t="s">
        <v>118</v>
      </c>
      <c r="J66" t="s">
        <v>119</v>
      </c>
      <c r="K66" t="s">
        <v>120</v>
      </c>
      <c r="L66" t="s">
        <v>121</v>
      </c>
      <c r="M66">
        <v>65871</v>
      </c>
      <c r="N66">
        <v>0</v>
      </c>
      <c r="O66" t="s">
        <v>122</v>
      </c>
      <c r="P66" s="1" t="s">
        <v>123</v>
      </c>
      <c r="AF66" s="1" t="s">
        <v>124</v>
      </c>
      <c r="AG66" t="s">
        <v>125</v>
      </c>
      <c r="AI66" t="s">
        <v>126</v>
      </c>
      <c r="AJ66" t="s">
        <v>127</v>
      </c>
      <c r="AK66" t="s">
        <v>128</v>
      </c>
      <c r="AL66" t="s">
        <v>128</v>
      </c>
      <c r="AM66" t="s">
        <v>129</v>
      </c>
      <c r="AN66" t="s">
        <v>129</v>
      </c>
      <c r="AO66" t="s">
        <v>129</v>
      </c>
      <c r="AP66" t="s">
        <v>130</v>
      </c>
      <c r="AQ66" t="s">
        <v>131</v>
      </c>
      <c r="AR66" t="s">
        <v>132</v>
      </c>
      <c r="AS66" t="s">
        <v>133</v>
      </c>
      <c r="AT66" t="s">
        <v>134</v>
      </c>
      <c r="AU66" t="s">
        <v>135</v>
      </c>
      <c r="AW66" t="s">
        <v>136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FO66" s="1" t="s">
        <v>123</v>
      </c>
      <c r="FP66" t="s">
        <v>132</v>
      </c>
      <c r="GW66" t="s">
        <v>137</v>
      </c>
      <c r="GX66" t="s">
        <v>138</v>
      </c>
      <c r="GY66" t="s">
        <v>139</v>
      </c>
      <c r="GZ66" t="s">
        <v>140</v>
      </c>
      <c r="HA66">
        <v>1987</v>
      </c>
      <c r="HB66" t="s">
        <v>141</v>
      </c>
      <c r="HD66" t="s">
        <v>142</v>
      </c>
      <c r="HE66" t="s">
        <v>142</v>
      </c>
      <c r="HF66" t="s">
        <v>143</v>
      </c>
    </row>
    <row r="67" spans="1:214" hidden="1" x14ac:dyDescent="0.45">
      <c r="A67">
        <v>16</v>
      </c>
      <c r="B67">
        <f>_xlfn.IFNA(VLOOKUP(AnalizaCzyste[[#This Row],[Zakończono wypełnianie]],Zakończone[],2,0),"BRAK")</f>
        <v>15</v>
      </c>
      <c r="C67">
        <f>COUNTA(O67:HF67)</f>
        <v>34</v>
      </c>
      <c r="D67" t="s">
        <v>347</v>
      </c>
      <c r="E67" t="s">
        <v>118</v>
      </c>
      <c r="J67" t="s">
        <v>119</v>
      </c>
      <c r="K67" t="s">
        <v>348</v>
      </c>
      <c r="L67" t="s">
        <v>349</v>
      </c>
      <c r="M67">
        <v>781</v>
      </c>
      <c r="N67">
        <v>0</v>
      </c>
      <c r="O67" t="s">
        <v>122</v>
      </c>
      <c r="P67" s="1" t="s">
        <v>123</v>
      </c>
      <c r="AF67" s="1" t="s">
        <v>124</v>
      </c>
      <c r="AG67" t="s">
        <v>191</v>
      </c>
      <c r="AH67">
        <v>2010</v>
      </c>
      <c r="AI67" t="s">
        <v>126</v>
      </c>
      <c r="AJ67" t="s">
        <v>127</v>
      </c>
      <c r="AK67" t="s">
        <v>150</v>
      </c>
      <c r="AL67" t="s">
        <v>128</v>
      </c>
      <c r="AM67" t="s">
        <v>151</v>
      </c>
      <c r="AN67" t="s">
        <v>162</v>
      </c>
      <c r="AO67" t="s">
        <v>162</v>
      </c>
      <c r="AP67" t="s">
        <v>350</v>
      </c>
      <c r="AQ67" t="s">
        <v>302</v>
      </c>
      <c r="AR67" t="s">
        <v>302</v>
      </c>
      <c r="AS67" t="s">
        <v>351</v>
      </c>
      <c r="AT67" t="s">
        <v>352</v>
      </c>
      <c r="AU67" t="s">
        <v>353</v>
      </c>
      <c r="AV67" t="s">
        <v>157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123</v>
      </c>
      <c r="EQ67" t="s">
        <v>132</v>
      </c>
      <c r="FO67" s="1" t="s">
        <v>123</v>
      </c>
      <c r="FP67" t="s">
        <v>132</v>
      </c>
      <c r="GW67" t="s">
        <v>354</v>
      </c>
      <c r="GX67" t="s">
        <v>355</v>
      </c>
      <c r="GY67" t="s">
        <v>356</v>
      </c>
      <c r="GZ67" t="s">
        <v>140</v>
      </c>
      <c r="HA67">
        <v>1986</v>
      </c>
      <c r="HB67" t="s">
        <v>141</v>
      </c>
      <c r="HD67" t="s">
        <v>357</v>
      </c>
    </row>
    <row r="68" spans="1:214" hidden="1" x14ac:dyDescent="0.45">
      <c r="A68">
        <v>45</v>
      </c>
      <c r="B68">
        <f>_xlfn.IFNA(VLOOKUP(AnalizaCzyste[[#This Row],[Zakończono wypełnianie]],Zakończone[],2,0),"BRAK")</f>
        <v>28</v>
      </c>
      <c r="C68">
        <f>COUNTA(O68:HF68)</f>
        <v>34</v>
      </c>
      <c r="D68" t="s">
        <v>550</v>
      </c>
      <c r="E68" t="s">
        <v>118</v>
      </c>
      <c r="F68" t="s">
        <v>375</v>
      </c>
      <c r="J68" t="s">
        <v>119</v>
      </c>
      <c r="K68" t="s">
        <v>551</v>
      </c>
      <c r="L68" t="s">
        <v>552</v>
      </c>
      <c r="M68">
        <v>836</v>
      </c>
      <c r="N68">
        <v>0</v>
      </c>
      <c r="O68" t="s">
        <v>122</v>
      </c>
      <c r="P68" s="1" t="s">
        <v>123</v>
      </c>
      <c r="AF68" s="1" t="s">
        <v>124</v>
      </c>
      <c r="AG68" t="s">
        <v>553</v>
      </c>
      <c r="AH68">
        <v>2019</v>
      </c>
      <c r="AI68" t="s">
        <v>148</v>
      </c>
      <c r="AJ68" t="s">
        <v>554</v>
      </c>
      <c r="AK68" t="s">
        <v>162</v>
      </c>
      <c r="AL68" t="s">
        <v>162</v>
      </c>
      <c r="AM68" t="s">
        <v>236</v>
      </c>
      <c r="AN68" t="s">
        <v>151</v>
      </c>
      <c r="AO68" t="s">
        <v>162</v>
      </c>
      <c r="AP68" t="s">
        <v>237</v>
      </c>
      <c r="AQ68" t="s">
        <v>132</v>
      </c>
      <c r="AR68" t="s">
        <v>132</v>
      </c>
      <c r="AS68" t="s">
        <v>555</v>
      </c>
      <c r="AT68" t="s">
        <v>556</v>
      </c>
      <c r="AU68" t="s">
        <v>557</v>
      </c>
      <c r="AV68" t="s">
        <v>230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FO68" s="1" t="s">
        <v>123</v>
      </c>
      <c r="FP68" t="s">
        <v>132</v>
      </c>
      <c r="GW68" t="s">
        <v>558</v>
      </c>
      <c r="GX68" t="s">
        <v>559</v>
      </c>
      <c r="GY68" t="s">
        <v>560</v>
      </c>
      <c r="GZ68" t="s">
        <v>140</v>
      </c>
      <c r="HA68">
        <v>1994</v>
      </c>
      <c r="HB68" t="s">
        <v>483</v>
      </c>
      <c r="HD68" t="s">
        <v>561</v>
      </c>
      <c r="HE68" t="s">
        <v>386</v>
      </c>
    </row>
    <row r="69" spans="1:214" hidden="1" x14ac:dyDescent="0.45">
      <c r="A69">
        <v>78</v>
      </c>
      <c r="B69">
        <f>_xlfn.IFNA(VLOOKUP(AnalizaCzyste[[#This Row],[Zakończono wypełnianie]],Zakończone[],2,0),"BRAK")</f>
        <v>44</v>
      </c>
      <c r="C69">
        <f>COUNTA(O69:HF69)</f>
        <v>34</v>
      </c>
      <c r="D69" t="s">
        <v>796</v>
      </c>
      <c r="E69" t="s">
        <v>118</v>
      </c>
      <c r="F69" t="s">
        <v>797</v>
      </c>
      <c r="J69" t="s">
        <v>119</v>
      </c>
      <c r="K69" t="s">
        <v>798</v>
      </c>
      <c r="L69" t="s">
        <v>799</v>
      </c>
      <c r="M69">
        <v>2364</v>
      </c>
      <c r="N69">
        <v>0</v>
      </c>
      <c r="O69" t="s">
        <v>122</v>
      </c>
      <c r="P69" s="1" t="s">
        <v>123</v>
      </c>
      <c r="AF69" s="1" t="s">
        <v>124</v>
      </c>
      <c r="AG69" t="s">
        <v>800</v>
      </c>
      <c r="AH69">
        <v>2002</v>
      </c>
      <c r="AI69" t="s">
        <v>126</v>
      </c>
      <c r="AJ69" t="s">
        <v>801</v>
      </c>
      <c r="AK69" t="s">
        <v>150</v>
      </c>
      <c r="AL69" t="s">
        <v>162</v>
      </c>
      <c r="AM69" t="s">
        <v>151</v>
      </c>
      <c r="AN69" t="s">
        <v>129</v>
      </c>
      <c r="AO69" t="s">
        <v>236</v>
      </c>
      <c r="AP69">
        <v>3</v>
      </c>
      <c r="AQ69" t="s">
        <v>152</v>
      </c>
      <c r="AR69" t="s">
        <v>152</v>
      </c>
      <c r="AS69" t="s">
        <v>802</v>
      </c>
      <c r="AT69" t="s">
        <v>803</v>
      </c>
      <c r="AU69" t="s">
        <v>804</v>
      </c>
      <c r="AV69" t="s">
        <v>157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FO69" s="1" t="s">
        <v>123</v>
      </c>
      <c r="FP69" t="s">
        <v>132</v>
      </c>
      <c r="GW69" t="s">
        <v>805</v>
      </c>
      <c r="GX69" t="s">
        <v>806</v>
      </c>
      <c r="GY69" t="s">
        <v>807</v>
      </c>
      <c r="GZ69" t="s">
        <v>140</v>
      </c>
      <c r="HA69">
        <v>1978</v>
      </c>
      <c r="HB69" t="s">
        <v>141</v>
      </c>
      <c r="HD69" t="s">
        <v>386</v>
      </c>
      <c r="HE69" t="s">
        <v>386</v>
      </c>
    </row>
    <row r="70" spans="1:214" hidden="1" x14ac:dyDescent="0.45">
      <c r="A70">
        <v>85</v>
      </c>
      <c r="B70">
        <f>_xlfn.IFNA(VLOOKUP(AnalizaCzyste[[#This Row],[Zakończono wypełnianie]],Zakończone[],2,0),"BRAK")</f>
        <v>50</v>
      </c>
      <c r="C70">
        <f>COUNTA(O70:HF70)</f>
        <v>34</v>
      </c>
      <c r="D70" t="s">
        <v>873</v>
      </c>
      <c r="E70" t="s">
        <v>118</v>
      </c>
      <c r="F70" t="s">
        <v>797</v>
      </c>
      <c r="J70" t="s">
        <v>119</v>
      </c>
      <c r="K70" t="s">
        <v>874</v>
      </c>
      <c r="L70" t="s">
        <v>875</v>
      </c>
      <c r="M70">
        <v>1971</v>
      </c>
      <c r="N70">
        <v>0</v>
      </c>
      <c r="O70" t="s">
        <v>122</v>
      </c>
      <c r="P70" s="1" t="s">
        <v>123</v>
      </c>
      <c r="AF70" s="1" t="s">
        <v>124</v>
      </c>
      <c r="AG70" t="s">
        <v>223</v>
      </c>
      <c r="AH70">
        <v>2012</v>
      </c>
      <c r="AI70" t="s">
        <v>148</v>
      </c>
      <c r="AJ70" t="s">
        <v>876</v>
      </c>
      <c r="AK70" t="s">
        <v>150</v>
      </c>
      <c r="AL70" t="s">
        <v>162</v>
      </c>
      <c r="AM70" t="s">
        <v>128</v>
      </c>
      <c r="AN70" t="s">
        <v>236</v>
      </c>
      <c r="AO70" t="s">
        <v>151</v>
      </c>
      <c r="AP70">
        <v>2</v>
      </c>
      <c r="AQ70" t="s">
        <v>131</v>
      </c>
      <c r="AR70" t="s">
        <v>153</v>
      </c>
      <c r="AS70" t="s">
        <v>877</v>
      </c>
      <c r="AT70" t="s">
        <v>532</v>
      </c>
      <c r="AU70" t="s">
        <v>532</v>
      </c>
      <c r="AV70" t="s">
        <v>157</v>
      </c>
      <c r="AW70" t="s">
        <v>878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FO70" s="1" t="s">
        <v>123</v>
      </c>
      <c r="FP70" t="s">
        <v>132</v>
      </c>
      <c r="GW70" t="s">
        <v>532</v>
      </c>
      <c r="GX70" t="s">
        <v>532</v>
      </c>
      <c r="GY70" t="s">
        <v>532</v>
      </c>
      <c r="GZ70" t="s">
        <v>186</v>
      </c>
      <c r="HA70">
        <v>1988</v>
      </c>
      <c r="HB70" t="s">
        <v>246</v>
      </c>
      <c r="HE70" t="s">
        <v>879</v>
      </c>
    </row>
    <row r="71" spans="1:214" hidden="1" x14ac:dyDescent="0.45">
      <c r="A71">
        <v>124</v>
      </c>
      <c r="B71">
        <f>_xlfn.IFNA(VLOOKUP(AnalizaCzyste[[#This Row],[Zakończono wypełnianie]],Zakończone[],2,0),"BRAK")</f>
        <v>73</v>
      </c>
      <c r="C71">
        <f>COUNTA(O71:HF71)</f>
        <v>34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>
        <v>2018</v>
      </c>
      <c r="AI71" t="s">
        <v>126</v>
      </c>
      <c r="AJ71" t="s">
        <v>969</v>
      </c>
      <c r="AK71" t="s">
        <v>150</v>
      </c>
      <c r="AL71" t="s">
        <v>150</v>
      </c>
      <c r="AM71" t="s">
        <v>162</v>
      </c>
      <c r="AN71" t="s">
        <v>128</v>
      </c>
      <c r="AO71" t="s">
        <v>151</v>
      </c>
      <c r="AP71" t="s">
        <v>530</v>
      </c>
      <c r="AQ71" t="s">
        <v>131</v>
      </c>
      <c r="AR71" t="s">
        <v>302</v>
      </c>
      <c r="AS71" t="s">
        <v>1155</v>
      </c>
      <c r="AT71" t="s">
        <v>1156</v>
      </c>
      <c r="AU71" t="s">
        <v>1157</v>
      </c>
      <c r="AV71" t="s">
        <v>230</v>
      </c>
      <c r="AW71" t="s">
        <v>1158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GW71" t="s">
        <v>1159</v>
      </c>
      <c r="GX71" t="s">
        <v>1160</v>
      </c>
      <c r="GY71" t="s">
        <v>1161</v>
      </c>
      <c r="GZ71" t="s">
        <v>140</v>
      </c>
      <c r="HA71">
        <v>1991</v>
      </c>
      <c r="HB71" t="s">
        <v>483</v>
      </c>
      <c r="HD71" t="s">
        <v>1162</v>
      </c>
      <c r="HE71" t="s">
        <v>142</v>
      </c>
    </row>
    <row r="72" spans="1:214" hidden="1" x14ac:dyDescent="0.45">
      <c r="A72">
        <v>141</v>
      </c>
      <c r="B72">
        <f>_xlfn.IFNA(VLOOKUP(AnalizaCzyste[[#This Row],[Zakończono wypełnianie]],Zakończone[],2,0),"BRAK")</f>
        <v>85</v>
      </c>
      <c r="C72">
        <f>COUNTA(O72:HF72)</f>
        <v>34</v>
      </c>
      <c r="D72" t="s">
        <v>1322</v>
      </c>
      <c r="E72" t="s">
        <v>118</v>
      </c>
      <c r="J72" t="s">
        <v>119</v>
      </c>
      <c r="K72" t="s">
        <v>1323</v>
      </c>
      <c r="L72" t="s">
        <v>1324</v>
      </c>
      <c r="M72">
        <v>767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>
        <v>2018</v>
      </c>
      <c r="AI72" t="s">
        <v>126</v>
      </c>
      <c r="AJ72" t="s">
        <v>1325</v>
      </c>
      <c r="AK72" t="s">
        <v>150</v>
      </c>
      <c r="AL72" t="s">
        <v>150</v>
      </c>
      <c r="AM72" t="s">
        <v>128</v>
      </c>
      <c r="AN72" t="s">
        <v>236</v>
      </c>
      <c r="AO72" t="s">
        <v>128</v>
      </c>
      <c r="AP72">
        <v>1</v>
      </c>
      <c r="AQ72" t="s">
        <v>302</v>
      </c>
      <c r="AR72" t="s">
        <v>226</v>
      </c>
      <c r="AS72" t="s">
        <v>1326</v>
      </c>
      <c r="AT72" t="s">
        <v>1327</v>
      </c>
      <c r="AU72" t="s">
        <v>1328</v>
      </c>
      <c r="AV72" t="s">
        <v>157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EP72" t="s">
        <v>180</v>
      </c>
      <c r="FO72" s="1" t="s">
        <v>123</v>
      </c>
      <c r="GW72" t="s">
        <v>1329</v>
      </c>
      <c r="GX72" t="s">
        <v>1329</v>
      </c>
      <c r="GY72" t="s">
        <v>132</v>
      </c>
      <c r="GZ72" t="s">
        <v>186</v>
      </c>
      <c r="HA72">
        <v>1991</v>
      </c>
      <c r="HB72" t="s">
        <v>220</v>
      </c>
      <c r="HD72" t="s">
        <v>1330</v>
      </c>
      <c r="HE72" t="s">
        <v>532</v>
      </c>
    </row>
    <row r="73" spans="1:214" hidden="1" x14ac:dyDescent="0.45">
      <c r="A73">
        <v>164</v>
      </c>
      <c r="B73">
        <f>_xlfn.IFNA(VLOOKUP(AnalizaCzyste[[#This Row],[Zakończono wypełnianie]],Zakończone[],2,0),"BRAK")</f>
        <v>94</v>
      </c>
      <c r="C73">
        <f>COUNTA(O73:HF73)</f>
        <v>34</v>
      </c>
      <c r="D73" t="s">
        <v>1436</v>
      </c>
      <c r="E73" t="s">
        <v>118</v>
      </c>
      <c r="J73" t="s">
        <v>119</v>
      </c>
      <c r="K73" t="s">
        <v>1437</v>
      </c>
      <c r="L73" t="s">
        <v>1438</v>
      </c>
      <c r="M73">
        <v>880</v>
      </c>
      <c r="N73">
        <v>0</v>
      </c>
      <c r="O73" t="s">
        <v>122</v>
      </c>
      <c r="P73" s="1" t="s">
        <v>123</v>
      </c>
      <c r="AF73" s="1" t="s">
        <v>124</v>
      </c>
      <c r="AG73" t="s">
        <v>1439</v>
      </c>
      <c r="AH73">
        <v>2019</v>
      </c>
      <c r="AI73" t="s">
        <v>148</v>
      </c>
      <c r="AJ73" t="s">
        <v>1440</v>
      </c>
      <c r="AK73" t="s">
        <v>128</v>
      </c>
      <c r="AL73" t="s">
        <v>128</v>
      </c>
      <c r="AM73" t="s">
        <v>150</v>
      </c>
      <c r="AN73" t="s">
        <v>169</v>
      </c>
      <c r="AO73" t="s">
        <v>169</v>
      </c>
      <c r="AP73" t="s">
        <v>1441</v>
      </c>
      <c r="AQ73" t="s">
        <v>302</v>
      </c>
      <c r="AR73" t="s">
        <v>226</v>
      </c>
      <c r="AS73" t="s">
        <v>1442</v>
      </c>
      <c r="AT73" t="s">
        <v>1443</v>
      </c>
      <c r="AU73" t="s">
        <v>1444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FO73" s="1" t="s">
        <v>123</v>
      </c>
      <c r="GW73" t="s">
        <v>1445</v>
      </c>
      <c r="GX73" t="s">
        <v>1446</v>
      </c>
      <c r="GY73" t="s">
        <v>1447</v>
      </c>
      <c r="GZ73" t="s">
        <v>140</v>
      </c>
      <c r="HA73">
        <v>1990</v>
      </c>
      <c r="HB73" t="s">
        <v>398</v>
      </c>
      <c r="HD73" t="s">
        <v>1448</v>
      </c>
      <c r="HE73" t="s">
        <v>1449</v>
      </c>
    </row>
    <row r="74" spans="1:214" hidden="1" x14ac:dyDescent="0.45">
      <c r="A74">
        <v>189</v>
      </c>
      <c r="B74">
        <f>_xlfn.IFNA(VLOOKUP(AnalizaCzyste[[#This Row],[Zakończono wypełnianie]],Zakończone[],2,0),"BRAK")</f>
        <v>108</v>
      </c>
      <c r="C74">
        <f>COUNTA(O74:HF74)</f>
        <v>34</v>
      </c>
      <c r="D74" t="s">
        <v>1352</v>
      </c>
      <c r="E74" t="s">
        <v>118</v>
      </c>
      <c r="J74" t="s">
        <v>119</v>
      </c>
      <c r="K74" t="s">
        <v>1608</v>
      </c>
      <c r="L74" t="s">
        <v>1609</v>
      </c>
      <c r="M74">
        <v>4906</v>
      </c>
      <c r="N74">
        <v>0</v>
      </c>
      <c r="O74" t="s">
        <v>122</v>
      </c>
      <c r="P74" s="1" t="s">
        <v>123</v>
      </c>
      <c r="AF74" s="1" t="s">
        <v>124</v>
      </c>
      <c r="AG74" t="s">
        <v>223</v>
      </c>
      <c r="AH74">
        <v>2009</v>
      </c>
      <c r="AI74" t="s">
        <v>148</v>
      </c>
      <c r="AJ74" t="s">
        <v>554</v>
      </c>
      <c r="AK74" t="s">
        <v>162</v>
      </c>
      <c r="AL74" t="s">
        <v>162</v>
      </c>
      <c r="AM74" t="s">
        <v>162</v>
      </c>
      <c r="AN74" t="s">
        <v>162</v>
      </c>
      <c r="AO74" t="s">
        <v>162</v>
      </c>
      <c r="AP74" t="s">
        <v>1610</v>
      </c>
      <c r="AQ74" t="s">
        <v>302</v>
      </c>
      <c r="AR74" t="s">
        <v>153</v>
      </c>
      <c r="AT74" t="s">
        <v>1611</v>
      </c>
      <c r="AU74" t="s">
        <v>1612</v>
      </c>
      <c r="AW74" t="s">
        <v>1613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EP74" t="s">
        <v>180</v>
      </c>
      <c r="EQ74" t="s">
        <v>132</v>
      </c>
      <c r="FO74" s="1" t="s">
        <v>123</v>
      </c>
      <c r="GW74" t="s">
        <v>1614</v>
      </c>
      <c r="GX74" t="s">
        <v>1247</v>
      </c>
      <c r="GY74" t="s">
        <v>1247</v>
      </c>
      <c r="GZ74" t="s">
        <v>140</v>
      </c>
      <c r="HA74">
        <v>1983</v>
      </c>
      <c r="HB74" t="s">
        <v>220</v>
      </c>
      <c r="HD74" t="s">
        <v>1615</v>
      </c>
      <c r="HE74" t="s">
        <v>1615</v>
      </c>
    </row>
    <row r="75" spans="1:214" hidden="1" x14ac:dyDescent="0.45">
      <c r="A75">
        <v>220</v>
      </c>
      <c r="B75">
        <f>_xlfn.IFNA(VLOOKUP(AnalizaCzyste[[#This Row],[Zakończono wypełnianie]],Zakończone[],2,0),"BRAK")</f>
        <v>121</v>
      </c>
      <c r="C75">
        <f>COUNTA(O75:HF75)</f>
        <v>34</v>
      </c>
      <c r="D75" t="s">
        <v>1336</v>
      </c>
      <c r="E75" t="s">
        <v>118</v>
      </c>
      <c r="J75" t="s">
        <v>119</v>
      </c>
      <c r="K75" t="s">
        <v>1808</v>
      </c>
      <c r="L75" t="s">
        <v>1809</v>
      </c>
      <c r="M75">
        <v>2379</v>
      </c>
      <c r="N75">
        <v>0</v>
      </c>
      <c r="O75" t="s">
        <v>122</v>
      </c>
      <c r="P75" s="1" t="s">
        <v>123</v>
      </c>
      <c r="AF75" s="1" t="s">
        <v>124</v>
      </c>
      <c r="AG75" t="s">
        <v>223</v>
      </c>
      <c r="AH75">
        <v>2012</v>
      </c>
      <c r="AI75" t="s">
        <v>148</v>
      </c>
      <c r="AJ75" t="s">
        <v>1810</v>
      </c>
      <c r="AK75" t="s">
        <v>150</v>
      </c>
      <c r="AL75" t="s">
        <v>162</v>
      </c>
      <c r="AM75" t="s">
        <v>150</v>
      </c>
      <c r="AN75" t="s">
        <v>162</v>
      </c>
      <c r="AO75" t="s">
        <v>150</v>
      </c>
      <c r="AP75" t="s">
        <v>237</v>
      </c>
      <c r="AQ75" t="s">
        <v>132</v>
      </c>
      <c r="AR75" t="s">
        <v>132</v>
      </c>
      <c r="AS75" t="s">
        <v>1811</v>
      </c>
      <c r="AT75" t="s">
        <v>1812</v>
      </c>
      <c r="AU75" t="s">
        <v>1813</v>
      </c>
      <c r="AV75" t="s">
        <v>230</v>
      </c>
      <c r="AW75" t="s">
        <v>1814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1815</v>
      </c>
      <c r="GX75" t="s">
        <v>1816</v>
      </c>
      <c r="GY75" t="s">
        <v>1817</v>
      </c>
      <c r="GZ75" t="s">
        <v>140</v>
      </c>
      <c r="HA75">
        <v>1986</v>
      </c>
      <c r="HB75" t="s">
        <v>246</v>
      </c>
      <c r="HD75" t="s">
        <v>1818</v>
      </c>
      <c r="HE75" t="s">
        <v>1819</v>
      </c>
    </row>
    <row r="76" spans="1:214" hidden="1" x14ac:dyDescent="0.45">
      <c r="A76">
        <v>236</v>
      </c>
      <c r="B76">
        <f>_xlfn.IFNA(VLOOKUP(AnalizaCzyste[[#This Row],[Zakończono wypełnianie]],Zakończone[],2,0),"BRAK")</f>
        <v>128</v>
      </c>
      <c r="C76">
        <f>COUNTA(O76:HF76)</f>
        <v>34</v>
      </c>
      <c r="D76" t="s">
        <v>1910</v>
      </c>
      <c r="E76" t="s">
        <v>118</v>
      </c>
      <c r="F76" t="s">
        <v>1911</v>
      </c>
      <c r="J76" t="s">
        <v>119</v>
      </c>
      <c r="K76" t="s">
        <v>1912</v>
      </c>
      <c r="L76" t="s">
        <v>1913</v>
      </c>
      <c r="M76">
        <v>1026</v>
      </c>
      <c r="N76">
        <v>0</v>
      </c>
      <c r="O76" t="s">
        <v>122</v>
      </c>
      <c r="P76" s="1" t="s">
        <v>123</v>
      </c>
      <c r="AF76" s="1" t="s">
        <v>124</v>
      </c>
      <c r="AG76" t="s">
        <v>191</v>
      </c>
      <c r="AH76">
        <v>2011</v>
      </c>
      <c r="AI76" t="s">
        <v>126</v>
      </c>
      <c r="AJ76" t="s">
        <v>1914</v>
      </c>
      <c r="AK76" t="s">
        <v>150</v>
      </c>
      <c r="AL76" t="s">
        <v>162</v>
      </c>
      <c r="AM76" t="s">
        <v>150</v>
      </c>
      <c r="AN76" t="s">
        <v>151</v>
      </c>
      <c r="AO76" t="s">
        <v>169</v>
      </c>
      <c r="AP76" t="s">
        <v>1362</v>
      </c>
      <c r="AQ76" t="s">
        <v>131</v>
      </c>
      <c r="AR76" t="s">
        <v>759</v>
      </c>
      <c r="AS76" t="s">
        <v>1915</v>
      </c>
      <c r="AT76" t="s">
        <v>1916</v>
      </c>
      <c r="AU76" t="s">
        <v>1917</v>
      </c>
      <c r="AW76" t="s">
        <v>1918</v>
      </c>
      <c r="AX76" s="1" t="s">
        <v>123</v>
      </c>
      <c r="CR76" s="1" t="s">
        <v>123</v>
      </c>
      <c r="DB76" s="1" t="s">
        <v>123</v>
      </c>
      <c r="DL76" s="1" t="s">
        <v>123</v>
      </c>
      <c r="EO76" s="1" t="s">
        <v>123</v>
      </c>
      <c r="FO76" s="1" t="s">
        <v>123</v>
      </c>
      <c r="GW76" t="s">
        <v>1919</v>
      </c>
      <c r="GX76" t="s">
        <v>1920</v>
      </c>
      <c r="GY76" t="s">
        <v>1921</v>
      </c>
      <c r="GZ76" t="s">
        <v>140</v>
      </c>
      <c r="HA76">
        <v>1987</v>
      </c>
      <c r="HB76" t="s">
        <v>220</v>
      </c>
      <c r="HD76" t="s">
        <v>1922</v>
      </c>
      <c r="HE76" t="s">
        <v>1923</v>
      </c>
      <c r="HF76" t="s">
        <v>1924</v>
      </c>
    </row>
    <row r="77" spans="1:214" hidden="1" x14ac:dyDescent="0.45">
      <c r="A77">
        <v>3</v>
      </c>
      <c r="B77">
        <f>_xlfn.IFNA(VLOOKUP(AnalizaCzyste[[#This Row],[Zakończono wypełnianie]],Zakończone[],2,0),"BRAK")</f>
        <v>3</v>
      </c>
      <c r="C77">
        <f>COUNTA(O77:HF77)</f>
        <v>33</v>
      </c>
      <c r="D77" t="s">
        <v>188</v>
      </c>
      <c r="E77" t="s">
        <v>118</v>
      </c>
      <c r="J77" t="s">
        <v>119</v>
      </c>
      <c r="K77" t="s">
        <v>189</v>
      </c>
      <c r="L77" t="s">
        <v>190</v>
      </c>
      <c r="M77">
        <v>853</v>
      </c>
      <c r="N77">
        <v>0</v>
      </c>
      <c r="O77" t="s">
        <v>122</v>
      </c>
      <c r="P77" s="1" t="s">
        <v>123</v>
      </c>
      <c r="AF77" s="1" t="s">
        <v>124</v>
      </c>
      <c r="AG77" t="s">
        <v>191</v>
      </c>
      <c r="AH77">
        <v>2017</v>
      </c>
      <c r="AI77" t="s">
        <v>126</v>
      </c>
      <c r="AJ77" t="s">
        <v>192</v>
      </c>
      <c r="AK77" t="s">
        <v>150</v>
      </c>
      <c r="AL77" t="s">
        <v>150</v>
      </c>
      <c r="AM77" t="s">
        <v>162</v>
      </c>
      <c r="AN77" t="s">
        <v>169</v>
      </c>
      <c r="AO77" t="s">
        <v>169</v>
      </c>
      <c r="AP77" t="s">
        <v>193</v>
      </c>
      <c r="AQ77" t="s">
        <v>194</v>
      </c>
      <c r="AR77" t="s">
        <v>194</v>
      </c>
      <c r="AS77" t="s">
        <v>195</v>
      </c>
      <c r="AT77" t="s">
        <v>196</v>
      </c>
      <c r="AU77" t="s">
        <v>197</v>
      </c>
      <c r="AV77" t="s">
        <v>157</v>
      </c>
      <c r="AX77" s="1" t="s">
        <v>123</v>
      </c>
      <c r="CR77" s="1" t="s">
        <v>123</v>
      </c>
      <c r="DB77" s="1" t="s">
        <v>123</v>
      </c>
      <c r="DL77" s="1" t="s">
        <v>123</v>
      </c>
      <c r="EO77" s="1" t="s">
        <v>123</v>
      </c>
      <c r="FO77" s="1" t="s">
        <v>123</v>
      </c>
      <c r="FP77" t="s">
        <v>132</v>
      </c>
      <c r="GW77" t="s">
        <v>198</v>
      </c>
      <c r="GX77" t="s">
        <v>199</v>
      </c>
      <c r="GY77" t="s">
        <v>200</v>
      </c>
      <c r="GZ77" t="s">
        <v>186</v>
      </c>
      <c r="HA77">
        <v>1991</v>
      </c>
      <c r="HB77" t="s">
        <v>141</v>
      </c>
      <c r="HD77" t="s">
        <v>201</v>
      </c>
    </row>
    <row r="78" spans="1:214" hidden="1" x14ac:dyDescent="0.45">
      <c r="A78">
        <v>10</v>
      </c>
      <c r="B78">
        <f>_xlfn.IFNA(VLOOKUP(AnalizaCzyste[[#This Row],[Zakończono wypełnianie]],Zakończone[],2,0),"BRAK")</f>
        <v>9</v>
      </c>
      <c r="C78">
        <f>COUNTA(O78:HF78)</f>
        <v>33</v>
      </c>
      <c r="D78" t="s">
        <v>288</v>
      </c>
      <c r="E78" t="s">
        <v>118</v>
      </c>
      <c r="J78" t="s">
        <v>119</v>
      </c>
      <c r="K78" t="s">
        <v>289</v>
      </c>
      <c r="L78" t="s">
        <v>290</v>
      </c>
      <c r="M78">
        <v>4259</v>
      </c>
      <c r="N78">
        <v>0</v>
      </c>
      <c r="O78" t="s">
        <v>122</v>
      </c>
      <c r="P78" s="1" t="s">
        <v>123</v>
      </c>
      <c r="AF78" s="1" t="s">
        <v>124</v>
      </c>
      <c r="AG78" t="s">
        <v>191</v>
      </c>
      <c r="AH78">
        <v>2013</v>
      </c>
      <c r="AI78" t="s">
        <v>126</v>
      </c>
      <c r="AJ78" t="s">
        <v>291</v>
      </c>
      <c r="AK78" t="s">
        <v>150</v>
      </c>
      <c r="AL78" t="s">
        <v>150</v>
      </c>
      <c r="AM78" t="s">
        <v>169</v>
      </c>
      <c r="AN78" t="s">
        <v>151</v>
      </c>
      <c r="AO78" t="s">
        <v>162</v>
      </c>
      <c r="AP78">
        <v>1</v>
      </c>
      <c r="AQ78" t="s">
        <v>131</v>
      </c>
      <c r="AR78" t="s">
        <v>153</v>
      </c>
      <c r="AS78" t="s">
        <v>292</v>
      </c>
      <c r="AT78" t="s">
        <v>293</v>
      </c>
      <c r="AU78" t="s">
        <v>294</v>
      </c>
      <c r="AV78" t="s">
        <v>157</v>
      </c>
      <c r="AX78" s="1" t="s">
        <v>123</v>
      </c>
      <c r="CR78" s="1" t="s">
        <v>123</v>
      </c>
      <c r="DB78" s="1" t="s">
        <v>123</v>
      </c>
      <c r="DL78" s="1" t="s">
        <v>123</v>
      </c>
      <c r="EO78" s="1" t="s">
        <v>123</v>
      </c>
      <c r="FO78" s="1" t="s">
        <v>123</v>
      </c>
      <c r="FP78" t="s">
        <v>132</v>
      </c>
      <c r="FR78" t="s">
        <v>132</v>
      </c>
      <c r="GW78" t="s">
        <v>295</v>
      </c>
      <c r="GX78" t="s">
        <v>296</v>
      </c>
      <c r="GY78" t="s">
        <v>297</v>
      </c>
      <c r="GZ78" t="s">
        <v>186</v>
      </c>
      <c r="HA78">
        <v>1988</v>
      </c>
      <c r="HB78" t="s">
        <v>141</v>
      </c>
    </row>
    <row r="79" spans="1:214" hidden="1" x14ac:dyDescent="0.45">
      <c r="A79">
        <v>17</v>
      </c>
      <c r="B79">
        <f>_xlfn.IFNA(VLOOKUP(AnalizaCzyste[[#This Row],[Zakończono wypełnianie]],Zakończone[],2,0),"BRAK")</f>
        <v>16</v>
      </c>
      <c r="C79">
        <f>COUNTA(O79:HF79)</f>
        <v>33</v>
      </c>
      <c r="D79" t="s">
        <v>358</v>
      </c>
      <c r="E79" t="s">
        <v>118</v>
      </c>
      <c r="F79" t="s">
        <v>359</v>
      </c>
      <c r="J79" t="s">
        <v>119</v>
      </c>
      <c r="K79" t="s">
        <v>360</v>
      </c>
      <c r="L79" t="s">
        <v>361</v>
      </c>
      <c r="M79">
        <v>1534</v>
      </c>
      <c r="N79">
        <v>0</v>
      </c>
      <c r="O79" t="s">
        <v>122</v>
      </c>
      <c r="P79" s="1" t="s">
        <v>123</v>
      </c>
      <c r="AF79" s="1" t="s">
        <v>124</v>
      </c>
      <c r="AG79" t="s">
        <v>223</v>
      </c>
      <c r="AH79">
        <v>2011</v>
      </c>
      <c r="AI79" t="s">
        <v>148</v>
      </c>
      <c r="AJ79" t="s">
        <v>362</v>
      </c>
      <c r="AK79" t="s">
        <v>151</v>
      </c>
      <c r="AL79" t="s">
        <v>236</v>
      </c>
      <c r="AM79" t="s">
        <v>129</v>
      </c>
      <c r="AN79" t="s">
        <v>129</v>
      </c>
      <c r="AO79" t="s">
        <v>129</v>
      </c>
      <c r="AP79">
        <v>4</v>
      </c>
      <c r="AQ79" t="s">
        <v>131</v>
      </c>
      <c r="AR79" t="s">
        <v>131</v>
      </c>
      <c r="AS79" t="s">
        <v>363</v>
      </c>
      <c r="AT79" t="s">
        <v>364</v>
      </c>
      <c r="AU79" t="s">
        <v>365</v>
      </c>
      <c r="AV79" t="s">
        <v>157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FP79" t="s">
        <v>132</v>
      </c>
      <c r="GW79" t="s">
        <v>366</v>
      </c>
      <c r="GX79" t="s">
        <v>367</v>
      </c>
      <c r="GY79" t="s">
        <v>368</v>
      </c>
      <c r="GZ79" t="s">
        <v>140</v>
      </c>
      <c r="HA79">
        <v>1987</v>
      </c>
      <c r="HB79" t="s">
        <v>141</v>
      </c>
      <c r="HD79" t="s">
        <v>369</v>
      </c>
    </row>
    <row r="80" spans="1:214" hidden="1" x14ac:dyDescent="0.45">
      <c r="A80">
        <v>77</v>
      </c>
      <c r="B80">
        <f>_xlfn.IFNA(VLOOKUP(AnalizaCzyste[[#This Row],[Zakończono wypełnianie]],Zakończone[],2,0),"BRAK")</f>
        <v>43</v>
      </c>
      <c r="C80">
        <f>COUNTA(O80:HF80)</f>
        <v>33</v>
      </c>
      <c r="D80" t="s">
        <v>773</v>
      </c>
      <c r="E80" t="s">
        <v>118</v>
      </c>
      <c r="F80" t="s">
        <v>774</v>
      </c>
      <c r="J80" t="s">
        <v>119</v>
      </c>
      <c r="K80" t="s">
        <v>791</v>
      </c>
      <c r="L80" t="s">
        <v>792</v>
      </c>
      <c r="M80">
        <v>333</v>
      </c>
      <c r="N80">
        <v>0</v>
      </c>
      <c r="O80" t="s">
        <v>122</v>
      </c>
      <c r="P80" s="1" t="s">
        <v>123</v>
      </c>
      <c r="AF80" s="1" t="s">
        <v>124</v>
      </c>
      <c r="AG80" t="s">
        <v>223</v>
      </c>
      <c r="AH80">
        <v>2012</v>
      </c>
      <c r="AI80" t="s">
        <v>148</v>
      </c>
      <c r="AJ80" t="s">
        <v>793</v>
      </c>
      <c r="AK80" t="s">
        <v>151</v>
      </c>
      <c r="AL80" t="s">
        <v>151</v>
      </c>
      <c r="AM80" t="s">
        <v>129</v>
      </c>
      <c r="AN80" t="s">
        <v>129</v>
      </c>
      <c r="AO80" t="s">
        <v>128</v>
      </c>
      <c r="AP80">
        <v>3</v>
      </c>
      <c r="AQ80" t="s">
        <v>131</v>
      </c>
      <c r="AR80" t="s">
        <v>302</v>
      </c>
      <c r="AS80" t="s">
        <v>386</v>
      </c>
      <c r="AT80" t="s">
        <v>794</v>
      </c>
      <c r="AU80" t="s">
        <v>780</v>
      </c>
      <c r="AV80" t="s">
        <v>157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FO80" s="1" t="s">
        <v>123</v>
      </c>
      <c r="FP80" t="s">
        <v>132</v>
      </c>
      <c r="GW80" t="s">
        <v>786</v>
      </c>
      <c r="GX80" t="s">
        <v>787</v>
      </c>
      <c r="GY80" t="s">
        <v>788</v>
      </c>
      <c r="GZ80" t="s">
        <v>186</v>
      </c>
      <c r="HA80">
        <v>1987</v>
      </c>
      <c r="HB80" t="s">
        <v>141</v>
      </c>
      <c r="HD80" t="s">
        <v>795</v>
      </c>
    </row>
    <row r="81" spans="1:214" hidden="1" x14ac:dyDescent="0.45">
      <c r="A81">
        <v>153</v>
      </c>
      <c r="B81">
        <f>_xlfn.IFNA(VLOOKUP(AnalizaCzyste[[#This Row],[Zakończono wypełnianie]],Zakończone[],2,0),"BRAK")</f>
        <v>88</v>
      </c>
      <c r="C81">
        <f>COUNTA(O81:HF81)</f>
        <v>33</v>
      </c>
      <c r="D81" t="s">
        <v>1352</v>
      </c>
      <c r="E81" t="s">
        <v>118</v>
      </c>
      <c r="J81" t="s">
        <v>119</v>
      </c>
      <c r="K81" t="s">
        <v>1376</v>
      </c>
      <c r="L81" t="s">
        <v>1377</v>
      </c>
      <c r="M81">
        <v>352</v>
      </c>
      <c r="N81">
        <v>0</v>
      </c>
      <c r="O81" t="s">
        <v>122</v>
      </c>
      <c r="P81" s="1" t="s">
        <v>123</v>
      </c>
      <c r="AF81" s="1" t="s">
        <v>124</v>
      </c>
      <c r="AG81" t="s">
        <v>223</v>
      </c>
      <c r="AH81">
        <v>2000</v>
      </c>
      <c r="AI81" t="s">
        <v>148</v>
      </c>
      <c r="AJ81" t="s">
        <v>161</v>
      </c>
      <c r="AK81" t="s">
        <v>162</v>
      </c>
      <c r="AL81" t="s">
        <v>162</v>
      </c>
      <c r="AM81" t="s">
        <v>150</v>
      </c>
      <c r="AN81" t="s">
        <v>129</v>
      </c>
      <c r="AO81" t="s">
        <v>128</v>
      </c>
      <c r="AP81">
        <v>5</v>
      </c>
      <c r="AQ81" t="s">
        <v>302</v>
      </c>
      <c r="AR81" t="s">
        <v>302</v>
      </c>
      <c r="AS81" t="s">
        <v>1378</v>
      </c>
      <c r="AT81" t="s">
        <v>1379</v>
      </c>
      <c r="AU81" t="s">
        <v>1380</v>
      </c>
      <c r="AV81" t="s">
        <v>172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1381</v>
      </c>
      <c r="GX81" t="s">
        <v>1382</v>
      </c>
      <c r="GY81" t="s">
        <v>1383</v>
      </c>
      <c r="GZ81" t="s">
        <v>140</v>
      </c>
      <c r="HA81">
        <v>1982</v>
      </c>
      <c r="HB81" t="s">
        <v>246</v>
      </c>
      <c r="HD81" t="s">
        <v>386</v>
      </c>
      <c r="HE81" t="s">
        <v>386</v>
      </c>
    </row>
    <row r="82" spans="1:214" hidden="1" x14ac:dyDescent="0.45">
      <c r="A82">
        <v>159</v>
      </c>
      <c r="B82">
        <f>_xlfn.IFNA(VLOOKUP(AnalizaCzyste[[#This Row],[Zakończono wypełnianie]],Zakończone[],2,0),"BRAK")</f>
        <v>92</v>
      </c>
      <c r="C82">
        <f>COUNTA(O82:HF82)</f>
        <v>33</v>
      </c>
      <c r="D82" t="s">
        <v>1412</v>
      </c>
      <c r="E82" t="s">
        <v>118</v>
      </c>
      <c r="J82" t="s">
        <v>119</v>
      </c>
      <c r="K82" t="s">
        <v>1413</v>
      </c>
      <c r="L82" t="s">
        <v>1414</v>
      </c>
      <c r="M82">
        <v>1007</v>
      </c>
      <c r="N82">
        <v>0</v>
      </c>
      <c r="O82" t="s">
        <v>122</v>
      </c>
      <c r="P82" s="1" t="s">
        <v>123</v>
      </c>
      <c r="AF82" s="1" t="s">
        <v>124</v>
      </c>
      <c r="AG82" t="s">
        <v>1415</v>
      </c>
      <c r="AH82">
        <v>2006</v>
      </c>
      <c r="AI82" t="s">
        <v>148</v>
      </c>
      <c r="AJ82" t="s">
        <v>263</v>
      </c>
      <c r="AK82" t="s">
        <v>169</v>
      </c>
      <c r="AL82" t="s">
        <v>169</v>
      </c>
      <c r="AM82" t="s">
        <v>169</v>
      </c>
      <c r="AN82" t="s">
        <v>150</v>
      </c>
      <c r="AO82" t="s">
        <v>169</v>
      </c>
      <c r="AP82" t="s">
        <v>1416</v>
      </c>
      <c r="AQ82" t="s">
        <v>131</v>
      </c>
      <c r="AR82" t="s">
        <v>153</v>
      </c>
      <c r="AS82" t="s">
        <v>1417</v>
      </c>
      <c r="AT82" t="s">
        <v>1418</v>
      </c>
      <c r="AU82" t="s">
        <v>1419</v>
      </c>
      <c r="AW82" t="s">
        <v>1420</v>
      </c>
      <c r="AX82" s="1" t="s">
        <v>123</v>
      </c>
      <c r="CR82" s="1" t="s">
        <v>123</v>
      </c>
      <c r="DB82" s="1" t="s">
        <v>123</v>
      </c>
      <c r="DL82" s="1" t="s">
        <v>123</v>
      </c>
      <c r="EO82" s="1" t="s">
        <v>123</v>
      </c>
      <c r="FO82" s="1" t="s">
        <v>123</v>
      </c>
      <c r="GW82" t="s">
        <v>1421</v>
      </c>
      <c r="GX82" t="s">
        <v>1422</v>
      </c>
      <c r="GY82" t="s">
        <v>142</v>
      </c>
      <c r="GZ82" t="s">
        <v>140</v>
      </c>
      <c r="HA82">
        <v>1983</v>
      </c>
      <c r="HB82" t="s">
        <v>141</v>
      </c>
      <c r="HD82" t="s">
        <v>1423</v>
      </c>
      <c r="HE82" t="s">
        <v>132</v>
      </c>
    </row>
    <row r="83" spans="1:214" hidden="1" x14ac:dyDescent="0.45">
      <c r="A83">
        <v>165</v>
      </c>
      <c r="B83">
        <f>_xlfn.IFNA(VLOOKUP(AnalizaCzyste[[#This Row],[Zakończono wypełnianie]],Zakończone[],2,0),"BRAK")</f>
        <v>95</v>
      </c>
      <c r="C83">
        <f>COUNTA(O83:HF83)</f>
        <v>33</v>
      </c>
      <c r="D83" t="s">
        <v>1352</v>
      </c>
      <c r="E83" t="s">
        <v>118</v>
      </c>
      <c r="J83" t="s">
        <v>119</v>
      </c>
      <c r="K83" t="s">
        <v>1450</v>
      </c>
      <c r="L83" t="s">
        <v>1451</v>
      </c>
      <c r="M83">
        <v>402</v>
      </c>
      <c r="N83">
        <v>0</v>
      </c>
      <c r="O83" t="s">
        <v>122</v>
      </c>
      <c r="P83" s="1" t="s">
        <v>123</v>
      </c>
      <c r="AF83" s="1" t="s">
        <v>124</v>
      </c>
      <c r="AG83" t="s">
        <v>223</v>
      </c>
      <c r="AH83">
        <v>2008</v>
      </c>
      <c r="AI83" t="s">
        <v>148</v>
      </c>
      <c r="AJ83" t="s">
        <v>1452</v>
      </c>
      <c r="AK83" t="s">
        <v>128</v>
      </c>
      <c r="AL83" t="s">
        <v>236</v>
      </c>
      <c r="AM83" t="s">
        <v>129</v>
      </c>
      <c r="AN83" t="s">
        <v>129</v>
      </c>
      <c r="AO83" t="s">
        <v>128</v>
      </c>
      <c r="AP83" t="s">
        <v>237</v>
      </c>
      <c r="AQ83" t="s">
        <v>131</v>
      </c>
      <c r="AR83" t="s">
        <v>131</v>
      </c>
      <c r="AS83" t="s">
        <v>1453</v>
      </c>
      <c r="AT83" t="s">
        <v>1454</v>
      </c>
      <c r="AU83" t="s">
        <v>1005</v>
      </c>
      <c r="AV83" t="s">
        <v>157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1455</v>
      </c>
      <c r="GX83" t="s">
        <v>1456</v>
      </c>
      <c r="GY83" t="s">
        <v>1457</v>
      </c>
      <c r="GZ83" t="s">
        <v>140</v>
      </c>
      <c r="HA83">
        <v>1984</v>
      </c>
      <c r="HB83" t="s">
        <v>220</v>
      </c>
      <c r="HD83" t="s">
        <v>386</v>
      </c>
      <c r="HE83" t="s">
        <v>386</v>
      </c>
    </row>
    <row r="84" spans="1:214" hidden="1" x14ac:dyDescent="0.45">
      <c r="A84">
        <v>169</v>
      </c>
      <c r="B84">
        <f>_xlfn.IFNA(VLOOKUP(AnalizaCzyste[[#This Row],[Zakończono wypełnianie]],Zakończone[],2,0),"BRAK")</f>
        <v>97</v>
      </c>
      <c r="C84">
        <f>COUNTA(O84:HF84)</f>
        <v>33</v>
      </c>
      <c r="D84" t="s">
        <v>1352</v>
      </c>
      <c r="E84" t="s">
        <v>118</v>
      </c>
      <c r="J84" t="s">
        <v>119</v>
      </c>
      <c r="K84" t="s">
        <v>1470</v>
      </c>
      <c r="L84" t="s">
        <v>1471</v>
      </c>
      <c r="M84">
        <v>495</v>
      </c>
      <c r="N84">
        <v>0</v>
      </c>
      <c r="O84" t="s">
        <v>122</v>
      </c>
      <c r="P84" s="1" t="s">
        <v>123</v>
      </c>
      <c r="AF84" s="1" t="s">
        <v>124</v>
      </c>
      <c r="AG84" t="s">
        <v>1472</v>
      </c>
      <c r="AI84" t="s">
        <v>148</v>
      </c>
      <c r="AJ84" t="s">
        <v>1474</v>
      </c>
      <c r="AK84" t="s">
        <v>169</v>
      </c>
      <c r="AL84" t="s">
        <v>169</v>
      </c>
      <c r="AM84" t="s">
        <v>151</v>
      </c>
      <c r="AN84" t="s">
        <v>162</v>
      </c>
      <c r="AO84" t="s">
        <v>162</v>
      </c>
      <c r="AP84" t="s">
        <v>1475</v>
      </c>
      <c r="AQ84" t="s">
        <v>132</v>
      </c>
      <c r="AR84" t="s">
        <v>132</v>
      </c>
      <c r="AS84" t="s">
        <v>1476</v>
      </c>
      <c r="AT84" t="s">
        <v>1477</v>
      </c>
      <c r="AU84" t="s">
        <v>1473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123</v>
      </c>
      <c r="FO84" s="1" t="s">
        <v>123</v>
      </c>
      <c r="GW84" t="s">
        <v>1478</v>
      </c>
      <c r="GX84" t="s">
        <v>1478</v>
      </c>
      <c r="GY84" t="s">
        <v>1473</v>
      </c>
      <c r="GZ84" t="s">
        <v>140</v>
      </c>
      <c r="HA84" t="s">
        <v>1473</v>
      </c>
      <c r="HB84" t="s">
        <v>398</v>
      </c>
      <c r="HD84" t="s">
        <v>1479</v>
      </c>
      <c r="HE84" t="s">
        <v>1473</v>
      </c>
      <c r="HF84" t="s">
        <v>1473</v>
      </c>
    </row>
    <row r="85" spans="1:214" hidden="1" x14ac:dyDescent="0.45">
      <c r="A85">
        <v>181</v>
      </c>
      <c r="B85">
        <f>_xlfn.IFNA(VLOOKUP(AnalizaCzyste[[#This Row],[Zakończono wypełnianie]],Zakończone[],2,0),"BRAK")</f>
        <v>102</v>
      </c>
      <c r="C85">
        <f>COUNTA(O85:HF85)</f>
        <v>33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X85" s="1" t="s">
        <v>123</v>
      </c>
      <c r="CR85" s="1" t="s">
        <v>123</v>
      </c>
      <c r="DB85" s="1" t="s">
        <v>123</v>
      </c>
      <c r="DL85" s="1" t="s">
        <v>123</v>
      </c>
      <c r="EO85" s="1" t="s">
        <v>123</v>
      </c>
      <c r="EP85" t="s">
        <v>178</v>
      </c>
      <c r="EQ85" t="s">
        <v>132</v>
      </c>
      <c r="FO85" s="1" t="s">
        <v>123</v>
      </c>
      <c r="GW85" t="s">
        <v>1535</v>
      </c>
      <c r="GX85" t="s">
        <v>1536</v>
      </c>
      <c r="GY85" t="s">
        <v>1537</v>
      </c>
      <c r="GZ85" t="s">
        <v>140</v>
      </c>
      <c r="HA85">
        <v>1991</v>
      </c>
      <c r="HB85" t="s">
        <v>141</v>
      </c>
      <c r="HD85" t="s">
        <v>1538</v>
      </c>
      <c r="HE85" t="s">
        <v>1539</v>
      </c>
    </row>
    <row r="86" spans="1:214" hidden="1" x14ac:dyDescent="0.45">
      <c r="A86">
        <v>182</v>
      </c>
      <c r="B86">
        <f>_xlfn.IFNA(VLOOKUP(AnalizaCzyste[[#This Row],[Zakończono wypełnianie]],Zakończone[],2,0),"BRAK")</f>
        <v>103</v>
      </c>
      <c r="C86">
        <f>COUNTA(O86:HF86)</f>
        <v>33</v>
      </c>
      <c r="D86" t="s">
        <v>1540</v>
      </c>
      <c r="E86" t="s">
        <v>118</v>
      </c>
      <c r="J86" t="s">
        <v>119</v>
      </c>
      <c r="K86" t="s">
        <v>1541</v>
      </c>
      <c r="L86" t="s">
        <v>1542</v>
      </c>
      <c r="M86">
        <v>193</v>
      </c>
      <c r="N86">
        <v>0</v>
      </c>
      <c r="O86" t="s">
        <v>122</v>
      </c>
      <c r="P86" s="1" t="s">
        <v>123</v>
      </c>
      <c r="AF86" s="1" t="s">
        <v>124</v>
      </c>
      <c r="AG86" t="s">
        <v>191</v>
      </c>
      <c r="AH86">
        <v>2013</v>
      </c>
      <c r="AI86" t="s">
        <v>126</v>
      </c>
      <c r="AJ86" t="s">
        <v>1544</v>
      </c>
      <c r="AK86" t="s">
        <v>236</v>
      </c>
      <c r="AL86" t="s">
        <v>236</v>
      </c>
      <c r="AM86" t="s">
        <v>162</v>
      </c>
      <c r="AN86" t="s">
        <v>236</v>
      </c>
      <c r="AO86" t="s">
        <v>236</v>
      </c>
      <c r="AP86">
        <v>1</v>
      </c>
      <c r="AQ86" t="s">
        <v>131</v>
      </c>
      <c r="AR86" t="s">
        <v>302</v>
      </c>
      <c r="AT86" t="s">
        <v>267</v>
      </c>
      <c r="AU86" t="s">
        <v>267</v>
      </c>
      <c r="AV86" t="s">
        <v>157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267</v>
      </c>
      <c r="GX86" t="s">
        <v>267</v>
      </c>
      <c r="GY86" t="s">
        <v>267</v>
      </c>
      <c r="GZ86" t="s">
        <v>186</v>
      </c>
      <c r="HA86">
        <v>1989</v>
      </c>
      <c r="HB86" t="s">
        <v>141</v>
      </c>
      <c r="HD86" t="s">
        <v>267</v>
      </c>
      <c r="HE86" t="s">
        <v>267</v>
      </c>
      <c r="HF86" t="s">
        <v>267</v>
      </c>
    </row>
    <row r="87" spans="1:214" hidden="1" x14ac:dyDescent="0.45">
      <c r="A87">
        <v>184</v>
      </c>
      <c r="B87">
        <f>_xlfn.IFNA(VLOOKUP(AnalizaCzyste[[#This Row],[Zakończono wypełnianie]],Zakończone[],2,0),"BRAK")</f>
        <v>105</v>
      </c>
      <c r="C87">
        <f>COUNTA(O87:HF87)</f>
        <v>33</v>
      </c>
      <c r="D87" t="s">
        <v>1555</v>
      </c>
      <c r="E87" t="s">
        <v>118</v>
      </c>
      <c r="J87" t="s">
        <v>119</v>
      </c>
      <c r="K87" t="s">
        <v>1556</v>
      </c>
      <c r="L87" t="s">
        <v>1557</v>
      </c>
      <c r="M87">
        <v>1119</v>
      </c>
      <c r="N87">
        <v>0</v>
      </c>
      <c r="O87" t="s">
        <v>122</v>
      </c>
      <c r="P87" s="1" t="s">
        <v>123</v>
      </c>
      <c r="AF87" s="1" t="s">
        <v>124</v>
      </c>
      <c r="AG87" t="s">
        <v>191</v>
      </c>
      <c r="AH87">
        <v>1997</v>
      </c>
      <c r="AI87" t="s">
        <v>126</v>
      </c>
      <c r="AJ87" t="s">
        <v>1558</v>
      </c>
      <c r="AK87" t="s">
        <v>150</v>
      </c>
      <c r="AL87" t="s">
        <v>150</v>
      </c>
      <c r="AM87" t="s">
        <v>150</v>
      </c>
      <c r="AN87" t="s">
        <v>150</v>
      </c>
      <c r="AO87" t="s">
        <v>150</v>
      </c>
      <c r="AP87" t="s">
        <v>1559</v>
      </c>
      <c r="AQ87" t="s">
        <v>132</v>
      </c>
      <c r="AR87" t="s">
        <v>132</v>
      </c>
      <c r="AS87" t="s">
        <v>1560</v>
      </c>
      <c r="AT87" t="s">
        <v>1561</v>
      </c>
      <c r="AU87" t="s">
        <v>1562</v>
      </c>
      <c r="AV87" t="s">
        <v>172</v>
      </c>
      <c r="AX87" s="1" t="s">
        <v>123</v>
      </c>
      <c r="CR87" s="1" t="s">
        <v>123</v>
      </c>
      <c r="DB87" s="1" t="s">
        <v>123</v>
      </c>
      <c r="DL87" s="1" t="s">
        <v>123</v>
      </c>
      <c r="EO87" s="1" t="s">
        <v>123</v>
      </c>
      <c r="FO87" s="1" t="s">
        <v>123</v>
      </c>
      <c r="GW87" t="s">
        <v>1563</v>
      </c>
      <c r="GX87" t="s">
        <v>1564</v>
      </c>
      <c r="GY87" t="s">
        <v>1565</v>
      </c>
      <c r="GZ87" t="s">
        <v>186</v>
      </c>
      <c r="HA87">
        <v>1972</v>
      </c>
      <c r="HB87" t="s">
        <v>483</v>
      </c>
      <c r="HD87" t="s">
        <v>1566</v>
      </c>
      <c r="HE87" t="s">
        <v>142</v>
      </c>
    </row>
    <row r="88" spans="1:214" hidden="1" x14ac:dyDescent="0.45">
      <c r="A88">
        <v>187</v>
      </c>
      <c r="B88">
        <f>_xlfn.IFNA(VLOOKUP(AnalizaCzyste[[#This Row],[Zakończono wypełnianie]],Zakończone[],2,0),"BRAK")</f>
        <v>106</v>
      </c>
      <c r="C88">
        <f>COUNTA(O88:HF88)</f>
        <v>33</v>
      </c>
      <c r="D88" t="s">
        <v>1574</v>
      </c>
      <c r="E88" t="s">
        <v>118</v>
      </c>
      <c r="J88" t="s">
        <v>119</v>
      </c>
      <c r="K88" t="s">
        <v>1575</v>
      </c>
      <c r="L88" t="s">
        <v>1576</v>
      </c>
      <c r="M88">
        <v>701</v>
      </c>
      <c r="N88">
        <v>0</v>
      </c>
      <c r="O88" t="s">
        <v>122</v>
      </c>
      <c r="P88" s="1" t="s">
        <v>123</v>
      </c>
      <c r="AF88" s="1" t="s">
        <v>124</v>
      </c>
      <c r="AG88" t="s">
        <v>191</v>
      </c>
      <c r="AH88" t="s">
        <v>1577</v>
      </c>
      <c r="AI88" t="s">
        <v>126</v>
      </c>
      <c r="AJ88" t="s">
        <v>1578</v>
      </c>
      <c r="AK88" t="s">
        <v>162</v>
      </c>
      <c r="AL88" t="s">
        <v>162</v>
      </c>
      <c r="AM88" t="s">
        <v>151</v>
      </c>
      <c r="AN88" t="s">
        <v>162</v>
      </c>
      <c r="AO88" t="s">
        <v>151</v>
      </c>
      <c r="AP88" t="s">
        <v>530</v>
      </c>
      <c r="AQ88" t="s">
        <v>302</v>
      </c>
      <c r="AR88" t="s">
        <v>302</v>
      </c>
      <c r="AT88" t="s">
        <v>1579</v>
      </c>
      <c r="AU88" t="s">
        <v>1580</v>
      </c>
      <c r="AV88" t="s">
        <v>157</v>
      </c>
      <c r="AW88" t="s">
        <v>1581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FO88" s="1" t="s">
        <v>123</v>
      </c>
      <c r="GW88" t="s">
        <v>1582</v>
      </c>
      <c r="GX88" t="s">
        <v>1583</v>
      </c>
      <c r="GY88" t="s">
        <v>1584</v>
      </c>
      <c r="GZ88" t="s">
        <v>140</v>
      </c>
      <c r="HA88">
        <v>1985</v>
      </c>
      <c r="HB88" t="s">
        <v>220</v>
      </c>
      <c r="HD88" t="s">
        <v>1585</v>
      </c>
      <c r="HE88" t="s">
        <v>1586</v>
      </c>
    </row>
    <row r="89" spans="1:214" hidden="1" x14ac:dyDescent="0.45">
      <c r="A89">
        <v>193</v>
      </c>
      <c r="B89">
        <f>_xlfn.IFNA(VLOOKUP(AnalizaCzyste[[#This Row],[Zakończono wypełnianie]],Zakończone[],2,0),"BRAK")</f>
        <v>110</v>
      </c>
      <c r="C89">
        <f>COUNTA(O89:HF89)</f>
        <v>33</v>
      </c>
      <c r="D89" t="s">
        <v>1131</v>
      </c>
      <c r="E89" t="s">
        <v>118</v>
      </c>
      <c r="J89" t="s">
        <v>119</v>
      </c>
      <c r="K89" t="s">
        <v>1634</v>
      </c>
      <c r="L89" t="s">
        <v>1635</v>
      </c>
      <c r="M89">
        <v>545</v>
      </c>
      <c r="N89">
        <v>0</v>
      </c>
      <c r="O89" t="s">
        <v>122</v>
      </c>
      <c r="P89" s="1" t="s">
        <v>123</v>
      </c>
      <c r="AF89" s="1" t="s">
        <v>124</v>
      </c>
      <c r="AG89" t="s">
        <v>1636</v>
      </c>
      <c r="AH89">
        <v>2001</v>
      </c>
      <c r="AI89" t="s">
        <v>148</v>
      </c>
      <c r="AJ89" t="s">
        <v>1637</v>
      </c>
      <c r="AK89" t="s">
        <v>150</v>
      </c>
      <c r="AL89" t="s">
        <v>150</v>
      </c>
      <c r="AM89" t="s">
        <v>169</v>
      </c>
      <c r="AN89" t="s">
        <v>150</v>
      </c>
      <c r="AO89" t="s">
        <v>169</v>
      </c>
      <c r="AP89" t="s">
        <v>1638</v>
      </c>
      <c r="AQ89" t="s">
        <v>152</v>
      </c>
      <c r="AR89" t="s">
        <v>153</v>
      </c>
      <c r="AS89" t="s">
        <v>1639</v>
      </c>
      <c r="AT89" t="s">
        <v>1640</v>
      </c>
      <c r="AU89" t="s">
        <v>386</v>
      </c>
      <c r="AV89" t="s">
        <v>157</v>
      </c>
      <c r="AX89" s="1" t="s">
        <v>123</v>
      </c>
      <c r="CR89" s="1" t="s">
        <v>123</v>
      </c>
      <c r="DB89" s="1" t="s">
        <v>123</v>
      </c>
      <c r="DL89" s="1" t="s">
        <v>123</v>
      </c>
      <c r="EO89" s="1" t="s">
        <v>123</v>
      </c>
      <c r="FO89" s="1" t="s">
        <v>123</v>
      </c>
      <c r="GW89" t="s">
        <v>1641</v>
      </c>
      <c r="GX89" t="s">
        <v>1642</v>
      </c>
      <c r="GY89" t="s">
        <v>1643</v>
      </c>
      <c r="GZ89" t="s">
        <v>140</v>
      </c>
      <c r="HA89">
        <v>1977</v>
      </c>
      <c r="HB89" t="s">
        <v>141</v>
      </c>
      <c r="HC89" t="s">
        <v>1644</v>
      </c>
      <c r="HD89" t="s">
        <v>1645</v>
      </c>
    </row>
    <row r="90" spans="1:214" hidden="1" x14ac:dyDescent="0.45">
      <c r="A90">
        <v>205</v>
      </c>
      <c r="B90">
        <f>_xlfn.IFNA(VLOOKUP(AnalizaCzyste[[#This Row],[Zakończono wypełnianie]],Zakończone[],2,0),"BRAK")</f>
        <v>114</v>
      </c>
      <c r="C90">
        <f>COUNTA(O90:HF90)</f>
        <v>33</v>
      </c>
      <c r="D90" t="s">
        <v>1709</v>
      </c>
      <c r="E90" t="s">
        <v>118</v>
      </c>
      <c r="J90" t="s">
        <v>119</v>
      </c>
      <c r="K90" t="s">
        <v>1710</v>
      </c>
      <c r="L90" t="s">
        <v>1711</v>
      </c>
      <c r="M90">
        <v>588</v>
      </c>
      <c r="N90">
        <v>0</v>
      </c>
      <c r="O90" t="s">
        <v>122</v>
      </c>
      <c r="P90" s="1" t="s">
        <v>123</v>
      </c>
      <c r="AF90" s="1" t="s">
        <v>124</v>
      </c>
      <c r="AG90" t="s">
        <v>1712</v>
      </c>
      <c r="AH90">
        <v>2012</v>
      </c>
      <c r="AI90" t="s">
        <v>148</v>
      </c>
      <c r="AJ90" t="s">
        <v>1713</v>
      </c>
      <c r="AK90" t="s">
        <v>162</v>
      </c>
      <c r="AL90" t="s">
        <v>162</v>
      </c>
      <c r="AM90" t="s">
        <v>169</v>
      </c>
      <c r="AN90" t="s">
        <v>129</v>
      </c>
      <c r="AO90" t="s">
        <v>129</v>
      </c>
      <c r="AP90" t="s">
        <v>1714</v>
      </c>
      <c r="AQ90" t="s">
        <v>131</v>
      </c>
      <c r="AR90" t="s">
        <v>131</v>
      </c>
      <c r="AS90" t="s">
        <v>1715</v>
      </c>
      <c r="AT90" t="s">
        <v>1716</v>
      </c>
      <c r="AU90" t="s">
        <v>1717</v>
      </c>
      <c r="AV90" t="s">
        <v>157</v>
      </c>
      <c r="AX90" s="1" t="s">
        <v>123</v>
      </c>
      <c r="CR90" s="1" t="s">
        <v>123</v>
      </c>
      <c r="DB90" s="1" t="s">
        <v>123</v>
      </c>
      <c r="DL90" s="1" t="s">
        <v>123</v>
      </c>
      <c r="EO90" s="1" t="s">
        <v>123</v>
      </c>
      <c r="FO90" s="1" t="s">
        <v>123</v>
      </c>
      <c r="GW90" t="s">
        <v>1718</v>
      </c>
      <c r="GX90" t="s">
        <v>1719</v>
      </c>
      <c r="GY90" t="s">
        <v>1720</v>
      </c>
      <c r="GZ90" t="s">
        <v>140</v>
      </c>
      <c r="HA90">
        <v>1985</v>
      </c>
      <c r="HB90" t="s">
        <v>246</v>
      </c>
      <c r="HD90" t="s">
        <v>1721</v>
      </c>
      <c r="HE90" t="s">
        <v>532</v>
      </c>
    </row>
    <row r="91" spans="1:214" hidden="1" x14ac:dyDescent="0.45">
      <c r="A91">
        <v>214</v>
      </c>
      <c r="B91">
        <f>_xlfn.IFNA(VLOOKUP(AnalizaCzyste[[#This Row],[Zakończono wypełnianie]],Zakończone[],2,0),"BRAK")</f>
        <v>117</v>
      </c>
      <c r="C91">
        <f>COUNTA(O91:HF91)</f>
        <v>33</v>
      </c>
      <c r="D91" t="s">
        <v>1762</v>
      </c>
      <c r="E91" t="s">
        <v>118</v>
      </c>
      <c r="J91" t="s">
        <v>119</v>
      </c>
      <c r="K91" t="s">
        <v>1763</v>
      </c>
      <c r="L91" t="s">
        <v>1764</v>
      </c>
      <c r="M91">
        <v>336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>
        <v>2002</v>
      </c>
      <c r="AI91" t="s">
        <v>126</v>
      </c>
      <c r="AJ91" t="s">
        <v>1176</v>
      </c>
      <c r="AK91" t="s">
        <v>129</v>
      </c>
      <c r="AL91" t="s">
        <v>129</v>
      </c>
      <c r="AM91" t="s">
        <v>129</v>
      </c>
      <c r="AN91" t="s">
        <v>129</v>
      </c>
      <c r="AO91" t="s">
        <v>129</v>
      </c>
      <c r="AP91" t="s">
        <v>1765</v>
      </c>
      <c r="AQ91" t="s">
        <v>302</v>
      </c>
      <c r="AR91" t="s">
        <v>226</v>
      </c>
      <c r="AT91" t="s">
        <v>1766</v>
      </c>
      <c r="AU91" t="s">
        <v>386</v>
      </c>
      <c r="AV91" t="s">
        <v>157</v>
      </c>
      <c r="AW91" t="s">
        <v>1767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123</v>
      </c>
      <c r="FO91" s="1" t="s">
        <v>123</v>
      </c>
      <c r="GW91" t="s">
        <v>1768</v>
      </c>
      <c r="GX91" t="s">
        <v>1769</v>
      </c>
      <c r="GY91" t="s">
        <v>1769</v>
      </c>
      <c r="GZ91" t="s">
        <v>186</v>
      </c>
      <c r="HA91">
        <v>1977</v>
      </c>
      <c r="HB91" t="s">
        <v>141</v>
      </c>
      <c r="HD91" t="s">
        <v>386</v>
      </c>
      <c r="HE91" t="s">
        <v>386</v>
      </c>
    </row>
    <row r="92" spans="1:214" hidden="1" x14ac:dyDescent="0.45">
      <c r="A92">
        <v>227</v>
      </c>
      <c r="B92">
        <f>_xlfn.IFNA(VLOOKUP(AnalizaCzyste[[#This Row],[Zakończono wypełnianie]],Zakończone[],2,0),"BRAK")</f>
        <v>123</v>
      </c>
      <c r="C92">
        <f>COUNTA(O92:HF92)</f>
        <v>33</v>
      </c>
      <c r="D92" t="s">
        <v>1845</v>
      </c>
      <c r="E92" t="s">
        <v>118</v>
      </c>
      <c r="J92" t="s">
        <v>119</v>
      </c>
      <c r="K92" t="s">
        <v>1846</v>
      </c>
      <c r="L92" t="s">
        <v>1847</v>
      </c>
      <c r="M92">
        <v>790</v>
      </c>
      <c r="N92">
        <v>0</v>
      </c>
      <c r="O92" t="s">
        <v>122</v>
      </c>
      <c r="P92" s="1" t="s">
        <v>123</v>
      </c>
      <c r="AF92" s="1" t="s">
        <v>124</v>
      </c>
      <c r="AG92" t="s">
        <v>223</v>
      </c>
      <c r="AH92">
        <v>2018</v>
      </c>
      <c r="AI92" t="s">
        <v>148</v>
      </c>
      <c r="AJ92" t="s">
        <v>461</v>
      </c>
      <c r="AK92" t="s">
        <v>162</v>
      </c>
      <c r="AL92" t="s">
        <v>162</v>
      </c>
      <c r="AM92" t="s">
        <v>150</v>
      </c>
      <c r="AN92" t="s">
        <v>169</v>
      </c>
      <c r="AO92" t="s">
        <v>132</v>
      </c>
      <c r="AP92" t="s">
        <v>1848</v>
      </c>
      <c r="AQ92" t="s">
        <v>302</v>
      </c>
      <c r="AR92" t="s">
        <v>132</v>
      </c>
      <c r="AS92" t="s">
        <v>1849</v>
      </c>
      <c r="AT92" t="s">
        <v>1850</v>
      </c>
      <c r="AU92" t="s">
        <v>1851</v>
      </c>
      <c r="AV92" t="s">
        <v>157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1852</v>
      </c>
      <c r="GX92" t="s">
        <v>1853</v>
      </c>
      <c r="GY92" t="s">
        <v>1854</v>
      </c>
      <c r="GZ92" t="s">
        <v>140</v>
      </c>
      <c r="HA92">
        <v>1994</v>
      </c>
      <c r="HB92" t="s">
        <v>141</v>
      </c>
      <c r="HC92" t="s">
        <v>1855</v>
      </c>
      <c r="HD92" t="s">
        <v>1856</v>
      </c>
    </row>
    <row r="93" spans="1:214" hidden="1" x14ac:dyDescent="0.45">
      <c r="A93">
        <v>235</v>
      </c>
      <c r="B93">
        <f>_xlfn.IFNA(VLOOKUP(AnalizaCzyste[[#This Row],[Zakończono wypełnianie]],Zakończone[],2,0),"BRAK")</f>
        <v>127</v>
      </c>
      <c r="C93">
        <f>COUNTA(O93:HF93)</f>
        <v>33</v>
      </c>
      <c r="D93" t="s">
        <v>1899</v>
      </c>
      <c r="E93" t="s">
        <v>118</v>
      </c>
      <c r="F93" t="s">
        <v>359</v>
      </c>
      <c r="J93" t="s">
        <v>119</v>
      </c>
      <c r="K93" t="s">
        <v>1900</v>
      </c>
      <c r="L93" t="s">
        <v>1901</v>
      </c>
      <c r="M93">
        <v>650</v>
      </c>
      <c r="N93">
        <v>0</v>
      </c>
      <c r="O93" t="s">
        <v>122</v>
      </c>
      <c r="P93" s="1" t="s">
        <v>123</v>
      </c>
      <c r="AF93" s="1" t="s">
        <v>124</v>
      </c>
      <c r="AG93" t="s">
        <v>223</v>
      </c>
      <c r="AH93">
        <v>2009</v>
      </c>
      <c r="AI93" t="s">
        <v>148</v>
      </c>
      <c r="AJ93" t="s">
        <v>1666</v>
      </c>
      <c r="AK93" t="s">
        <v>162</v>
      </c>
      <c r="AL93" t="s">
        <v>151</v>
      </c>
      <c r="AM93" t="s">
        <v>236</v>
      </c>
      <c r="AN93" t="s">
        <v>236</v>
      </c>
      <c r="AO93" t="s">
        <v>128</v>
      </c>
      <c r="AP93">
        <v>9</v>
      </c>
      <c r="AQ93" t="s">
        <v>131</v>
      </c>
      <c r="AR93" t="s">
        <v>153</v>
      </c>
      <c r="AS93" t="s">
        <v>1902</v>
      </c>
      <c r="AT93" t="s">
        <v>1903</v>
      </c>
      <c r="AU93" t="s">
        <v>1904</v>
      </c>
      <c r="AW93" t="s">
        <v>1905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FO93" s="1" t="s">
        <v>123</v>
      </c>
      <c r="GW93" t="s">
        <v>1906</v>
      </c>
      <c r="GX93" t="s">
        <v>1907</v>
      </c>
      <c r="GY93" t="s">
        <v>1908</v>
      </c>
      <c r="GZ93" t="s">
        <v>140</v>
      </c>
      <c r="HA93">
        <v>1985</v>
      </c>
      <c r="HB93" t="s">
        <v>141</v>
      </c>
      <c r="HD93" t="s">
        <v>142</v>
      </c>
      <c r="HE93" t="s">
        <v>1909</v>
      </c>
    </row>
    <row r="94" spans="1:214" hidden="1" x14ac:dyDescent="0.45">
      <c r="A94">
        <v>243</v>
      </c>
      <c r="B94">
        <f>_xlfn.IFNA(VLOOKUP(AnalizaCzyste[[#This Row],[Zakończono wypełnianie]],Zakończone[],2,0),"BRAK")</f>
        <v>130</v>
      </c>
      <c r="C94">
        <f>COUNTA(O94:HF94)</f>
        <v>33</v>
      </c>
      <c r="D94" t="s">
        <v>1951</v>
      </c>
      <c r="E94" t="s">
        <v>118</v>
      </c>
      <c r="J94" t="s">
        <v>119</v>
      </c>
      <c r="K94" t="s">
        <v>1952</v>
      </c>
      <c r="L94" t="s">
        <v>1953</v>
      </c>
      <c r="M94">
        <v>942</v>
      </c>
      <c r="N94">
        <v>0</v>
      </c>
      <c r="O94" t="s">
        <v>122</v>
      </c>
      <c r="P94" s="1" t="s">
        <v>123</v>
      </c>
      <c r="AF94" s="1" t="s">
        <v>124</v>
      </c>
      <c r="AG94" t="s">
        <v>223</v>
      </c>
      <c r="AH94">
        <v>2012</v>
      </c>
      <c r="AI94" t="s">
        <v>148</v>
      </c>
      <c r="AJ94" t="s">
        <v>161</v>
      </c>
      <c r="AK94" t="s">
        <v>128</v>
      </c>
      <c r="AL94" t="s">
        <v>162</v>
      </c>
      <c r="AM94" t="s">
        <v>128</v>
      </c>
      <c r="AN94" t="s">
        <v>128</v>
      </c>
      <c r="AO94" t="s">
        <v>236</v>
      </c>
      <c r="AP94" t="s">
        <v>530</v>
      </c>
      <c r="AQ94" t="s">
        <v>302</v>
      </c>
      <c r="AR94" t="s">
        <v>131</v>
      </c>
      <c r="AS94" t="s">
        <v>1955</v>
      </c>
      <c r="AT94" t="s">
        <v>1956</v>
      </c>
      <c r="AU94" t="s">
        <v>1957</v>
      </c>
      <c r="AV94" t="s">
        <v>157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123</v>
      </c>
      <c r="FO94" s="1" t="s">
        <v>123</v>
      </c>
      <c r="GW94" t="s">
        <v>1958</v>
      </c>
      <c r="GX94" t="s">
        <v>1959</v>
      </c>
      <c r="GY94" t="s">
        <v>1960</v>
      </c>
      <c r="GZ94" t="s">
        <v>140</v>
      </c>
      <c r="HA94">
        <v>1986</v>
      </c>
      <c r="HB94" t="s">
        <v>1630</v>
      </c>
      <c r="HD94" t="s">
        <v>1961</v>
      </c>
      <c r="HE94" t="s">
        <v>142</v>
      </c>
    </row>
    <row r="95" spans="1:214" hidden="1" x14ac:dyDescent="0.45">
      <c r="A95">
        <v>6</v>
      </c>
      <c r="B95">
        <f>_xlfn.IFNA(VLOOKUP(AnalizaCzyste[[#This Row],[Zakończono wypełnianie]],Zakończone[],2,0),"BRAK")</f>
        <v>6</v>
      </c>
      <c r="C95">
        <f>COUNTA(O95:HF95)</f>
        <v>32</v>
      </c>
      <c r="D95" t="s">
        <v>248</v>
      </c>
      <c r="E95" t="s">
        <v>118</v>
      </c>
      <c r="J95" t="s">
        <v>119</v>
      </c>
      <c r="K95" t="s">
        <v>249</v>
      </c>
      <c r="L95" t="s">
        <v>250</v>
      </c>
      <c r="M95">
        <v>902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>
        <v>2013</v>
      </c>
      <c r="AI95" t="s">
        <v>126</v>
      </c>
      <c r="AJ95" t="s">
        <v>251</v>
      </c>
      <c r="AK95" t="s">
        <v>162</v>
      </c>
      <c r="AL95" t="s">
        <v>162</v>
      </c>
      <c r="AM95" t="s">
        <v>151</v>
      </c>
      <c r="AN95" t="s">
        <v>132</v>
      </c>
      <c r="AO95" t="s">
        <v>132</v>
      </c>
      <c r="AP95" t="s">
        <v>252</v>
      </c>
      <c r="AQ95" t="s">
        <v>132</v>
      </c>
      <c r="AR95" t="s">
        <v>132</v>
      </c>
      <c r="AS95" t="s">
        <v>253</v>
      </c>
      <c r="AT95" t="s">
        <v>254</v>
      </c>
      <c r="AU95" t="s">
        <v>255</v>
      </c>
      <c r="AV95" t="s">
        <v>157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123</v>
      </c>
      <c r="FO95" s="1" t="s">
        <v>123</v>
      </c>
      <c r="FP95" t="s">
        <v>132</v>
      </c>
      <c r="GW95" t="s">
        <v>256</v>
      </c>
      <c r="GX95" t="s">
        <v>257</v>
      </c>
      <c r="GY95" t="s">
        <v>258</v>
      </c>
      <c r="GZ95" t="s">
        <v>140</v>
      </c>
      <c r="HA95">
        <v>1988</v>
      </c>
      <c r="HB95" t="s">
        <v>141</v>
      </c>
    </row>
    <row r="96" spans="1:214" hidden="1" x14ac:dyDescent="0.45">
      <c r="A96">
        <v>47</v>
      </c>
      <c r="B96">
        <f>_xlfn.IFNA(VLOOKUP(AnalizaCzyste[[#This Row],[Zakończono wypełnianie]],Zakończone[],2,0),"BRAK")</f>
        <v>29</v>
      </c>
      <c r="C96">
        <f>COUNTA(O96:HF96)</f>
        <v>32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FP96" t="s">
        <v>132</v>
      </c>
      <c r="FR96" t="s">
        <v>132</v>
      </c>
      <c r="GW96" t="s">
        <v>578</v>
      </c>
      <c r="GX96" t="s">
        <v>579</v>
      </c>
      <c r="GY96" t="s">
        <v>580</v>
      </c>
      <c r="GZ96" t="s">
        <v>186</v>
      </c>
      <c r="HA96">
        <v>1997</v>
      </c>
      <c r="HB96" t="s">
        <v>483</v>
      </c>
      <c r="HD96" t="s">
        <v>532</v>
      </c>
    </row>
    <row r="97" spans="1:213" hidden="1" x14ac:dyDescent="0.45">
      <c r="A97">
        <v>94</v>
      </c>
      <c r="B97">
        <f>_xlfn.IFNA(VLOOKUP(AnalizaCzyste[[#This Row],[Zakończono wypełnianie]],Zakończone[],2,0),"BRAK")</f>
        <v>57</v>
      </c>
      <c r="C97">
        <f>COUNTA(O97:HF97)</f>
        <v>32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EP97" t="s">
        <v>180</v>
      </c>
      <c r="EQ97" t="s">
        <v>132</v>
      </c>
      <c r="FO97" s="1" t="s">
        <v>123</v>
      </c>
      <c r="FP97" t="s">
        <v>132</v>
      </c>
      <c r="GW97" t="s">
        <v>826</v>
      </c>
      <c r="GX97" t="s">
        <v>824</v>
      </c>
      <c r="GY97" t="s">
        <v>820</v>
      </c>
      <c r="GZ97" t="s">
        <v>140</v>
      </c>
      <c r="HA97">
        <v>1993</v>
      </c>
      <c r="HB97" t="s">
        <v>483</v>
      </c>
    </row>
    <row r="98" spans="1:213" hidden="1" x14ac:dyDescent="0.45">
      <c r="A98">
        <v>113</v>
      </c>
      <c r="B98">
        <f>_xlfn.IFNA(VLOOKUP(AnalizaCzyste[[#This Row],[Zakończono wypełnianie]],Zakończone[],2,0),"BRAK")</f>
        <v>67</v>
      </c>
      <c r="C98">
        <f>COUNTA(O98:HF98)</f>
        <v>32</v>
      </c>
      <c r="D98" t="s">
        <v>1065</v>
      </c>
      <c r="E98" t="s">
        <v>118</v>
      </c>
      <c r="J98" t="s">
        <v>119</v>
      </c>
      <c r="K98" t="s">
        <v>1066</v>
      </c>
      <c r="L98" t="s">
        <v>1067</v>
      </c>
      <c r="M98">
        <v>2803</v>
      </c>
      <c r="N98">
        <v>0</v>
      </c>
      <c r="O98" t="s">
        <v>122</v>
      </c>
      <c r="P98" s="1" t="s">
        <v>123</v>
      </c>
      <c r="AF98" s="1" t="s">
        <v>124</v>
      </c>
      <c r="AG98" t="s">
        <v>1439</v>
      </c>
      <c r="AH98">
        <v>2019</v>
      </c>
      <c r="AI98" t="s">
        <v>148</v>
      </c>
      <c r="AJ98" t="s">
        <v>1069</v>
      </c>
      <c r="AK98" t="s">
        <v>128</v>
      </c>
      <c r="AL98" t="s">
        <v>151</v>
      </c>
      <c r="AM98" t="s">
        <v>128</v>
      </c>
      <c r="AN98" t="s">
        <v>129</v>
      </c>
      <c r="AO98" t="s">
        <v>132</v>
      </c>
      <c r="AP98" t="s">
        <v>1070</v>
      </c>
      <c r="AQ98" t="s">
        <v>153</v>
      </c>
      <c r="AR98" t="s">
        <v>132</v>
      </c>
      <c r="AT98" t="s">
        <v>1071</v>
      </c>
      <c r="AU98" t="s">
        <v>1072</v>
      </c>
      <c r="AV98" t="s">
        <v>892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FP98" t="s">
        <v>132</v>
      </c>
      <c r="GW98" t="s">
        <v>1073</v>
      </c>
      <c r="GX98" t="s">
        <v>1074</v>
      </c>
      <c r="GY98" t="s">
        <v>1075</v>
      </c>
      <c r="GZ98" t="s">
        <v>140</v>
      </c>
      <c r="HA98">
        <v>1991</v>
      </c>
      <c r="HB98" t="s">
        <v>398</v>
      </c>
      <c r="HE98" t="s">
        <v>1076</v>
      </c>
    </row>
    <row r="99" spans="1:213" hidden="1" x14ac:dyDescent="0.45">
      <c r="A99">
        <v>115</v>
      </c>
      <c r="B99">
        <f>_xlfn.IFNA(VLOOKUP(AnalizaCzyste[[#This Row],[Zakończono wypełnianie]],Zakończone[],2,0),"BRAK")</f>
        <v>69</v>
      </c>
      <c r="C99">
        <f>COUNTA(O99:HF99)</f>
        <v>32</v>
      </c>
      <c r="D99" t="s">
        <v>1087</v>
      </c>
      <c r="E99" t="s">
        <v>118</v>
      </c>
      <c r="J99" t="s">
        <v>119</v>
      </c>
      <c r="K99" t="s">
        <v>1088</v>
      </c>
      <c r="L99" t="s">
        <v>1089</v>
      </c>
      <c r="M99">
        <v>1206</v>
      </c>
      <c r="N99">
        <v>0</v>
      </c>
      <c r="O99" t="s">
        <v>122</v>
      </c>
      <c r="P99" s="1" t="s">
        <v>123</v>
      </c>
      <c r="AF99" s="1" t="s">
        <v>124</v>
      </c>
      <c r="AG99" t="s">
        <v>1090</v>
      </c>
      <c r="AH99">
        <v>2004</v>
      </c>
      <c r="AI99" t="s">
        <v>126</v>
      </c>
      <c r="AJ99" t="s">
        <v>844</v>
      </c>
      <c r="AK99" t="s">
        <v>162</v>
      </c>
      <c r="AL99" t="s">
        <v>162</v>
      </c>
      <c r="AM99" t="s">
        <v>150</v>
      </c>
      <c r="AN99" t="s">
        <v>151</v>
      </c>
      <c r="AO99" t="s">
        <v>150</v>
      </c>
      <c r="AP99" t="s">
        <v>237</v>
      </c>
      <c r="AQ99" t="s">
        <v>302</v>
      </c>
      <c r="AR99" t="s">
        <v>226</v>
      </c>
      <c r="AS99" t="s">
        <v>1091</v>
      </c>
      <c r="AT99" t="s">
        <v>1092</v>
      </c>
      <c r="AU99" t="s">
        <v>1093</v>
      </c>
      <c r="AV99" t="s">
        <v>157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FP99" t="s">
        <v>132</v>
      </c>
      <c r="GW99" t="s">
        <v>1094</v>
      </c>
      <c r="GX99" t="s">
        <v>1095</v>
      </c>
      <c r="GY99" t="s">
        <v>1096</v>
      </c>
      <c r="GZ99" t="s">
        <v>140</v>
      </c>
      <c r="HA99">
        <v>1976</v>
      </c>
      <c r="HB99" t="s">
        <v>141</v>
      </c>
    </row>
    <row r="100" spans="1:213" hidden="1" x14ac:dyDescent="0.45">
      <c r="A100">
        <v>122</v>
      </c>
      <c r="B100">
        <f>_xlfn.IFNA(VLOOKUP(AnalizaCzyste[[#This Row],[Zakończono wypełnianie]],Zakończone[],2,0),"BRAK")</f>
        <v>71</v>
      </c>
      <c r="C100">
        <f>COUNTA(O100:HF100)</f>
        <v>32</v>
      </c>
      <c r="D100" t="s">
        <v>1131</v>
      </c>
      <c r="E100" t="s">
        <v>118</v>
      </c>
      <c r="J100" t="s">
        <v>119</v>
      </c>
      <c r="K100" t="s">
        <v>1132</v>
      </c>
      <c r="L100" t="s">
        <v>1133</v>
      </c>
      <c r="M100">
        <v>3215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>
        <v>2015</v>
      </c>
      <c r="AI100" t="s">
        <v>126</v>
      </c>
      <c r="AJ100" t="s">
        <v>1134</v>
      </c>
      <c r="AK100" t="s">
        <v>128</v>
      </c>
      <c r="AL100" t="s">
        <v>151</v>
      </c>
      <c r="AM100" t="s">
        <v>169</v>
      </c>
      <c r="AN100" t="s">
        <v>162</v>
      </c>
      <c r="AO100" t="s">
        <v>150</v>
      </c>
      <c r="AP100">
        <v>1</v>
      </c>
      <c r="AQ100" t="s">
        <v>302</v>
      </c>
      <c r="AR100" t="s">
        <v>226</v>
      </c>
      <c r="AS100" t="s">
        <v>1135</v>
      </c>
      <c r="AT100" t="s">
        <v>1136</v>
      </c>
      <c r="AU100" t="s">
        <v>1137</v>
      </c>
      <c r="AV100" t="s">
        <v>172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  <c r="GW100" t="s">
        <v>1138</v>
      </c>
      <c r="GX100" t="s">
        <v>1139</v>
      </c>
      <c r="GY100" t="s">
        <v>1140</v>
      </c>
      <c r="GZ100" t="s">
        <v>186</v>
      </c>
      <c r="HA100">
        <v>1991</v>
      </c>
      <c r="HB100" t="s">
        <v>141</v>
      </c>
      <c r="HD100" t="s">
        <v>1141</v>
      </c>
    </row>
    <row r="101" spans="1:213" hidden="1" x14ac:dyDescent="0.45">
      <c r="A101">
        <v>123</v>
      </c>
      <c r="B101">
        <f>_xlfn.IFNA(VLOOKUP(AnalizaCzyste[[#This Row],[Zakończono wypełnianie]],Zakończone[],2,0),"BRAK")</f>
        <v>72</v>
      </c>
      <c r="C101">
        <f>COUNTA(O101:HF101)</f>
        <v>32</v>
      </c>
      <c r="D101" t="s">
        <v>1142</v>
      </c>
      <c r="E101" t="s">
        <v>118</v>
      </c>
      <c r="J101" t="s">
        <v>119</v>
      </c>
      <c r="K101" t="s">
        <v>1143</v>
      </c>
      <c r="L101" t="s">
        <v>1144</v>
      </c>
      <c r="M101">
        <v>258</v>
      </c>
      <c r="N101">
        <v>0</v>
      </c>
      <c r="O101" t="s">
        <v>122</v>
      </c>
      <c r="P101" s="1" t="s">
        <v>123</v>
      </c>
      <c r="AF101" s="1" t="s">
        <v>124</v>
      </c>
      <c r="AG101" t="s">
        <v>1439</v>
      </c>
      <c r="AH101">
        <v>2016</v>
      </c>
      <c r="AI101" t="s">
        <v>126</v>
      </c>
      <c r="AJ101" t="s">
        <v>1146</v>
      </c>
      <c r="AK101" t="s">
        <v>150</v>
      </c>
      <c r="AL101" t="s">
        <v>150</v>
      </c>
      <c r="AM101" t="s">
        <v>169</v>
      </c>
      <c r="AN101" t="s">
        <v>169</v>
      </c>
      <c r="AO101" t="s">
        <v>169</v>
      </c>
      <c r="AP101">
        <v>3</v>
      </c>
      <c r="AQ101" t="s">
        <v>302</v>
      </c>
      <c r="AR101" t="s">
        <v>943</v>
      </c>
      <c r="AT101" t="s">
        <v>1147</v>
      </c>
      <c r="AU101" t="s">
        <v>1148</v>
      </c>
      <c r="AV101" t="s">
        <v>892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EP101" t="s">
        <v>178</v>
      </c>
      <c r="EQ101">
        <v>1</v>
      </c>
      <c r="FO101" s="1" t="s">
        <v>123</v>
      </c>
      <c r="GW101" t="s">
        <v>1149</v>
      </c>
      <c r="GX101" t="s">
        <v>1149</v>
      </c>
      <c r="GY101" t="s">
        <v>1150</v>
      </c>
      <c r="GZ101" t="s">
        <v>186</v>
      </c>
      <c r="HA101">
        <v>1986</v>
      </c>
      <c r="HB101" t="s">
        <v>398</v>
      </c>
    </row>
    <row r="102" spans="1:213" hidden="1" x14ac:dyDescent="0.45">
      <c r="A102">
        <v>149</v>
      </c>
      <c r="B102">
        <f>_xlfn.IFNA(VLOOKUP(AnalizaCzyste[[#This Row],[Zakończono wypełnianie]],Zakończone[],2,0),"BRAK")</f>
        <v>87</v>
      </c>
      <c r="C102">
        <f>COUNTA(O102:HF102)</f>
        <v>32</v>
      </c>
      <c r="D102" t="s">
        <v>1352</v>
      </c>
      <c r="E102" t="s">
        <v>118</v>
      </c>
      <c r="J102" t="s">
        <v>119</v>
      </c>
      <c r="K102" t="s">
        <v>1359</v>
      </c>
      <c r="L102" t="s">
        <v>1360</v>
      </c>
      <c r="M102">
        <v>8266</v>
      </c>
      <c r="N102">
        <v>0</v>
      </c>
      <c r="O102" t="s">
        <v>122</v>
      </c>
      <c r="P102" s="1" t="s">
        <v>123</v>
      </c>
      <c r="AF102" s="1" t="s">
        <v>124</v>
      </c>
      <c r="AG102" t="s">
        <v>160</v>
      </c>
      <c r="AH102">
        <v>2010</v>
      </c>
      <c r="AI102" t="s">
        <v>148</v>
      </c>
      <c r="AJ102" t="s">
        <v>1361</v>
      </c>
      <c r="AK102" t="s">
        <v>236</v>
      </c>
      <c r="AL102" t="s">
        <v>150</v>
      </c>
      <c r="AM102" t="s">
        <v>129</v>
      </c>
      <c r="AN102" t="s">
        <v>129</v>
      </c>
      <c r="AO102" t="s">
        <v>129</v>
      </c>
      <c r="AP102" t="s">
        <v>1362</v>
      </c>
      <c r="AQ102" t="s">
        <v>153</v>
      </c>
      <c r="AR102" t="s">
        <v>153</v>
      </c>
      <c r="AS102" t="s">
        <v>1363</v>
      </c>
      <c r="AT102" t="s">
        <v>1364</v>
      </c>
      <c r="AU102" t="s">
        <v>1365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1366</v>
      </c>
      <c r="GX102" t="s">
        <v>1367</v>
      </c>
      <c r="GY102" t="s">
        <v>532</v>
      </c>
      <c r="GZ102" t="s">
        <v>140</v>
      </c>
      <c r="HA102">
        <v>1986</v>
      </c>
      <c r="HB102" t="s">
        <v>398</v>
      </c>
      <c r="HD102" t="s">
        <v>1368</v>
      </c>
    </row>
    <row r="103" spans="1:213" hidden="1" x14ac:dyDescent="0.45">
      <c r="A103">
        <v>156</v>
      </c>
      <c r="B103">
        <f>_xlfn.IFNA(VLOOKUP(AnalizaCzyste[[#This Row],[Zakończono wypełnianie]],Zakończone[],2,0),"BRAK")</f>
        <v>90</v>
      </c>
      <c r="C103">
        <f>COUNTA(O103:HF103)</f>
        <v>32</v>
      </c>
      <c r="D103" t="s">
        <v>1142</v>
      </c>
      <c r="E103" t="s">
        <v>118</v>
      </c>
      <c r="J103" t="s">
        <v>119</v>
      </c>
      <c r="K103" t="s">
        <v>1391</v>
      </c>
      <c r="L103" t="s">
        <v>1392</v>
      </c>
      <c r="M103">
        <v>415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>
        <v>2012</v>
      </c>
      <c r="AI103" t="s">
        <v>126</v>
      </c>
      <c r="AJ103" t="s">
        <v>1393</v>
      </c>
      <c r="AK103" t="s">
        <v>162</v>
      </c>
      <c r="AL103" t="s">
        <v>150</v>
      </c>
      <c r="AM103" t="s">
        <v>150</v>
      </c>
      <c r="AN103" t="s">
        <v>236</v>
      </c>
      <c r="AO103" t="s">
        <v>236</v>
      </c>
      <c r="AP103" t="s">
        <v>1340</v>
      </c>
      <c r="AQ103" t="s">
        <v>302</v>
      </c>
      <c r="AR103" t="s">
        <v>153</v>
      </c>
      <c r="AS103" t="s">
        <v>1394</v>
      </c>
      <c r="AT103" t="s">
        <v>1395</v>
      </c>
      <c r="AU103" t="s">
        <v>1396</v>
      </c>
      <c r="AW103" t="s">
        <v>1397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1398</v>
      </c>
      <c r="GX103" t="s">
        <v>1399</v>
      </c>
      <c r="GY103" t="s">
        <v>1400</v>
      </c>
      <c r="GZ103" t="s">
        <v>140</v>
      </c>
      <c r="HA103">
        <v>1985</v>
      </c>
      <c r="HB103" t="s">
        <v>141</v>
      </c>
      <c r="HD103" t="s">
        <v>1401</v>
      </c>
    </row>
    <row r="104" spans="1:213" hidden="1" x14ac:dyDescent="0.45">
      <c r="A104">
        <v>158</v>
      </c>
      <c r="B104">
        <f>_xlfn.IFNA(VLOOKUP(AnalizaCzyste[[#This Row],[Zakończono wypełnianie]],Zakończone[],2,0),"BRAK")</f>
        <v>91</v>
      </c>
      <c r="C104">
        <f>COUNTA(O104:HF104)</f>
        <v>32</v>
      </c>
      <c r="D104" t="s">
        <v>1131</v>
      </c>
      <c r="E104" t="s">
        <v>118</v>
      </c>
      <c r="J104" t="s">
        <v>119</v>
      </c>
      <c r="K104" t="s">
        <v>1403</v>
      </c>
      <c r="L104" t="s">
        <v>1404</v>
      </c>
      <c r="M104">
        <v>325</v>
      </c>
      <c r="N104">
        <v>0</v>
      </c>
      <c r="O104" t="s">
        <v>122</v>
      </c>
      <c r="P104" s="1" t="s">
        <v>123</v>
      </c>
      <c r="AF104" s="1" t="s">
        <v>124</v>
      </c>
      <c r="AG104" t="s">
        <v>223</v>
      </c>
      <c r="AH104">
        <v>2013</v>
      </c>
      <c r="AI104" t="s">
        <v>148</v>
      </c>
      <c r="AJ104" t="s">
        <v>958</v>
      </c>
      <c r="AK104" t="s">
        <v>128</v>
      </c>
      <c r="AL104" t="s">
        <v>128</v>
      </c>
      <c r="AM104" t="s">
        <v>162</v>
      </c>
      <c r="AN104" t="s">
        <v>151</v>
      </c>
      <c r="AO104" t="s">
        <v>151</v>
      </c>
      <c r="AP104">
        <v>3</v>
      </c>
      <c r="AQ104" t="s">
        <v>131</v>
      </c>
      <c r="AR104" t="s">
        <v>153</v>
      </c>
      <c r="AS104" t="s">
        <v>1405</v>
      </c>
      <c r="AT104" t="s">
        <v>1406</v>
      </c>
      <c r="AU104" t="s">
        <v>1407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1408</v>
      </c>
      <c r="GX104" t="s">
        <v>1409</v>
      </c>
      <c r="GY104" t="s">
        <v>1410</v>
      </c>
      <c r="GZ104" t="s">
        <v>140</v>
      </c>
      <c r="HA104">
        <v>1984</v>
      </c>
      <c r="HB104" t="s">
        <v>398</v>
      </c>
      <c r="HD104" t="s">
        <v>1411</v>
      </c>
    </row>
    <row r="105" spans="1:213" hidden="1" x14ac:dyDescent="0.45">
      <c r="A105">
        <v>167</v>
      </c>
      <c r="B105">
        <f>_xlfn.IFNA(VLOOKUP(AnalizaCzyste[[#This Row],[Zakończono wypełnianie]],Zakończone[],2,0),"BRAK")</f>
        <v>96</v>
      </c>
      <c r="C105">
        <f>COUNTA(O105:HF105)</f>
        <v>32</v>
      </c>
      <c r="D105" t="s">
        <v>1131</v>
      </c>
      <c r="E105" t="s">
        <v>118</v>
      </c>
      <c r="J105" t="s">
        <v>119</v>
      </c>
      <c r="K105" t="s">
        <v>1459</v>
      </c>
      <c r="L105" t="s">
        <v>1460</v>
      </c>
      <c r="M105">
        <v>665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1461</v>
      </c>
      <c r="AH105">
        <v>2007</v>
      </c>
      <c r="AI105" t="s">
        <v>148</v>
      </c>
      <c r="AJ105" t="s">
        <v>1462</v>
      </c>
      <c r="AK105" t="s">
        <v>162</v>
      </c>
      <c r="AL105" t="s">
        <v>151</v>
      </c>
      <c r="AM105" t="s">
        <v>151</v>
      </c>
      <c r="AN105" t="s">
        <v>150</v>
      </c>
      <c r="AO105" t="s">
        <v>128</v>
      </c>
      <c r="AP105">
        <v>2</v>
      </c>
      <c r="AQ105" t="s">
        <v>302</v>
      </c>
      <c r="AR105" t="s">
        <v>302</v>
      </c>
      <c r="AS105" t="s">
        <v>1463</v>
      </c>
      <c r="AT105" t="s">
        <v>1464</v>
      </c>
      <c r="AU105" t="s">
        <v>1465</v>
      </c>
      <c r="AV105" t="s">
        <v>157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FO105" s="1" t="s">
        <v>123</v>
      </c>
      <c r="GW105" t="s">
        <v>1466</v>
      </c>
      <c r="GX105" t="s">
        <v>1467</v>
      </c>
      <c r="GY105" t="s">
        <v>1468</v>
      </c>
      <c r="GZ105" t="s">
        <v>140</v>
      </c>
      <c r="HA105">
        <v>1982</v>
      </c>
      <c r="HB105" t="s">
        <v>398</v>
      </c>
      <c r="HD105" t="s">
        <v>1469</v>
      </c>
    </row>
    <row r="106" spans="1:213" hidden="1" x14ac:dyDescent="0.45">
      <c r="A106">
        <v>183</v>
      </c>
      <c r="B106">
        <f>_xlfn.IFNA(VLOOKUP(AnalizaCzyste[[#This Row],[Zakończono wypełnianie]],Zakończone[],2,0),"BRAK")</f>
        <v>104</v>
      </c>
      <c r="C106">
        <f>COUNTA(O106:HF106)</f>
        <v>32</v>
      </c>
      <c r="D106" t="s">
        <v>1545</v>
      </c>
      <c r="E106" t="s">
        <v>118</v>
      </c>
      <c r="J106" t="s">
        <v>119</v>
      </c>
      <c r="K106" t="s">
        <v>1546</v>
      </c>
      <c r="L106" t="s">
        <v>1547</v>
      </c>
      <c r="M106">
        <v>1556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>
        <v>2018</v>
      </c>
      <c r="AI106" t="s">
        <v>126</v>
      </c>
      <c r="AJ106" t="s">
        <v>192</v>
      </c>
      <c r="AK106" t="s">
        <v>150</v>
      </c>
      <c r="AL106" t="s">
        <v>162</v>
      </c>
      <c r="AM106" t="s">
        <v>150</v>
      </c>
      <c r="AN106" t="s">
        <v>162</v>
      </c>
      <c r="AO106" t="s">
        <v>169</v>
      </c>
      <c r="AP106" t="s">
        <v>237</v>
      </c>
      <c r="AQ106" t="s">
        <v>153</v>
      </c>
      <c r="AR106" t="s">
        <v>209</v>
      </c>
      <c r="AS106" t="s">
        <v>1548</v>
      </c>
      <c r="AT106" t="s">
        <v>1549</v>
      </c>
      <c r="AU106" t="s">
        <v>1550</v>
      </c>
      <c r="AV106" t="s">
        <v>230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1551</v>
      </c>
      <c r="GX106" t="s">
        <v>1552</v>
      </c>
      <c r="GY106" t="s">
        <v>1553</v>
      </c>
      <c r="GZ106" t="s">
        <v>186</v>
      </c>
      <c r="HA106">
        <v>1994</v>
      </c>
      <c r="HB106" t="s">
        <v>483</v>
      </c>
      <c r="HD106" t="s">
        <v>1554</v>
      </c>
    </row>
    <row r="107" spans="1:213" hidden="1" x14ac:dyDescent="0.45">
      <c r="A107">
        <v>191</v>
      </c>
      <c r="B107">
        <f>_xlfn.IFNA(VLOOKUP(AnalizaCzyste[[#This Row],[Zakończono wypełnianie]],Zakończone[],2,0),"BRAK")</f>
        <v>109</v>
      </c>
      <c r="C107">
        <f>COUNTA(O107:HF107)</f>
        <v>32</v>
      </c>
      <c r="D107" t="s">
        <v>1618</v>
      </c>
      <c r="E107" t="s">
        <v>118</v>
      </c>
      <c r="J107" t="s">
        <v>119</v>
      </c>
      <c r="K107" t="s">
        <v>1619</v>
      </c>
      <c r="L107" t="s">
        <v>1620</v>
      </c>
      <c r="M107">
        <v>1891</v>
      </c>
      <c r="N107">
        <v>0</v>
      </c>
      <c r="O107" t="s">
        <v>122</v>
      </c>
      <c r="P107" s="1" t="s">
        <v>123</v>
      </c>
      <c r="AF107" s="1" t="s">
        <v>124</v>
      </c>
      <c r="AG107" t="s">
        <v>1503</v>
      </c>
      <c r="AH107">
        <v>2000</v>
      </c>
      <c r="AI107" t="s">
        <v>148</v>
      </c>
      <c r="AJ107" t="s">
        <v>1622</v>
      </c>
      <c r="AK107" t="s">
        <v>150</v>
      </c>
      <c r="AL107" t="s">
        <v>150</v>
      </c>
      <c r="AM107" t="s">
        <v>150</v>
      </c>
      <c r="AN107" t="s">
        <v>236</v>
      </c>
      <c r="AO107" t="s">
        <v>162</v>
      </c>
      <c r="AP107" t="s">
        <v>1623</v>
      </c>
      <c r="AQ107" t="s">
        <v>132</v>
      </c>
      <c r="AR107" t="s">
        <v>302</v>
      </c>
      <c r="AS107" t="s">
        <v>1624</v>
      </c>
      <c r="AT107" t="s">
        <v>1625</v>
      </c>
      <c r="AU107" t="s">
        <v>1626</v>
      </c>
      <c r="AV107" t="s">
        <v>172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1627</v>
      </c>
      <c r="GX107" t="s">
        <v>1628</v>
      </c>
      <c r="GY107" t="s">
        <v>1629</v>
      </c>
      <c r="GZ107" t="s">
        <v>186</v>
      </c>
      <c r="HA107">
        <v>72</v>
      </c>
      <c r="HB107" t="s">
        <v>1630</v>
      </c>
      <c r="HE107" t="s">
        <v>1631</v>
      </c>
    </row>
    <row r="108" spans="1:213" hidden="1" x14ac:dyDescent="0.45">
      <c r="A108">
        <v>195</v>
      </c>
      <c r="B108">
        <f>_xlfn.IFNA(VLOOKUP(AnalizaCzyste[[#This Row],[Zakończono wypełnianie]],Zakończone[],2,0),"BRAK")</f>
        <v>111</v>
      </c>
      <c r="C108">
        <f>COUNTA(O108:HF108)</f>
        <v>32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N108">
        <v>0</v>
      </c>
      <c r="O108" t="s">
        <v>122</v>
      </c>
      <c r="P108" s="1" t="s">
        <v>123</v>
      </c>
      <c r="AF108" s="1" t="s">
        <v>124</v>
      </c>
      <c r="AG108" t="s">
        <v>191</v>
      </c>
      <c r="AH108">
        <v>2016</v>
      </c>
      <c r="AI108" t="s">
        <v>126</v>
      </c>
      <c r="AJ108" t="s">
        <v>1652</v>
      </c>
      <c r="AK108" t="s">
        <v>162</v>
      </c>
      <c r="AL108" t="s">
        <v>151</v>
      </c>
      <c r="AM108" t="s">
        <v>162</v>
      </c>
      <c r="AN108" t="s">
        <v>150</v>
      </c>
      <c r="AO108" t="s">
        <v>236</v>
      </c>
      <c r="AP108" t="s">
        <v>530</v>
      </c>
      <c r="AQ108" t="s">
        <v>153</v>
      </c>
      <c r="AR108" t="s">
        <v>153</v>
      </c>
      <c r="AS108" t="s">
        <v>1653</v>
      </c>
      <c r="AT108" t="s">
        <v>1654</v>
      </c>
      <c r="AU108" t="s">
        <v>1655</v>
      </c>
      <c r="AV108" t="s">
        <v>172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EP108" t="s">
        <v>178</v>
      </c>
      <c r="FO108" s="1" t="s">
        <v>123</v>
      </c>
      <c r="GW108" t="s">
        <v>1656</v>
      </c>
      <c r="GX108" t="s">
        <v>1657</v>
      </c>
      <c r="GY108" t="s">
        <v>1658</v>
      </c>
      <c r="GZ108" t="s">
        <v>140</v>
      </c>
      <c r="HA108">
        <v>1993</v>
      </c>
      <c r="HB108" t="s">
        <v>220</v>
      </c>
    </row>
    <row r="109" spans="1:213" hidden="1" x14ac:dyDescent="0.45">
      <c r="A109">
        <v>215</v>
      </c>
      <c r="B109">
        <f>_xlfn.IFNA(VLOOKUP(AnalizaCzyste[[#This Row],[Zakończono wypełnianie]],Zakończone[],2,0),"BRAK")</f>
        <v>118</v>
      </c>
      <c r="C109">
        <f>COUNTA(O109:HF109)</f>
        <v>32</v>
      </c>
      <c r="D109" t="s">
        <v>1131</v>
      </c>
      <c r="E109" t="s">
        <v>118</v>
      </c>
      <c r="J109" t="s">
        <v>119</v>
      </c>
      <c r="K109" t="s">
        <v>1770</v>
      </c>
      <c r="L109" t="s">
        <v>1771</v>
      </c>
      <c r="M109">
        <v>1129</v>
      </c>
      <c r="N109">
        <v>0</v>
      </c>
      <c r="O109" t="s">
        <v>122</v>
      </c>
      <c r="P109" s="1" t="s">
        <v>123</v>
      </c>
      <c r="AF109" s="1" t="s">
        <v>124</v>
      </c>
      <c r="AG109" t="s">
        <v>191</v>
      </c>
      <c r="AH109">
        <v>2014</v>
      </c>
      <c r="AI109" t="s">
        <v>126</v>
      </c>
      <c r="AJ109" t="s">
        <v>1186</v>
      </c>
      <c r="AK109" t="s">
        <v>162</v>
      </c>
      <c r="AL109" t="s">
        <v>150</v>
      </c>
      <c r="AM109" t="s">
        <v>162</v>
      </c>
      <c r="AN109" t="s">
        <v>162</v>
      </c>
      <c r="AO109" t="s">
        <v>150</v>
      </c>
      <c r="AP109">
        <v>1</v>
      </c>
      <c r="AQ109" t="s">
        <v>131</v>
      </c>
      <c r="AR109" t="s">
        <v>153</v>
      </c>
      <c r="AT109" t="s">
        <v>766</v>
      </c>
      <c r="AU109" t="s">
        <v>1772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1773</v>
      </c>
      <c r="GX109" t="s">
        <v>1774</v>
      </c>
      <c r="GY109" t="s">
        <v>1775</v>
      </c>
      <c r="GZ109" t="s">
        <v>140</v>
      </c>
      <c r="HA109">
        <v>1990</v>
      </c>
      <c r="HB109" t="s">
        <v>141</v>
      </c>
      <c r="HD109" t="s">
        <v>1776</v>
      </c>
      <c r="HE109" t="s">
        <v>1777</v>
      </c>
    </row>
    <row r="110" spans="1:213" hidden="1" x14ac:dyDescent="0.45">
      <c r="A110">
        <v>217</v>
      </c>
      <c r="B110">
        <f>_xlfn.IFNA(VLOOKUP(AnalizaCzyste[[#This Row],[Zakończono wypełnianie]],Zakończone[],2,0),"BRAK")</f>
        <v>119</v>
      </c>
      <c r="C110">
        <f>COUNTA(O110:HF110)</f>
        <v>32</v>
      </c>
      <c r="D110" t="s">
        <v>1780</v>
      </c>
      <c r="E110" t="s">
        <v>118</v>
      </c>
      <c r="F110" t="s">
        <v>1781</v>
      </c>
      <c r="J110" t="s">
        <v>119</v>
      </c>
      <c r="K110" t="s">
        <v>1782</v>
      </c>
      <c r="L110" t="s">
        <v>1783</v>
      </c>
      <c r="M110">
        <v>968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2011</v>
      </c>
      <c r="AI110" t="s">
        <v>148</v>
      </c>
      <c r="AJ110" t="s">
        <v>1784</v>
      </c>
      <c r="AK110" t="s">
        <v>150</v>
      </c>
      <c r="AL110" t="s">
        <v>162</v>
      </c>
      <c r="AM110" t="s">
        <v>169</v>
      </c>
      <c r="AN110" t="s">
        <v>150</v>
      </c>
      <c r="AO110" t="s">
        <v>150</v>
      </c>
      <c r="AP110">
        <v>2</v>
      </c>
      <c r="AQ110" t="s">
        <v>302</v>
      </c>
      <c r="AR110" t="s">
        <v>153</v>
      </c>
      <c r="AS110" t="s">
        <v>1785</v>
      </c>
      <c r="AT110" t="s">
        <v>1786</v>
      </c>
      <c r="AU110" t="s">
        <v>1787</v>
      </c>
      <c r="AV110" t="s">
        <v>157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FO110" s="1" t="s">
        <v>123</v>
      </c>
      <c r="GW110" t="s">
        <v>1788</v>
      </c>
      <c r="GX110" t="s">
        <v>1789</v>
      </c>
      <c r="GY110" t="s">
        <v>1790</v>
      </c>
      <c r="GZ110" t="s">
        <v>140</v>
      </c>
      <c r="HA110">
        <v>1986</v>
      </c>
      <c r="HB110" t="s">
        <v>398</v>
      </c>
      <c r="HD110" t="s">
        <v>1791</v>
      </c>
    </row>
    <row r="111" spans="1:213" hidden="1" x14ac:dyDescent="0.45">
      <c r="A111">
        <v>238</v>
      </c>
      <c r="B111">
        <f>_xlfn.IFNA(VLOOKUP(AnalizaCzyste[[#This Row],[Zakończono wypełnianie]],Zakończone[],2,0),"BRAK")</f>
        <v>129</v>
      </c>
      <c r="C111">
        <f>COUNTA(O111:HF111)</f>
        <v>32</v>
      </c>
      <c r="D111" t="s">
        <v>1142</v>
      </c>
      <c r="E111" t="s">
        <v>118</v>
      </c>
      <c r="F111" t="s">
        <v>1927</v>
      </c>
      <c r="J111" t="s">
        <v>119</v>
      </c>
      <c r="K111" t="s">
        <v>1928</v>
      </c>
      <c r="L111" t="s">
        <v>1929</v>
      </c>
      <c r="M111">
        <v>1449</v>
      </c>
      <c r="N111">
        <v>0</v>
      </c>
      <c r="O111" t="s">
        <v>122</v>
      </c>
      <c r="P111" s="1" t="s">
        <v>123</v>
      </c>
      <c r="AF111" s="1" t="s">
        <v>124</v>
      </c>
      <c r="AG111" t="s">
        <v>2270</v>
      </c>
      <c r="AH111">
        <v>2007</v>
      </c>
      <c r="AI111" t="s">
        <v>126</v>
      </c>
      <c r="AJ111" t="s">
        <v>1931</v>
      </c>
      <c r="AK111" t="s">
        <v>162</v>
      </c>
      <c r="AL111" t="s">
        <v>162</v>
      </c>
      <c r="AM111" t="s">
        <v>169</v>
      </c>
      <c r="AN111" t="s">
        <v>169</v>
      </c>
      <c r="AO111" t="s">
        <v>169</v>
      </c>
      <c r="AP111" t="s">
        <v>1932</v>
      </c>
      <c r="AQ111" t="s">
        <v>302</v>
      </c>
      <c r="AR111" t="s">
        <v>153</v>
      </c>
      <c r="AS111" t="s">
        <v>1933</v>
      </c>
      <c r="AT111" t="s">
        <v>1934</v>
      </c>
      <c r="AU111" t="s">
        <v>1935</v>
      </c>
      <c r="AW111" t="s">
        <v>1936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1937</v>
      </c>
      <c r="GX111" t="s">
        <v>1938</v>
      </c>
      <c r="GY111" t="s">
        <v>1939</v>
      </c>
      <c r="GZ111" t="s">
        <v>186</v>
      </c>
      <c r="HA111">
        <v>2007</v>
      </c>
      <c r="HB111" t="s">
        <v>398</v>
      </c>
      <c r="HD111" t="s">
        <v>1940</v>
      </c>
    </row>
    <row r="112" spans="1:213" hidden="1" x14ac:dyDescent="0.45">
      <c r="A112">
        <v>245</v>
      </c>
      <c r="B112">
        <f>_xlfn.IFNA(VLOOKUP(AnalizaCzyste[[#This Row],[Zakończono wypełnianie]],Zakończone[],2,0),"BRAK")</f>
        <v>131</v>
      </c>
      <c r="C112">
        <f>COUNTA(O112:HF112)</f>
        <v>32</v>
      </c>
      <c r="D112" t="s">
        <v>1965</v>
      </c>
      <c r="E112" t="s">
        <v>118</v>
      </c>
      <c r="F112" t="s">
        <v>1966</v>
      </c>
      <c r="J112" t="s">
        <v>119</v>
      </c>
      <c r="K112" t="s">
        <v>1967</v>
      </c>
      <c r="L112" t="s">
        <v>1968</v>
      </c>
      <c r="M112">
        <v>504</v>
      </c>
      <c r="N112">
        <v>0</v>
      </c>
      <c r="O112" t="s">
        <v>122</v>
      </c>
      <c r="P112" s="1" t="s">
        <v>123</v>
      </c>
      <c r="AF112" s="1" t="s">
        <v>124</v>
      </c>
      <c r="AG112" t="s">
        <v>191</v>
      </c>
      <c r="AH112">
        <v>2003</v>
      </c>
      <c r="AI112" t="s">
        <v>126</v>
      </c>
      <c r="AJ112" t="s">
        <v>127</v>
      </c>
      <c r="AK112" t="s">
        <v>150</v>
      </c>
      <c r="AL112" t="s">
        <v>150</v>
      </c>
      <c r="AM112" t="s">
        <v>162</v>
      </c>
      <c r="AN112" t="s">
        <v>151</v>
      </c>
      <c r="AO112" t="s">
        <v>151</v>
      </c>
      <c r="AP112" t="s">
        <v>237</v>
      </c>
      <c r="AQ112" t="s">
        <v>152</v>
      </c>
      <c r="AR112" t="s">
        <v>131</v>
      </c>
      <c r="AS112" t="s">
        <v>1969</v>
      </c>
      <c r="AT112" t="s">
        <v>1970</v>
      </c>
      <c r="AU112" t="s">
        <v>1971</v>
      </c>
      <c r="AV112" t="s">
        <v>157</v>
      </c>
      <c r="AW112" t="s">
        <v>1972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123</v>
      </c>
      <c r="FO112" s="1" t="s">
        <v>123</v>
      </c>
      <c r="GW112" t="s">
        <v>1973</v>
      </c>
      <c r="GX112" t="s">
        <v>1363</v>
      </c>
      <c r="GY112" t="s">
        <v>1974</v>
      </c>
      <c r="GZ112" t="s">
        <v>140</v>
      </c>
      <c r="HA112">
        <v>1979</v>
      </c>
      <c r="HB112" t="s">
        <v>141</v>
      </c>
    </row>
    <row r="113" spans="1:213" hidden="1" x14ac:dyDescent="0.45">
      <c r="A113">
        <v>41</v>
      </c>
      <c r="B113">
        <f>_xlfn.IFNA(VLOOKUP(AnalizaCzyste[[#This Row],[Zakończono wypełnianie]],Zakończone[],2,0),"BRAK")</f>
        <v>27</v>
      </c>
      <c r="C113">
        <f>COUNTA(O113:HF113)</f>
        <v>31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FO113" s="1" t="s">
        <v>123</v>
      </c>
      <c r="FP113" t="s">
        <v>132</v>
      </c>
      <c r="GW113" t="s">
        <v>534</v>
      </c>
      <c r="GX113" t="s">
        <v>535</v>
      </c>
      <c r="GY113" t="s">
        <v>532</v>
      </c>
      <c r="GZ113" t="s">
        <v>140</v>
      </c>
      <c r="HA113">
        <v>1996</v>
      </c>
      <c r="HB113" t="s">
        <v>483</v>
      </c>
      <c r="HD113" t="s">
        <v>536</v>
      </c>
      <c r="HE113" t="s">
        <v>537</v>
      </c>
    </row>
    <row r="114" spans="1:213" hidden="1" x14ac:dyDescent="0.45">
      <c r="A114">
        <v>53</v>
      </c>
      <c r="B114">
        <f>_xlfn.IFNA(VLOOKUP(AnalizaCzyste[[#This Row],[Zakończono wypełnianie]],Zakończone[],2,0),"BRAK")</f>
        <v>32</v>
      </c>
      <c r="C114">
        <f>COUNTA(O114:HF114)</f>
        <v>31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FP114" t="s">
        <v>132</v>
      </c>
      <c r="GW114" t="s">
        <v>617</v>
      </c>
      <c r="GX114" t="s">
        <v>618</v>
      </c>
      <c r="GY114" t="s">
        <v>619</v>
      </c>
      <c r="GZ114" t="s">
        <v>140</v>
      </c>
      <c r="HA114">
        <v>1998</v>
      </c>
      <c r="HB114" t="s">
        <v>398</v>
      </c>
      <c r="HD114" t="s">
        <v>620</v>
      </c>
    </row>
    <row r="115" spans="1:213" hidden="1" x14ac:dyDescent="0.45">
      <c r="A115">
        <v>54</v>
      </c>
      <c r="B115">
        <f>_xlfn.IFNA(VLOOKUP(AnalizaCzyste[[#This Row],[Zakończono wypełnianie]],Zakończone[],2,0),"BRAK")</f>
        <v>33</v>
      </c>
      <c r="C115">
        <f>COUNTA(O115:HF115)</f>
        <v>31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FP115" t="s">
        <v>132</v>
      </c>
      <c r="GW115" t="s">
        <v>627</v>
      </c>
      <c r="GX115" t="s">
        <v>628</v>
      </c>
      <c r="GY115" t="s">
        <v>629</v>
      </c>
      <c r="GZ115" t="s">
        <v>186</v>
      </c>
      <c r="HA115" t="s">
        <v>630</v>
      </c>
      <c r="HB115" t="s">
        <v>398</v>
      </c>
      <c r="HD115" t="s">
        <v>631</v>
      </c>
      <c r="HE115" t="s">
        <v>632</v>
      </c>
    </row>
    <row r="116" spans="1:213" hidden="1" x14ac:dyDescent="0.45">
      <c r="A116">
        <v>81</v>
      </c>
      <c r="B116">
        <f>_xlfn.IFNA(VLOOKUP(AnalizaCzyste[[#This Row],[Zakończono wypełnianie]],Zakończone[],2,0),"BRAK")</f>
        <v>46</v>
      </c>
      <c r="C116">
        <f>COUNTA(O116:HF116)</f>
        <v>31</v>
      </c>
      <c r="D116" t="s">
        <v>370</v>
      </c>
      <c r="E116" t="s">
        <v>118</v>
      </c>
      <c r="F116" t="s">
        <v>774</v>
      </c>
      <c r="J116" t="s">
        <v>119</v>
      </c>
      <c r="K116" t="s">
        <v>821</v>
      </c>
      <c r="L116" t="s">
        <v>822</v>
      </c>
      <c r="M116">
        <v>3447</v>
      </c>
      <c r="N116">
        <v>0</v>
      </c>
      <c r="O116" t="s">
        <v>122</v>
      </c>
      <c r="P116" s="1" t="s">
        <v>123</v>
      </c>
      <c r="AF116" s="1" t="s">
        <v>124</v>
      </c>
      <c r="AG116" t="s">
        <v>813</v>
      </c>
      <c r="AH116">
        <v>1960</v>
      </c>
      <c r="AI116" t="s">
        <v>148</v>
      </c>
      <c r="AJ116" t="s">
        <v>823</v>
      </c>
      <c r="AK116" t="s">
        <v>150</v>
      </c>
      <c r="AL116" t="s">
        <v>150</v>
      </c>
      <c r="AM116" t="s">
        <v>151</v>
      </c>
      <c r="AN116" t="s">
        <v>236</v>
      </c>
      <c r="AO116" t="s">
        <v>236</v>
      </c>
      <c r="AP116" t="s">
        <v>814</v>
      </c>
      <c r="AQ116" t="s">
        <v>131</v>
      </c>
      <c r="AR116" t="s">
        <v>131</v>
      </c>
      <c r="AT116" t="s">
        <v>824</v>
      </c>
      <c r="AU116" t="s">
        <v>825</v>
      </c>
      <c r="AV116" t="s">
        <v>157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FP116" t="s">
        <v>132</v>
      </c>
      <c r="GW116" t="s">
        <v>826</v>
      </c>
      <c r="GX116" t="s">
        <v>824</v>
      </c>
      <c r="GY116" t="s">
        <v>827</v>
      </c>
      <c r="GZ116" t="s">
        <v>186</v>
      </c>
      <c r="HA116">
        <v>1934</v>
      </c>
      <c r="HB116" t="s">
        <v>220</v>
      </c>
    </row>
    <row r="117" spans="1:213" hidden="1" x14ac:dyDescent="0.45">
      <c r="A117">
        <v>99</v>
      </c>
      <c r="B117">
        <f>_xlfn.IFNA(VLOOKUP(AnalizaCzyste[[#This Row],[Zakończono wypełnianie]],Zakończone[],2,0),"BRAK")</f>
        <v>61</v>
      </c>
      <c r="C117">
        <f>COUNTA(O117:HF117)</f>
        <v>31</v>
      </c>
      <c r="D117" t="s">
        <v>984</v>
      </c>
      <c r="E117" t="s">
        <v>118</v>
      </c>
      <c r="F117" t="s">
        <v>774</v>
      </c>
      <c r="J117" t="s">
        <v>119</v>
      </c>
      <c r="K117" t="s">
        <v>985</v>
      </c>
      <c r="L117" t="s">
        <v>986</v>
      </c>
      <c r="M117">
        <v>1348</v>
      </c>
      <c r="N117">
        <v>0</v>
      </c>
      <c r="O117" t="s">
        <v>122</v>
      </c>
      <c r="P117" s="1" t="s">
        <v>123</v>
      </c>
      <c r="AF117" s="1" t="s">
        <v>124</v>
      </c>
      <c r="AG117" t="s">
        <v>987</v>
      </c>
      <c r="AH117">
        <v>2015</v>
      </c>
      <c r="AI117" t="s">
        <v>148</v>
      </c>
      <c r="AJ117" t="s">
        <v>988</v>
      </c>
      <c r="AK117" t="s">
        <v>169</v>
      </c>
      <c r="AL117" t="s">
        <v>150</v>
      </c>
      <c r="AM117" t="s">
        <v>151</v>
      </c>
      <c r="AN117" t="s">
        <v>151</v>
      </c>
      <c r="AO117" t="s">
        <v>151</v>
      </c>
      <c r="AP117" t="s">
        <v>883</v>
      </c>
      <c r="AQ117" t="s">
        <v>131</v>
      </c>
      <c r="AR117" t="s">
        <v>302</v>
      </c>
      <c r="AT117" t="s">
        <v>989</v>
      </c>
      <c r="AU117" t="s">
        <v>990</v>
      </c>
      <c r="AV117" t="s">
        <v>157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  <c r="FP117" t="s">
        <v>132</v>
      </c>
      <c r="GW117" t="s">
        <v>786</v>
      </c>
      <c r="GX117" t="s">
        <v>991</v>
      </c>
      <c r="GY117" t="s">
        <v>820</v>
      </c>
      <c r="GZ117" t="s">
        <v>140</v>
      </c>
      <c r="HA117">
        <v>1991</v>
      </c>
      <c r="HB117" t="s">
        <v>220</v>
      </c>
    </row>
    <row r="118" spans="1:213" hidden="1" x14ac:dyDescent="0.45">
      <c r="A118">
        <v>126</v>
      </c>
      <c r="B118">
        <f>_xlfn.IFNA(VLOOKUP(AnalizaCzyste[[#This Row],[Zakończono wypełnianie]],Zakończone[],2,0),"BRAK")</f>
        <v>75</v>
      </c>
      <c r="C118">
        <f>COUNTA(O118:HF118)</f>
        <v>31</v>
      </c>
      <c r="D118" t="s">
        <v>1151</v>
      </c>
      <c r="E118" t="s">
        <v>118</v>
      </c>
      <c r="F118" t="s">
        <v>359</v>
      </c>
      <c r="J118" t="s">
        <v>119</v>
      </c>
      <c r="K118" t="s">
        <v>1184</v>
      </c>
      <c r="L118" t="s">
        <v>1185</v>
      </c>
      <c r="M118">
        <v>739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>
        <v>2018</v>
      </c>
      <c r="AI118" t="s">
        <v>126</v>
      </c>
      <c r="AJ118" t="s">
        <v>1186</v>
      </c>
      <c r="AK118" t="s">
        <v>151</v>
      </c>
      <c r="AL118" t="s">
        <v>162</v>
      </c>
      <c r="AM118" t="s">
        <v>169</v>
      </c>
      <c r="AN118" t="s">
        <v>150</v>
      </c>
      <c r="AO118" t="s">
        <v>132</v>
      </c>
      <c r="AP118" t="s">
        <v>959</v>
      </c>
      <c r="AQ118" t="s">
        <v>302</v>
      </c>
      <c r="AR118" t="s">
        <v>226</v>
      </c>
      <c r="AS118" t="s">
        <v>1187</v>
      </c>
      <c r="AT118" t="s">
        <v>1188</v>
      </c>
      <c r="AU118" t="s">
        <v>1189</v>
      </c>
      <c r="AV118" t="s">
        <v>172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276</v>
      </c>
      <c r="GX118" t="s">
        <v>1190</v>
      </c>
      <c r="GY118" t="s">
        <v>1191</v>
      </c>
      <c r="GZ118" t="s">
        <v>186</v>
      </c>
      <c r="HA118">
        <v>1991</v>
      </c>
      <c r="HB118" t="s">
        <v>141</v>
      </c>
    </row>
    <row r="119" spans="1:213" hidden="1" x14ac:dyDescent="0.45">
      <c r="A119">
        <v>129</v>
      </c>
      <c r="B119">
        <f>_xlfn.IFNA(VLOOKUP(AnalizaCzyste[[#This Row],[Zakończono wypełnianie]],Zakończone[],2,0),"BRAK")</f>
        <v>78</v>
      </c>
      <c r="C119">
        <f>COUNTA(O119:HF119)</f>
        <v>31</v>
      </c>
      <c r="D119" t="s">
        <v>1211</v>
      </c>
      <c r="E119" t="s">
        <v>118</v>
      </c>
      <c r="F119" t="s">
        <v>1152</v>
      </c>
      <c r="J119" t="s">
        <v>119</v>
      </c>
      <c r="K119" t="s">
        <v>1212</v>
      </c>
      <c r="L119" t="s">
        <v>1213</v>
      </c>
      <c r="M119">
        <v>808</v>
      </c>
      <c r="N119">
        <v>0</v>
      </c>
      <c r="O119" t="s">
        <v>122</v>
      </c>
      <c r="P119" s="1" t="s">
        <v>123</v>
      </c>
      <c r="AF119" s="1" t="s">
        <v>124</v>
      </c>
      <c r="AG119" t="s">
        <v>428</v>
      </c>
      <c r="AH119">
        <v>1998</v>
      </c>
      <c r="AI119" t="s">
        <v>148</v>
      </c>
      <c r="AJ119" t="s">
        <v>1215</v>
      </c>
      <c r="AK119" t="s">
        <v>150</v>
      </c>
      <c r="AL119" t="s">
        <v>150</v>
      </c>
      <c r="AM119" t="s">
        <v>151</v>
      </c>
      <c r="AN119" t="s">
        <v>129</v>
      </c>
      <c r="AO119" t="s">
        <v>128</v>
      </c>
      <c r="AP119" t="s">
        <v>1216</v>
      </c>
      <c r="AQ119" t="s">
        <v>131</v>
      </c>
      <c r="AR119" t="s">
        <v>131</v>
      </c>
      <c r="AS119" t="s">
        <v>1217</v>
      </c>
      <c r="AT119" t="s">
        <v>1218</v>
      </c>
      <c r="AU119" t="s">
        <v>1219</v>
      </c>
      <c r="AW119" t="s">
        <v>1220</v>
      </c>
      <c r="AX119" s="1" t="s">
        <v>123</v>
      </c>
      <c r="CR119" s="1" t="s">
        <v>123</v>
      </c>
      <c r="DB119" s="1" t="s">
        <v>123</v>
      </c>
      <c r="DL119" s="1" t="s">
        <v>123</v>
      </c>
      <c r="EO119" s="1" t="s">
        <v>123</v>
      </c>
      <c r="FO119" s="1" t="s">
        <v>123</v>
      </c>
      <c r="GW119" t="s">
        <v>1221</v>
      </c>
      <c r="GX119" t="s">
        <v>1222</v>
      </c>
      <c r="GY119" t="s">
        <v>1223</v>
      </c>
      <c r="GZ119" t="s">
        <v>186</v>
      </c>
      <c r="HA119">
        <v>1973</v>
      </c>
      <c r="HB119" t="s">
        <v>141</v>
      </c>
    </row>
    <row r="120" spans="1:213" hidden="1" x14ac:dyDescent="0.45">
      <c r="A120">
        <v>162</v>
      </c>
      <c r="B120">
        <f>_xlfn.IFNA(VLOOKUP(AnalizaCzyste[[#This Row],[Zakończono wypełnianie]],Zakończone[],2,0),"BRAK")</f>
        <v>93</v>
      </c>
      <c r="C120">
        <f>COUNTA(O120:HF120)</f>
        <v>31</v>
      </c>
      <c r="D120" t="s">
        <v>1352</v>
      </c>
      <c r="E120" t="s">
        <v>118</v>
      </c>
      <c r="J120" t="s">
        <v>119</v>
      </c>
      <c r="K120" t="s">
        <v>1426</v>
      </c>
      <c r="L120" t="s">
        <v>1427</v>
      </c>
      <c r="M120">
        <v>490</v>
      </c>
      <c r="N120">
        <v>0</v>
      </c>
      <c r="O120" t="s">
        <v>122</v>
      </c>
      <c r="P120" s="1" t="s">
        <v>123</v>
      </c>
      <c r="AF120" s="1" t="s">
        <v>124</v>
      </c>
      <c r="AG120" t="s">
        <v>1415</v>
      </c>
      <c r="AH120">
        <v>2006</v>
      </c>
      <c r="AI120" t="s">
        <v>126</v>
      </c>
      <c r="AJ120" t="s">
        <v>192</v>
      </c>
      <c r="AK120" t="s">
        <v>150</v>
      </c>
      <c r="AL120" t="s">
        <v>150</v>
      </c>
      <c r="AM120" t="s">
        <v>169</v>
      </c>
      <c r="AN120" t="s">
        <v>150</v>
      </c>
      <c r="AO120" t="s">
        <v>150</v>
      </c>
      <c r="AP120" t="s">
        <v>237</v>
      </c>
      <c r="AQ120" t="s">
        <v>226</v>
      </c>
      <c r="AR120" t="s">
        <v>1428</v>
      </c>
      <c r="AS120" t="s">
        <v>1429</v>
      </c>
      <c r="AT120" t="s">
        <v>1430</v>
      </c>
      <c r="AU120" t="s">
        <v>1431</v>
      </c>
      <c r="AV120" t="s">
        <v>157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FO120" s="1" t="s">
        <v>123</v>
      </c>
      <c r="GW120" t="s">
        <v>1432</v>
      </c>
      <c r="GX120" t="s">
        <v>1433</v>
      </c>
      <c r="GY120" t="s">
        <v>1434</v>
      </c>
      <c r="GZ120" t="s">
        <v>186</v>
      </c>
      <c r="HA120">
        <v>1982</v>
      </c>
      <c r="HB120" t="s">
        <v>141</v>
      </c>
    </row>
    <row r="121" spans="1:213" hidden="1" x14ac:dyDescent="0.45">
      <c r="A121">
        <v>175</v>
      </c>
      <c r="B121">
        <f>_xlfn.IFNA(VLOOKUP(AnalizaCzyste[[#This Row],[Zakończono wypełnianie]],Zakończone[],2,0),"BRAK")</f>
        <v>99</v>
      </c>
      <c r="C121">
        <f>COUNTA(O121:HF121)</f>
        <v>31</v>
      </c>
      <c r="D121" t="s">
        <v>1131</v>
      </c>
      <c r="E121" t="s">
        <v>118</v>
      </c>
      <c r="J121" t="s">
        <v>119</v>
      </c>
      <c r="K121" t="s">
        <v>1493</v>
      </c>
      <c r="L121" t="s">
        <v>1494</v>
      </c>
      <c r="M121">
        <v>2185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>
        <v>2005</v>
      </c>
      <c r="AI121" t="s">
        <v>148</v>
      </c>
      <c r="AJ121" t="s">
        <v>1495</v>
      </c>
      <c r="AK121" t="s">
        <v>150</v>
      </c>
      <c r="AL121" t="s">
        <v>169</v>
      </c>
      <c r="AM121" t="s">
        <v>169</v>
      </c>
      <c r="AN121" t="s">
        <v>169</v>
      </c>
      <c r="AO121" t="s">
        <v>150</v>
      </c>
      <c r="AP121" t="s">
        <v>237</v>
      </c>
      <c r="AQ121" t="s">
        <v>131</v>
      </c>
      <c r="AR121" t="s">
        <v>302</v>
      </c>
      <c r="AT121" t="s">
        <v>1496</v>
      </c>
      <c r="AU121" t="s">
        <v>386</v>
      </c>
      <c r="AV121" t="s">
        <v>230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EP121" t="s">
        <v>178</v>
      </c>
      <c r="FO121" s="1" t="s">
        <v>123</v>
      </c>
      <c r="GW121" t="s">
        <v>1497</v>
      </c>
      <c r="GX121" t="s">
        <v>1497</v>
      </c>
      <c r="GY121" t="s">
        <v>1497</v>
      </c>
      <c r="GZ121" t="s">
        <v>186</v>
      </c>
      <c r="HA121">
        <v>1981</v>
      </c>
      <c r="HB121" t="s">
        <v>246</v>
      </c>
    </row>
    <row r="122" spans="1:213" hidden="1" x14ac:dyDescent="0.45">
      <c r="A122">
        <v>178</v>
      </c>
      <c r="B122">
        <f>_xlfn.IFNA(VLOOKUP(AnalizaCzyste[[#This Row],[Zakończono wypełnianie]],Zakończone[],2,0),"BRAK")</f>
        <v>100</v>
      </c>
      <c r="C122">
        <f>COUNTA(O122:HF122)</f>
        <v>31</v>
      </c>
      <c r="D122" t="s">
        <v>1131</v>
      </c>
      <c r="E122" t="s">
        <v>118</v>
      </c>
      <c r="J122" t="s">
        <v>119</v>
      </c>
      <c r="K122" t="s">
        <v>1501</v>
      </c>
      <c r="L122" t="s">
        <v>1502</v>
      </c>
      <c r="M122">
        <v>1485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1503</v>
      </c>
      <c r="AH122">
        <v>2016</v>
      </c>
      <c r="AI122" t="s">
        <v>148</v>
      </c>
      <c r="AJ122" t="s">
        <v>1504</v>
      </c>
      <c r="AK122" t="s">
        <v>150</v>
      </c>
      <c r="AL122" t="s">
        <v>151</v>
      </c>
      <c r="AM122" t="s">
        <v>162</v>
      </c>
      <c r="AN122" t="s">
        <v>150</v>
      </c>
      <c r="AO122" t="s">
        <v>169</v>
      </c>
      <c r="AP122">
        <v>4</v>
      </c>
      <c r="AQ122" t="s">
        <v>302</v>
      </c>
      <c r="AR122" t="s">
        <v>153</v>
      </c>
      <c r="AS122" t="s">
        <v>1505</v>
      </c>
      <c r="AT122" t="s">
        <v>1506</v>
      </c>
      <c r="AU122" t="s">
        <v>1507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1508</v>
      </c>
      <c r="GX122" t="s">
        <v>1509</v>
      </c>
      <c r="GY122" t="s">
        <v>1510</v>
      </c>
      <c r="GZ122" t="s">
        <v>186</v>
      </c>
      <c r="HA122">
        <v>1991</v>
      </c>
      <c r="HB122" t="s">
        <v>398</v>
      </c>
    </row>
    <row r="123" spans="1:213" hidden="1" x14ac:dyDescent="0.45">
      <c r="A123">
        <v>198</v>
      </c>
      <c r="B123">
        <f>_xlfn.IFNA(VLOOKUP(AnalizaCzyste[[#This Row],[Zakończono wypełnianie]],Zakończone[],2,0),"BRAK")</f>
        <v>113</v>
      </c>
      <c r="C123">
        <f>COUNTA(O123:HF123)</f>
        <v>31</v>
      </c>
      <c r="D123" t="s">
        <v>1674</v>
      </c>
      <c r="E123" t="s">
        <v>118</v>
      </c>
      <c r="J123" t="s">
        <v>119</v>
      </c>
      <c r="K123" t="s">
        <v>1675</v>
      </c>
      <c r="L123" t="s">
        <v>1676</v>
      </c>
      <c r="M123">
        <v>445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2014</v>
      </c>
      <c r="AI123" t="s">
        <v>126</v>
      </c>
      <c r="AJ123" t="s">
        <v>192</v>
      </c>
      <c r="AK123" t="s">
        <v>169</v>
      </c>
      <c r="AL123" t="s">
        <v>169</v>
      </c>
      <c r="AM123" t="s">
        <v>162</v>
      </c>
      <c r="AN123" t="s">
        <v>151</v>
      </c>
      <c r="AO123" t="s">
        <v>151</v>
      </c>
      <c r="AP123" t="s">
        <v>237</v>
      </c>
      <c r="AQ123" t="s">
        <v>226</v>
      </c>
      <c r="AR123" t="s">
        <v>1428</v>
      </c>
      <c r="AS123" t="s">
        <v>1677</v>
      </c>
      <c r="AT123" t="s">
        <v>1678</v>
      </c>
      <c r="AU123" t="s">
        <v>1679</v>
      </c>
      <c r="AV123" t="s">
        <v>157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FO123" s="1" t="s">
        <v>123</v>
      </c>
      <c r="GW123" t="s">
        <v>532</v>
      </c>
      <c r="GX123" t="s">
        <v>1680</v>
      </c>
      <c r="GY123" t="s">
        <v>1681</v>
      </c>
      <c r="GZ123" t="s">
        <v>186</v>
      </c>
      <c r="HA123">
        <v>1984</v>
      </c>
      <c r="HB123" t="s">
        <v>398</v>
      </c>
    </row>
    <row r="124" spans="1:213" hidden="1" x14ac:dyDescent="0.45">
      <c r="A124">
        <v>218</v>
      </c>
      <c r="B124">
        <f>_xlfn.IFNA(VLOOKUP(AnalizaCzyste[[#This Row],[Zakończono wypełnianie]],Zakończone[],2,0),"BRAK")</f>
        <v>120</v>
      </c>
      <c r="C124">
        <f>COUNTA(O124:HF124)</f>
        <v>31</v>
      </c>
      <c r="D124" t="s">
        <v>1792</v>
      </c>
      <c r="E124" t="s">
        <v>118</v>
      </c>
      <c r="F124" t="s">
        <v>359</v>
      </c>
      <c r="J124" t="s">
        <v>119</v>
      </c>
      <c r="K124" t="s">
        <v>1793</v>
      </c>
      <c r="L124" t="s">
        <v>1794</v>
      </c>
      <c r="M124">
        <v>465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2016</v>
      </c>
      <c r="AI124" t="s">
        <v>126</v>
      </c>
      <c r="AJ124" t="s">
        <v>1795</v>
      </c>
      <c r="AK124" t="s">
        <v>236</v>
      </c>
      <c r="AL124" t="s">
        <v>236</v>
      </c>
      <c r="AM124" t="s">
        <v>129</v>
      </c>
      <c r="AN124" t="s">
        <v>129</v>
      </c>
      <c r="AO124" t="s">
        <v>129</v>
      </c>
      <c r="AP124">
        <v>34</v>
      </c>
      <c r="AQ124" t="s">
        <v>152</v>
      </c>
      <c r="AR124" t="s">
        <v>152</v>
      </c>
      <c r="AS124" t="s">
        <v>1796</v>
      </c>
      <c r="AT124" t="s">
        <v>1797</v>
      </c>
      <c r="AU124" t="s">
        <v>1798</v>
      </c>
      <c r="AV124" t="s">
        <v>157</v>
      </c>
      <c r="AX124" s="1" t="s">
        <v>123</v>
      </c>
      <c r="CR124" s="1" t="s">
        <v>123</v>
      </c>
      <c r="DB124" s="1" t="s">
        <v>123</v>
      </c>
      <c r="DL124" s="1" t="s">
        <v>123</v>
      </c>
      <c r="EO124" s="1" t="s">
        <v>123</v>
      </c>
      <c r="FO124" s="1" t="s">
        <v>123</v>
      </c>
      <c r="GW124" t="s">
        <v>1799</v>
      </c>
      <c r="GX124" t="s">
        <v>1800</v>
      </c>
      <c r="GY124" t="s">
        <v>1801</v>
      </c>
      <c r="GZ124" t="s">
        <v>140</v>
      </c>
      <c r="HA124">
        <v>2006</v>
      </c>
      <c r="HB124" t="s">
        <v>483</v>
      </c>
    </row>
    <row r="125" spans="1:213" hidden="1" x14ac:dyDescent="0.45">
      <c r="A125">
        <v>231</v>
      </c>
      <c r="B125">
        <f>_xlfn.IFNA(VLOOKUP(AnalizaCzyste[[#This Row],[Zakończono wypełnianie]],Zakończone[],2,0),"BRAK")</f>
        <v>124</v>
      </c>
      <c r="C125">
        <f>COUNTA(O125:HF125)</f>
        <v>31</v>
      </c>
      <c r="D125" t="s">
        <v>1864</v>
      </c>
      <c r="E125" t="s">
        <v>118</v>
      </c>
      <c r="F125" t="s">
        <v>359</v>
      </c>
      <c r="J125" t="s">
        <v>119</v>
      </c>
      <c r="K125" t="s">
        <v>1865</v>
      </c>
      <c r="L125" t="s">
        <v>1866</v>
      </c>
      <c r="M125">
        <v>607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2015</v>
      </c>
      <c r="AI125" t="s">
        <v>148</v>
      </c>
      <c r="AJ125" t="s">
        <v>1867</v>
      </c>
      <c r="AK125" t="s">
        <v>162</v>
      </c>
      <c r="AL125" t="s">
        <v>150</v>
      </c>
      <c r="AM125" t="s">
        <v>169</v>
      </c>
      <c r="AN125" t="s">
        <v>151</v>
      </c>
      <c r="AO125" t="s">
        <v>162</v>
      </c>
      <c r="AP125" t="s">
        <v>1868</v>
      </c>
      <c r="AQ125" t="s">
        <v>153</v>
      </c>
      <c r="AR125" t="s">
        <v>226</v>
      </c>
      <c r="AS125" t="s">
        <v>1869</v>
      </c>
      <c r="AT125" t="s">
        <v>1870</v>
      </c>
      <c r="AU125" t="s">
        <v>1871</v>
      </c>
      <c r="AV125" t="s">
        <v>172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276</v>
      </c>
      <c r="GX125" t="s">
        <v>1872</v>
      </c>
      <c r="GY125" t="s">
        <v>1873</v>
      </c>
      <c r="GZ125" t="s">
        <v>186</v>
      </c>
      <c r="HA125">
        <v>1991</v>
      </c>
      <c r="HB125" t="s">
        <v>398</v>
      </c>
    </row>
    <row r="126" spans="1:213" hidden="1" x14ac:dyDescent="0.45">
      <c r="A126">
        <v>50</v>
      </c>
      <c r="B126">
        <f>_xlfn.IFNA(VLOOKUP(AnalizaCzyste[[#This Row],[Zakończono wypełnianie]],Zakończone[],2,0),"BRAK")</f>
        <v>30</v>
      </c>
      <c r="C126">
        <f>COUNTA(O126:HF126)</f>
        <v>30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X126" s="1" t="s">
        <v>123</v>
      </c>
      <c r="CR126" s="1" t="s">
        <v>123</v>
      </c>
      <c r="DB126" s="1" t="s">
        <v>123</v>
      </c>
      <c r="DL126" s="1" t="s">
        <v>123</v>
      </c>
      <c r="EO126" s="1" t="s">
        <v>123</v>
      </c>
      <c r="FO126" s="1" t="s">
        <v>123</v>
      </c>
      <c r="FP126" t="s">
        <v>132</v>
      </c>
      <c r="GW126" t="s">
        <v>592</v>
      </c>
      <c r="GX126" t="s">
        <v>593</v>
      </c>
      <c r="GY126" t="s">
        <v>594</v>
      </c>
      <c r="GZ126" t="s">
        <v>140</v>
      </c>
      <c r="HA126">
        <v>1997</v>
      </c>
      <c r="HB126" t="s">
        <v>141</v>
      </c>
      <c r="HD126" t="s">
        <v>595</v>
      </c>
    </row>
    <row r="127" spans="1:213" hidden="1" x14ac:dyDescent="0.45">
      <c r="A127">
        <v>117</v>
      </c>
      <c r="B127">
        <f>_xlfn.IFNA(VLOOKUP(AnalizaCzyste[[#This Row],[Zakończono wypełnianie]],Zakończone[],2,0),"BRAK")</f>
        <v>70</v>
      </c>
      <c r="C127">
        <f>COUNTA(O127:HF127)</f>
        <v>30</v>
      </c>
      <c r="D127" t="s">
        <v>1098</v>
      </c>
      <c r="E127" t="s">
        <v>118</v>
      </c>
      <c r="J127" t="s">
        <v>119</v>
      </c>
      <c r="K127" t="s">
        <v>1099</v>
      </c>
      <c r="L127" t="s">
        <v>1100</v>
      </c>
      <c r="M127">
        <v>358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2018</v>
      </c>
      <c r="AI127" t="s">
        <v>126</v>
      </c>
      <c r="AJ127" t="s">
        <v>844</v>
      </c>
      <c r="AK127" t="s">
        <v>150</v>
      </c>
      <c r="AL127" t="s">
        <v>151</v>
      </c>
      <c r="AM127" t="s">
        <v>162</v>
      </c>
      <c r="AN127" t="s">
        <v>150</v>
      </c>
      <c r="AO127" t="s">
        <v>132</v>
      </c>
      <c r="AP127">
        <v>1</v>
      </c>
      <c r="AQ127" t="s">
        <v>153</v>
      </c>
      <c r="AR127" t="s">
        <v>132</v>
      </c>
      <c r="AT127" t="s">
        <v>1101</v>
      </c>
      <c r="AU127" t="s">
        <v>1102</v>
      </c>
      <c r="AV127" t="s">
        <v>157</v>
      </c>
      <c r="AX127" s="1" t="s">
        <v>123</v>
      </c>
      <c r="CR127" s="1" t="s">
        <v>123</v>
      </c>
      <c r="DB127" s="1" t="s">
        <v>123</v>
      </c>
      <c r="DL127" s="1" t="s">
        <v>123</v>
      </c>
      <c r="EO127" s="1" t="s">
        <v>123</v>
      </c>
      <c r="FO127" s="1" t="s">
        <v>123</v>
      </c>
      <c r="GW127" t="s">
        <v>1103</v>
      </c>
      <c r="GX127" t="s">
        <v>1104</v>
      </c>
      <c r="GY127" t="s">
        <v>1105</v>
      </c>
      <c r="GZ127" t="s">
        <v>140</v>
      </c>
      <c r="HA127">
        <v>1991</v>
      </c>
      <c r="HB127" t="s">
        <v>141</v>
      </c>
    </row>
    <row r="128" spans="1:213" hidden="1" x14ac:dyDescent="0.45">
      <c r="A128">
        <v>171</v>
      </c>
      <c r="B128">
        <f>_xlfn.IFNA(VLOOKUP(AnalizaCzyste[[#This Row],[Zakończono wypełnianie]],Zakończone[],2,0),"BRAK")</f>
        <v>98</v>
      </c>
      <c r="C128">
        <f>COUNTA(O128:HF128)</f>
        <v>30</v>
      </c>
      <c r="D128" t="s">
        <v>1336</v>
      </c>
      <c r="E128" t="s">
        <v>118</v>
      </c>
      <c r="J128" t="s">
        <v>119</v>
      </c>
      <c r="K128" t="s">
        <v>1481</v>
      </c>
      <c r="L128" t="s">
        <v>1482</v>
      </c>
      <c r="M128">
        <v>562</v>
      </c>
      <c r="N128">
        <v>0</v>
      </c>
      <c r="O128" t="s">
        <v>122</v>
      </c>
      <c r="P128" s="1" t="s">
        <v>123</v>
      </c>
      <c r="AF128" s="1" t="s">
        <v>124</v>
      </c>
      <c r="AG128" t="s">
        <v>223</v>
      </c>
      <c r="AH128">
        <v>2014</v>
      </c>
      <c r="AI128" t="s">
        <v>148</v>
      </c>
      <c r="AJ128" t="s">
        <v>1483</v>
      </c>
      <c r="AK128" t="s">
        <v>151</v>
      </c>
      <c r="AL128" t="s">
        <v>128</v>
      </c>
      <c r="AM128" t="s">
        <v>128</v>
      </c>
      <c r="AN128" t="s">
        <v>151</v>
      </c>
      <c r="AO128" t="s">
        <v>162</v>
      </c>
      <c r="AP128" t="s">
        <v>1484</v>
      </c>
      <c r="AQ128" t="s">
        <v>153</v>
      </c>
      <c r="AR128" t="s">
        <v>153</v>
      </c>
      <c r="AT128" t="s">
        <v>1485</v>
      </c>
      <c r="AU128" t="s">
        <v>1486</v>
      </c>
      <c r="AV128" t="s">
        <v>172</v>
      </c>
      <c r="AX128" s="1" t="s">
        <v>123</v>
      </c>
      <c r="CR128" s="1" t="s">
        <v>123</v>
      </c>
      <c r="DB128" s="1" t="s">
        <v>123</v>
      </c>
      <c r="DL128" s="1" t="s">
        <v>123</v>
      </c>
      <c r="EO128" s="1" t="s">
        <v>123</v>
      </c>
      <c r="FO128" s="1" t="s">
        <v>123</v>
      </c>
      <c r="GW128" t="s">
        <v>1487</v>
      </c>
      <c r="GX128" t="s">
        <v>1488</v>
      </c>
      <c r="GY128" t="s">
        <v>1489</v>
      </c>
      <c r="GZ128" t="s">
        <v>140</v>
      </c>
      <c r="HA128">
        <v>1991</v>
      </c>
      <c r="HB128" t="s">
        <v>141</v>
      </c>
    </row>
    <row r="129" spans="1:214" hidden="1" x14ac:dyDescent="0.45">
      <c r="A129">
        <v>212</v>
      </c>
      <c r="B129">
        <f>_xlfn.IFNA(VLOOKUP(AnalizaCzyste[[#This Row],[Zakończono wypełnianie]],Zakończone[],2,0),"BRAK")</f>
        <v>116</v>
      </c>
      <c r="C129">
        <f>COUNTA(O129:HF129)</f>
        <v>30</v>
      </c>
      <c r="D129" t="s">
        <v>1751</v>
      </c>
      <c r="E129" t="s">
        <v>118</v>
      </c>
      <c r="J129" t="s">
        <v>119</v>
      </c>
      <c r="K129" t="s">
        <v>1752</v>
      </c>
      <c r="L129" t="s">
        <v>1753</v>
      </c>
      <c r="M129">
        <v>625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191</v>
      </c>
      <c r="AH129">
        <v>2009</v>
      </c>
      <c r="AI129" t="s">
        <v>126</v>
      </c>
      <c r="AJ129" t="s">
        <v>192</v>
      </c>
      <c r="AK129" t="s">
        <v>162</v>
      </c>
      <c r="AL129" t="s">
        <v>150</v>
      </c>
      <c r="AM129" t="s">
        <v>169</v>
      </c>
      <c r="AN129" t="s">
        <v>169</v>
      </c>
      <c r="AO129" t="s">
        <v>169</v>
      </c>
      <c r="AP129" t="s">
        <v>530</v>
      </c>
      <c r="AQ129" t="s">
        <v>226</v>
      </c>
      <c r="AR129" t="s">
        <v>759</v>
      </c>
      <c r="AT129" t="s">
        <v>1754</v>
      </c>
      <c r="AU129" t="s">
        <v>1755</v>
      </c>
      <c r="AW129" t="s">
        <v>1756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1757</v>
      </c>
      <c r="GX129" t="s">
        <v>1758</v>
      </c>
      <c r="GY129" t="s">
        <v>1759</v>
      </c>
      <c r="GZ129" t="s">
        <v>186</v>
      </c>
      <c r="HA129">
        <v>1984</v>
      </c>
      <c r="HB129" t="s">
        <v>141</v>
      </c>
    </row>
    <row r="130" spans="1:214" hidden="1" x14ac:dyDescent="0.45">
      <c r="A130">
        <v>234</v>
      </c>
      <c r="B130">
        <f>_xlfn.IFNA(VLOOKUP(AnalizaCzyste[[#This Row],[Zakończono wypełnianie]],Zakończone[],2,0),"BRAK")</f>
        <v>126</v>
      </c>
      <c r="C130">
        <f>COUNTA(O130:HF130)</f>
        <v>30</v>
      </c>
      <c r="D130" t="s">
        <v>1890</v>
      </c>
      <c r="E130" t="s">
        <v>118</v>
      </c>
      <c r="J130" t="s">
        <v>119</v>
      </c>
      <c r="K130" t="s">
        <v>1891</v>
      </c>
      <c r="L130" t="s">
        <v>1892</v>
      </c>
      <c r="M130">
        <v>680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191</v>
      </c>
      <c r="AH130">
        <v>2016</v>
      </c>
      <c r="AI130" t="s">
        <v>126</v>
      </c>
      <c r="AJ130" t="s">
        <v>1893</v>
      </c>
      <c r="AK130" t="s">
        <v>150</v>
      </c>
      <c r="AL130" t="s">
        <v>150</v>
      </c>
      <c r="AM130" t="s">
        <v>150</v>
      </c>
      <c r="AN130" t="s">
        <v>128</v>
      </c>
      <c r="AO130" t="s">
        <v>150</v>
      </c>
      <c r="AP130" t="s">
        <v>530</v>
      </c>
      <c r="AQ130" t="s">
        <v>302</v>
      </c>
      <c r="AR130" t="s">
        <v>226</v>
      </c>
      <c r="AT130" t="s">
        <v>1894</v>
      </c>
      <c r="AU130" t="s">
        <v>1895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W130" t="s">
        <v>1896</v>
      </c>
      <c r="GX130" t="s">
        <v>1897</v>
      </c>
      <c r="GY130" t="s">
        <v>1898</v>
      </c>
      <c r="GZ130" t="s">
        <v>140</v>
      </c>
      <c r="HA130">
        <v>1991</v>
      </c>
      <c r="HB130" t="s">
        <v>398</v>
      </c>
    </row>
    <row r="131" spans="1:214" hidden="1" x14ac:dyDescent="0.45">
      <c r="A131">
        <v>248</v>
      </c>
      <c r="B131">
        <f>_xlfn.IFNA(VLOOKUP(AnalizaCzyste[[#This Row],[Zakończono wypełnianie]],Zakończone[],2,0),"BRAK")</f>
        <v>133</v>
      </c>
      <c r="C131">
        <f>COUNTA(O131:HF131)</f>
        <v>30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1988</v>
      </c>
      <c r="GX131" t="s">
        <v>1989</v>
      </c>
      <c r="GY131" t="s">
        <v>1990</v>
      </c>
      <c r="GZ131" t="s">
        <v>186</v>
      </c>
      <c r="HA131">
        <v>1992</v>
      </c>
      <c r="HB131" t="s">
        <v>246</v>
      </c>
      <c r="HD131" t="s">
        <v>1991</v>
      </c>
    </row>
    <row r="132" spans="1:214" hidden="1" x14ac:dyDescent="0.45">
      <c r="A132">
        <v>206</v>
      </c>
      <c r="B132" t="str">
        <f>_xlfn.IFNA(VLOOKUP(AnalizaCzyste[[#This Row],[Zakończono wypełnianie]],Zakończone[],2,0),"BRAK")</f>
        <v>BRAK</v>
      </c>
      <c r="C132">
        <f>COUNTA(O132:HF132)</f>
        <v>30</v>
      </c>
      <c r="D132" t="s">
        <v>1722</v>
      </c>
      <c r="E132" t="s">
        <v>118</v>
      </c>
      <c r="F132" t="s">
        <v>1647</v>
      </c>
      <c r="J132" t="s">
        <v>286</v>
      </c>
      <c r="K132" t="s">
        <v>1723</v>
      </c>
      <c r="L132" t="s">
        <v>1723</v>
      </c>
      <c r="M132">
        <v>0</v>
      </c>
      <c r="N132">
        <v>0</v>
      </c>
      <c r="O132" t="s">
        <v>122</v>
      </c>
      <c r="P132" s="1" t="s">
        <v>123</v>
      </c>
      <c r="AF132" s="1" t="s">
        <v>124</v>
      </c>
      <c r="AG132" t="s">
        <v>1724</v>
      </c>
      <c r="AH132">
        <v>2005</v>
      </c>
      <c r="AI132" t="s">
        <v>148</v>
      </c>
      <c r="AJ132" t="s">
        <v>1725</v>
      </c>
      <c r="AK132" t="s">
        <v>150</v>
      </c>
      <c r="AL132" t="s">
        <v>162</v>
      </c>
      <c r="AM132" t="s">
        <v>162</v>
      </c>
      <c r="AN132" t="s">
        <v>162</v>
      </c>
      <c r="AO132" t="s">
        <v>162</v>
      </c>
      <c r="AP132">
        <v>2</v>
      </c>
      <c r="AQ132" t="s">
        <v>131</v>
      </c>
      <c r="AR132" t="s">
        <v>302</v>
      </c>
      <c r="AS132" t="s">
        <v>1726</v>
      </c>
      <c r="AT132" t="s">
        <v>1727</v>
      </c>
      <c r="AU132" t="s">
        <v>1728</v>
      </c>
      <c r="AV132" t="s">
        <v>157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Z132" t="s">
        <v>140</v>
      </c>
      <c r="HA132">
        <v>1981</v>
      </c>
      <c r="HB132" t="s">
        <v>483</v>
      </c>
      <c r="HD132" t="s">
        <v>142</v>
      </c>
      <c r="HE132" t="s">
        <v>180</v>
      </c>
    </row>
    <row r="133" spans="1:214" hidden="1" x14ac:dyDescent="0.45">
      <c r="A133">
        <v>33</v>
      </c>
      <c r="B133">
        <f>_xlfn.IFNA(VLOOKUP(AnalizaCzyste[[#This Row],[Zakończono wypełnianie]],Zakończone[],2,0),"BRAK")</f>
        <v>23</v>
      </c>
      <c r="C133">
        <f>COUNTA(O133:HF133)</f>
        <v>29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FP133" t="s">
        <v>132</v>
      </c>
      <c r="GW133" t="s">
        <v>480</v>
      </c>
      <c r="GX133" t="s">
        <v>481</v>
      </c>
      <c r="GY133" t="s">
        <v>482</v>
      </c>
      <c r="GZ133" t="s">
        <v>140</v>
      </c>
      <c r="HA133">
        <v>1996</v>
      </c>
      <c r="HB133" t="s">
        <v>483</v>
      </c>
    </row>
    <row r="134" spans="1:214" hidden="1" x14ac:dyDescent="0.45">
      <c r="A134">
        <v>58</v>
      </c>
      <c r="B134">
        <f>_xlfn.IFNA(VLOOKUP(AnalizaCzyste[[#This Row],[Zakończono wypełnianie]],Zakończone[],2,0),"BRAK")</f>
        <v>34</v>
      </c>
      <c r="C134">
        <f>COUNTA(O134:HF134)</f>
        <v>29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FP134" t="s">
        <v>132</v>
      </c>
      <c r="GW134" t="s">
        <v>651</v>
      </c>
      <c r="GX134" t="s">
        <v>652</v>
      </c>
      <c r="GY134" t="s">
        <v>653</v>
      </c>
      <c r="GZ134" t="s">
        <v>140</v>
      </c>
      <c r="HA134">
        <v>1998</v>
      </c>
      <c r="HB134" t="s">
        <v>141</v>
      </c>
    </row>
    <row r="135" spans="1:214" hidden="1" x14ac:dyDescent="0.45">
      <c r="A135">
        <v>82</v>
      </c>
      <c r="B135">
        <f>_xlfn.IFNA(VLOOKUP(AnalizaCzyste[[#This Row],[Zakończono wypełnianie]],Zakończone[],2,0),"BRAK")</f>
        <v>47</v>
      </c>
      <c r="C135">
        <f>COUNTA(O135:HF135)</f>
        <v>28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177</v>
      </c>
      <c r="EP135" t="s">
        <v>178</v>
      </c>
      <c r="EQ135">
        <v>1</v>
      </c>
      <c r="ER135" t="s">
        <v>191</v>
      </c>
      <c r="ES135" t="s">
        <v>162</v>
      </c>
      <c r="ET135" t="s">
        <v>162</v>
      </c>
      <c r="EU135" t="s">
        <v>128</v>
      </c>
      <c r="EV135" t="s">
        <v>178</v>
      </c>
      <c r="EW135" t="s">
        <v>831</v>
      </c>
      <c r="EX135" t="s">
        <v>832</v>
      </c>
      <c r="EY135" t="s">
        <v>173</v>
      </c>
      <c r="FO135" s="1" t="s">
        <v>123</v>
      </c>
      <c r="FP135" t="s">
        <v>132</v>
      </c>
      <c r="FR135" t="s">
        <v>132</v>
      </c>
      <c r="GW135" t="s">
        <v>833</v>
      </c>
      <c r="GX135" t="s">
        <v>834</v>
      </c>
      <c r="GY135" t="s">
        <v>835</v>
      </c>
      <c r="GZ135" t="s">
        <v>140</v>
      </c>
      <c r="HA135">
        <v>1977</v>
      </c>
      <c r="HB135" t="s">
        <v>398</v>
      </c>
      <c r="HD135" t="s">
        <v>836</v>
      </c>
    </row>
    <row r="136" spans="1:214" hidden="1" x14ac:dyDescent="0.45">
      <c r="A136">
        <v>95</v>
      </c>
      <c r="B136">
        <f>_xlfn.IFNA(VLOOKUP(AnalizaCzyste[[#This Row],[Zakończono wypełnianie]],Zakończone[],2,0),"BRAK")</f>
        <v>58</v>
      </c>
      <c r="C136">
        <f>COUNTA(O136:HF136)</f>
        <v>19</v>
      </c>
      <c r="D136" t="s">
        <v>955</v>
      </c>
      <c r="E136" t="s">
        <v>118</v>
      </c>
      <c r="F136" t="s">
        <v>774</v>
      </c>
      <c r="J136" t="s">
        <v>119</v>
      </c>
      <c r="K136" t="s">
        <v>963</v>
      </c>
      <c r="L136" t="s">
        <v>964</v>
      </c>
      <c r="M136">
        <v>456</v>
      </c>
      <c r="N136">
        <v>0</v>
      </c>
      <c r="O136" t="s">
        <v>122</v>
      </c>
      <c r="P136" s="1" t="s">
        <v>123</v>
      </c>
      <c r="AF136" s="1" t="s">
        <v>123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EP136" t="s">
        <v>178</v>
      </c>
      <c r="FO136" s="1" t="s">
        <v>123</v>
      </c>
      <c r="FP136" t="s">
        <v>132</v>
      </c>
      <c r="GW136" t="s">
        <v>818</v>
      </c>
      <c r="GX136" t="s">
        <v>824</v>
      </c>
      <c r="GY136" t="s">
        <v>788</v>
      </c>
      <c r="GZ136" t="s">
        <v>186</v>
      </c>
      <c r="HA136">
        <v>1992</v>
      </c>
      <c r="HB136" t="s">
        <v>141</v>
      </c>
      <c r="HD136" t="s">
        <v>965</v>
      </c>
      <c r="HE136" t="s">
        <v>966</v>
      </c>
    </row>
    <row r="137" spans="1:214" hidden="1" x14ac:dyDescent="0.45">
      <c r="A137">
        <v>154</v>
      </c>
      <c r="B137">
        <f>_xlfn.IFNA(VLOOKUP(AnalizaCzyste[[#This Row],[Zakończono wypełnianie]],Zakończone[],2,0),"BRAK")</f>
        <v>89</v>
      </c>
      <c r="C137">
        <f>COUNTA(O137:HF137)</f>
        <v>17</v>
      </c>
      <c r="D137" t="s">
        <v>1142</v>
      </c>
      <c r="E137" t="s">
        <v>118</v>
      </c>
      <c r="J137" t="s">
        <v>119</v>
      </c>
      <c r="K137" t="s">
        <v>1384</v>
      </c>
      <c r="L137" t="s">
        <v>1385</v>
      </c>
      <c r="M137">
        <v>167</v>
      </c>
      <c r="N137">
        <v>0</v>
      </c>
      <c r="O137" t="s">
        <v>122</v>
      </c>
      <c r="P137" s="1" t="s">
        <v>123</v>
      </c>
      <c r="AF137" s="1" t="s">
        <v>123</v>
      </c>
      <c r="AX137" s="1" t="s">
        <v>123</v>
      </c>
      <c r="CR137" s="1" t="s">
        <v>123</v>
      </c>
      <c r="DB137" s="1" t="s">
        <v>123</v>
      </c>
      <c r="DL137" s="1" t="s">
        <v>123</v>
      </c>
      <c r="EO137" s="1" t="s">
        <v>123</v>
      </c>
      <c r="FO137" s="1" t="s">
        <v>123</v>
      </c>
      <c r="GW137" t="s">
        <v>1386</v>
      </c>
      <c r="GX137" t="s">
        <v>1387</v>
      </c>
      <c r="GY137" t="s">
        <v>1388</v>
      </c>
      <c r="GZ137" t="s">
        <v>186</v>
      </c>
      <c r="HA137">
        <v>1987</v>
      </c>
      <c r="HB137" t="s">
        <v>141</v>
      </c>
      <c r="HD137" t="s">
        <v>532</v>
      </c>
      <c r="HE137" t="s">
        <v>1389</v>
      </c>
    </row>
    <row r="138" spans="1:214" ht="14.65" thickBot="1" x14ac:dyDescent="0.5">
      <c r="O138" s="6">
        <f t="shared" ref="O138:AT138" si="0">COUNTA((O3:O137))</f>
        <v>135</v>
      </c>
      <c r="P138" s="6">
        <f t="shared" si="0"/>
        <v>135</v>
      </c>
      <c r="Q138" s="1">
        <f t="shared" si="0"/>
        <v>14</v>
      </c>
      <c r="R138" s="1">
        <f t="shared" si="0"/>
        <v>14</v>
      </c>
      <c r="S138" s="1">
        <f t="shared" si="0"/>
        <v>14</v>
      </c>
      <c r="T138" s="1">
        <f t="shared" si="0"/>
        <v>14</v>
      </c>
      <c r="U138" s="1">
        <f t="shared" si="0"/>
        <v>14</v>
      </c>
      <c r="V138" s="1">
        <f t="shared" si="0"/>
        <v>14</v>
      </c>
      <c r="W138" s="1">
        <f t="shared" si="0"/>
        <v>14</v>
      </c>
      <c r="X138" s="1">
        <f t="shared" si="0"/>
        <v>14</v>
      </c>
      <c r="Y138" s="1">
        <f t="shared" si="0"/>
        <v>14</v>
      </c>
      <c r="Z138" s="1">
        <f t="shared" si="0"/>
        <v>9</v>
      </c>
      <c r="AA138" s="1">
        <f t="shared" si="0"/>
        <v>14</v>
      </c>
      <c r="AB138" s="1">
        <f t="shared" si="0"/>
        <v>14</v>
      </c>
      <c r="AC138" s="1">
        <f t="shared" si="0"/>
        <v>13</v>
      </c>
      <c r="AD138" s="1">
        <f t="shared" si="0"/>
        <v>2</v>
      </c>
      <c r="AE138" s="1">
        <f t="shared" si="0"/>
        <v>14</v>
      </c>
      <c r="AF138" s="6">
        <f t="shared" si="0"/>
        <v>135</v>
      </c>
      <c r="AG138" s="1">
        <f t="shared" si="0"/>
        <v>120</v>
      </c>
      <c r="AH138" s="1">
        <f t="shared" si="0"/>
        <v>118</v>
      </c>
      <c r="AI138" s="1">
        <f t="shared" si="0"/>
        <v>120</v>
      </c>
      <c r="AJ138" s="1">
        <f t="shared" si="0"/>
        <v>120</v>
      </c>
      <c r="AK138" s="1">
        <f t="shared" si="0"/>
        <v>120</v>
      </c>
      <c r="AL138" s="1">
        <f t="shared" si="0"/>
        <v>120</v>
      </c>
      <c r="AM138" s="1">
        <f t="shared" si="0"/>
        <v>120</v>
      </c>
      <c r="AN138" s="1">
        <f t="shared" si="0"/>
        <v>120</v>
      </c>
      <c r="AO138" s="1">
        <f t="shared" si="0"/>
        <v>120</v>
      </c>
      <c r="AP138" s="1">
        <f t="shared" si="0"/>
        <v>120</v>
      </c>
      <c r="AQ138" s="1">
        <f t="shared" si="0"/>
        <v>120</v>
      </c>
      <c r="AR138" s="1">
        <f t="shared" si="0"/>
        <v>120</v>
      </c>
      <c r="AS138" s="1">
        <f t="shared" si="0"/>
        <v>98</v>
      </c>
      <c r="AT138" s="1">
        <f t="shared" si="0"/>
        <v>120</v>
      </c>
      <c r="AU138" s="1">
        <f t="shared" ref="AU138:BZ138" si="1">COUNTA((AU3:AU137))</f>
        <v>120</v>
      </c>
      <c r="AV138" s="1">
        <f t="shared" si="1"/>
        <v>108</v>
      </c>
      <c r="AW138" s="1">
        <f t="shared" si="1"/>
        <v>38</v>
      </c>
      <c r="AX138" s="6">
        <f t="shared" si="1"/>
        <v>135</v>
      </c>
      <c r="AY138" s="1">
        <f t="shared" si="1"/>
        <v>17</v>
      </c>
      <c r="AZ138" s="1">
        <f t="shared" si="1"/>
        <v>17</v>
      </c>
      <c r="BA138" s="1">
        <f t="shared" si="1"/>
        <v>17</v>
      </c>
      <c r="BB138" s="1">
        <f t="shared" si="1"/>
        <v>17</v>
      </c>
      <c r="BC138" s="1">
        <f t="shared" si="1"/>
        <v>17</v>
      </c>
      <c r="BD138" s="1">
        <f t="shared" si="1"/>
        <v>17</v>
      </c>
      <c r="BE138" s="1">
        <f t="shared" si="1"/>
        <v>17</v>
      </c>
      <c r="BF138" s="1">
        <f t="shared" si="1"/>
        <v>17</v>
      </c>
      <c r="BG138" s="1">
        <f t="shared" si="1"/>
        <v>17</v>
      </c>
      <c r="BH138" s="1">
        <f t="shared" si="1"/>
        <v>17</v>
      </c>
      <c r="BI138" s="1">
        <f t="shared" si="1"/>
        <v>17</v>
      </c>
      <c r="BJ138" s="1">
        <f t="shared" si="1"/>
        <v>15</v>
      </c>
      <c r="BK138" s="1">
        <f t="shared" si="1"/>
        <v>17</v>
      </c>
      <c r="BL138" s="1">
        <f t="shared" si="1"/>
        <v>1</v>
      </c>
      <c r="BM138" s="1">
        <f t="shared" si="1"/>
        <v>8</v>
      </c>
      <c r="BN138" s="1">
        <f t="shared" si="1"/>
        <v>17</v>
      </c>
      <c r="BO138" s="1">
        <f t="shared" si="1"/>
        <v>5</v>
      </c>
      <c r="BP138" s="1">
        <f t="shared" si="1"/>
        <v>5</v>
      </c>
      <c r="BQ138" s="1">
        <f t="shared" si="1"/>
        <v>5</v>
      </c>
      <c r="BR138" s="1">
        <f t="shared" si="1"/>
        <v>5</v>
      </c>
      <c r="BS138" s="1">
        <f t="shared" si="1"/>
        <v>5</v>
      </c>
      <c r="BT138" s="1">
        <f t="shared" si="1"/>
        <v>5</v>
      </c>
      <c r="BU138" s="1">
        <f t="shared" si="1"/>
        <v>5</v>
      </c>
      <c r="BV138" s="1">
        <f t="shared" si="1"/>
        <v>5</v>
      </c>
      <c r="BW138" s="1">
        <f t="shared" si="1"/>
        <v>5</v>
      </c>
      <c r="BX138" s="1">
        <f t="shared" si="1"/>
        <v>5</v>
      </c>
      <c r="BY138" s="1">
        <f t="shared" si="1"/>
        <v>3</v>
      </c>
      <c r="BZ138" s="1">
        <f t="shared" si="1"/>
        <v>5</v>
      </c>
      <c r="CA138" s="1">
        <f t="shared" ref="CA138:CR138" si="2">COUNTA((CA3:CA137))</f>
        <v>0</v>
      </c>
      <c r="CB138" s="1">
        <f t="shared" si="2"/>
        <v>3</v>
      </c>
      <c r="CC138" s="1">
        <f t="shared" si="2"/>
        <v>5</v>
      </c>
      <c r="CD138" s="1">
        <f t="shared" si="2"/>
        <v>2</v>
      </c>
      <c r="CE138" s="1">
        <f t="shared" si="2"/>
        <v>2</v>
      </c>
      <c r="CF138" s="1">
        <f t="shared" si="2"/>
        <v>2</v>
      </c>
      <c r="CG138" s="1">
        <f t="shared" si="2"/>
        <v>2</v>
      </c>
      <c r="CH138" s="1">
        <f t="shared" si="2"/>
        <v>2</v>
      </c>
      <c r="CI138" s="1">
        <f t="shared" si="2"/>
        <v>2</v>
      </c>
      <c r="CJ138" s="1">
        <f t="shared" si="2"/>
        <v>2</v>
      </c>
      <c r="CK138" s="1">
        <f t="shared" si="2"/>
        <v>2</v>
      </c>
      <c r="CL138" s="1">
        <f t="shared" si="2"/>
        <v>2</v>
      </c>
      <c r="CM138" s="1">
        <f t="shared" si="2"/>
        <v>2</v>
      </c>
      <c r="CN138" s="1">
        <f t="shared" si="2"/>
        <v>2</v>
      </c>
      <c r="CO138" s="1">
        <f t="shared" si="2"/>
        <v>2</v>
      </c>
      <c r="CP138" s="1">
        <f t="shared" si="2"/>
        <v>0</v>
      </c>
      <c r="CQ138" s="1">
        <f t="shared" si="2"/>
        <v>1</v>
      </c>
      <c r="CR138" s="6">
        <f t="shared" si="2"/>
        <v>135</v>
      </c>
      <c r="DB138" s="6">
        <f>COUNTA((DB3:DB137))</f>
        <v>135</v>
      </c>
      <c r="DL138" s="6">
        <f>COUNTA((DL3:DL137))</f>
        <v>135</v>
      </c>
      <c r="EO138" s="6">
        <f>COUNTA((EO3:EO137))</f>
        <v>135</v>
      </c>
      <c r="FO138" s="6">
        <f>COUNTA((FO3:FO137))</f>
        <v>135</v>
      </c>
      <c r="GZ138" s="6">
        <f t="shared" ref="GZ138:HF138" si="3">COUNTA((GZ3:GZ137))</f>
        <v>135</v>
      </c>
      <c r="HA138" s="6">
        <f t="shared" si="3"/>
        <v>135</v>
      </c>
      <c r="HB138" s="6">
        <f t="shared" si="3"/>
        <v>135</v>
      </c>
      <c r="HC138" s="6">
        <f t="shared" si="3"/>
        <v>7</v>
      </c>
      <c r="HD138" s="6">
        <f t="shared" si="3"/>
        <v>86</v>
      </c>
      <c r="HE138" s="6">
        <f t="shared" si="3"/>
        <v>54</v>
      </c>
      <c r="HF138" s="6">
        <f t="shared" si="3"/>
        <v>12</v>
      </c>
    </row>
    <row r="139" spans="1:214" ht="15" thickTop="1" thickBot="1" x14ac:dyDescent="0.5">
      <c r="B139" s="26" t="s">
        <v>2292</v>
      </c>
      <c r="O139" s="7">
        <f>COUNTIF(AnalizaCzyste[Czy jesteś osobą pełnoletnią?],"*"&amp;"Tak"&amp;"*")</f>
        <v>135</v>
      </c>
      <c r="P139" s="7">
        <f>COUNTIF(AnalizaCzyste[Czy jesteś studentem uczelni wyższej?],"*"&amp;"Tak"&amp;"*")</f>
        <v>14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COUNTIF(AnalizaCzyste[Czy jesteś absolwentem uczelni wyższej?],"*"&amp;"Tak"&amp;"*")</f>
        <v>120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7">
        <f>COUNTIF(AnalizaCzyste[Czy jesteś rodzicem / opiekunem absolwenta uczelni wyższej?],"*"&amp;"Tak"&amp;"*")</f>
        <v>17</v>
      </c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7">
        <f>COUNTIF(AnalizaCzyste[Czy jesteś aktualnie pracownikiem administracyjnym uczelni wyższej?],"*"&amp;"Tak"&amp;"*")</f>
        <v>4</v>
      </c>
      <c r="CS139" s="8"/>
      <c r="CT139" s="8"/>
      <c r="CU139" s="8"/>
      <c r="CV139" s="8"/>
      <c r="CW139" s="8"/>
      <c r="CX139" s="8"/>
      <c r="CY139" s="8"/>
      <c r="CZ139" s="8"/>
      <c r="DA139" s="8"/>
      <c r="DB139" s="7">
        <f>COUNTIF(AnalizaCzyste[Czy jesteś aktualnie pracownikiem naukowym lub dydaktycznym uczelni wyższej?],"*"&amp;"Tak"&amp;"*")</f>
        <v>16</v>
      </c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COUNTIF(AnalizaCzyste[Czy jesteś przedstawicielem władz uczelni z grupy rektorów, prorektorów, dziekanów, prodziekanów, członków senatu lub członków rady uczelni?],"*"&amp;"Tak"&amp;"*")</f>
        <v>5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7">
        <f>COUNTIF(AnalizaCzyste[Czy jesteś przedstawicielem firmy, w której są zatrudniani absolwenci uczelni wyższych (tytuł licencjata, magistra lub wyższy)?],"*"&amp;"Tak"&amp;"*")</f>
        <v>18</v>
      </c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7">
        <f>COUNTIF(AnalizaCzyste[Czy jesteś przedstawicielem władz samorządowych lub centralnych Rzeczypospolitej Polskiej?],"*"&amp;"Tak"&amp;"*")</f>
        <v>2</v>
      </c>
      <c r="FP139" s="7">
        <f>COUNTIF(AnalizaCzyste[Proszę wskaż jaki poziom władzy samorządowej lub centralnej reprezentujesz.],"*"&amp;"Tak"&amp;"*")</f>
        <v>0</v>
      </c>
      <c r="FQ139" s="7">
        <f>COUNTIF(AnalizaCzyste[Proszę o podanie nazwy organu władzy jaki reprezentujesz.],"*"&amp;"Tak"&amp;"*")</f>
        <v>0</v>
      </c>
      <c r="FR139" s="7">
        <f>COUNTIF(AnalizaCzyste[Ile uczelni będziesz oceniać?26],"*"&amp;"Tak"&amp;"*")</f>
        <v>0</v>
      </c>
      <c r="FS139" s="7">
        <f>COUNTIF(AnalizaCzyste[Jak się nazywa uczelnia, którą ocenisz?],"*"&amp;"Tak"&amp;"*")</f>
        <v>0</v>
      </c>
      <c r="FT139" s="7">
        <f>COUNTIF(AnalizaCzyste[Efekty działań ocenianej uczelni na rzesz jakości edukacji są zgodne ze strategią rozwoju w regionie.],"*"&amp;"Tak"&amp;"*")</f>
        <v>0</v>
      </c>
      <c r="FU139" s="7">
        <f>COUNTIF(AnalizaCzyste[Wartość wykształcenia zdobywanego przez studentów na ocenianej uczelni jest wysoka.27],"*"&amp;"Tak"&amp;"*")</f>
        <v>0</v>
      </c>
      <c r="FV139" s="7">
        <f>COUNTIF(AnalizaCzyste[Zdobyte przez studentów ocenianej uczelni wykształcenie miało/ma pozytywny wpływ na ich zarobki.28],"*"&amp;"Tak"&amp;"*")</f>
        <v>0</v>
      </c>
      <c r="FW139" s="7">
        <f>COUNTIF(AnalizaCzyste[Efekty działań ocenianej uczelni na rzecz jakości edukacji mają dobry wpływ na rozwój regionu.29],"*"&amp;"Tak"&amp;"*")</f>
        <v>0</v>
      </c>
      <c r="FX139" s="7">
        <f>COUNTIF(AnalizaCzyste[Efekty działań ocenianej uczelni na rzecz jakości edukacji mają dobry wpływ na rozwój Polski.30],"*"&amp;"Tak"&amp;"*")</f>
        <v>0</v>
      </c>
      <c r="FY139" s="7">
        <f>COUNTIF(AnalizaCzyste[Współpraca ocenianej uczelni z biznesem ma pozytywne efekty dla rozwoju regionu / kraju.31],"*"&amp;"Tak"&amp;"*")</f>
        <v>0</v>
      </c>
      <c r="FZ139" s="7">
        <f>COUNTIF(AnalizaCzyste[Ogólny poziom mojej satysfakcji z jakości usług edukacyjnych ocenianej uczelni jest wysoki.32],"*"&amp;"Tak"&amp;"*")</f>
        <v>0</v>
      </c>
      <c r="GA139" s="7">
        <f>COUNTIF(AnalizaCzyste[Pole dodatkowe33],"*"&amp;"Tak"&amp;"*")</f>
        <v>0</v>
      </c>
      <c r="GB139" s="7">
        <f>COUNTIF(AnalizaCzyste[Jakie inne efekty pracy ocenianej uczelni technicznej dostrzegasz obecnie?],"*"&amp;"Tak"&amp;"*")</f>
        <v>0</v>
      </c>
      <c r="GC139" s="7">
        <f>COUNTIF(AnalizaCzyste[Czy będziesz oceniać drugą uczelnię?],"*"&amp;"Tak"&amp;"*")</f>
        <v>0</v>
      </c>
      <c r="GD139" s="7">
        <f>COUNTIF(AnalizaCzyste[Jak się nazywa uczelnia, którą ocenisz?34],"*"&amp;"Tak"&amp;"*")</f>
        <v>0</v>
      </c>
      <c r="GE139" s="7">
        <f>COUNTIF(AnalizaCzyste[Efekty działań ocenianej uczelni na rzesz jakości edukacji są zgodne ze strategią rozwoju w regionie.35],"*"&amp;"Tak"&amp;"*")</f>
        <v>0</v>
      </c>
      <c r="GF139" s="7">
        <f>COUNTIF(AnalizaCzyste[Wartość wykształcenia zdobywanego przez studentów na ocenianej uczelni jest wysoka.36],"*"&amp;"Tak"&amp;"*")</f>
        <v>0</v>
      </c>
      <c r="GG139" s="7">
        <f>COUNTIF(AnalizaCzyste[Zdobyte przez studentów ocenianej uczelni wykształcenie miało/ma pozytywny wpływ na ich zarobki.37],"*"&amp;"Tak"&amp;"*")</f>
        <v>0</v>
      </c>
      <c r="GH139" s="7">
        <f>COUNTIF(AnalizaCzyste[Efekty działań ocenianej uczelni na rzecz jakości edukacji mają dobry wpływ na rozwój regionu.38],"*"&amp;"Tak"&amp;"*")</f>
        <v>0</v>
      </c>
      <c r="GI139" s="7">
        <f>COUNTIF(AnalizaCzyste[Efekty działań ocenianej uczelni na rzecz jakości edukacji mają dobry wpływ na rozwój Polski.39],"*"&amp;"Tak"&amp;"*")</f>
        <v>0</v>
      </c>
      <c r="GJ139" s="7">
        <f>COUNTIF(AnalizaCzyste[Współpraca ocenianej uczelni z biznesem ma pozytywne efekty dla rozwoju regionu / kraju.40],"*"&amp;"Tak"&amp;"*")</f>
        <v>0</v>
      </c>
      <c r="GK139" s="7">
        <f>COUNTIF(AnalizaCzyste[Ogólny poziom mojej satysfakcji z jakości usług edukacyjnych ocenianej uczelni jest wysoki.41],"*"&amp;"Tak"&amp;"*")</f>
        <v>0</v>
      </c>
      <c r="GL139" s="7">
        <f>COUNTIF(AnalizaCzyste[Jakie inne efekty pracy ocenianej uczelni dostrzegasz obecnie?],"*"&amp;"Tak"&amp;"*")</f>
        <v>0</v>
      </c>
      <c r="GM139" s="7">
        <f>COUNTIF(AnalizaCzyste[Czy będziesz oceniać trzecią uczelnię?],"*"&amp;"Tak"&amp;"*")</f>
        <v>0</v>
      </c>
      <c r="GN139" s="7">
        <f>COUNTIF(AnalizaCzyste[Jak się nazywa uczelnia, którą ocenisz?42],"*"&amp;"Tak"&amp;"*")</f>
        <v>0</v>
      </c>
      <c r="GO139" s="7">
        <f>COUNTIF(AnalizaCzyste[Efekty działań ocenianej uczelni na rzesz jakości edukacji są zgodne ze strategią rozwoju w regionie.43],"*"&amp;"Tak"&amp;"*")</f>
        <v>0</v>
      </c>
      <c r="GP139" s="7">
        <f>COUNTIF(AnalizaCzyste[Wartość wykształcenia zdobywanego przez studentów na ocenianej uczelni jest wysoka.44],"*"&amp;"Tak"&amp;"*")</f>
        <v>0</v>
      </c>
      <c r="GQ139" s="7">
        <f>COUNTIF(AnalizaCzyste[Zdobyte przez studentów ocenianej uczelni wykształcenie miało/ma pozytywny wpływ na ich zarobki.45],"*"&amp;"Tak"&amp;"*")</f>
        <v>0</v>
      </c>
      <c r="GR139" s="7">
        <f>COUNTIF(AnalizaCzyste[Efekty działań ocenianej uczelni na rzecz jakości edukacji mają dobry wpływ na rozwój regionu.46],"*"&amp;"Tak"&amp;"*")</f>
        <v>0</v>
      </c>
      <c r="GS139" s="7">
        <f>COUNTIF(AnalizaCzyste[Efekty działań ocenianej uczelni na rzecz jakości edukacji mają dobry wpływ na rozwój Polski.47],"*"&amp;"Tak"&amp;"*")</f>
        <v>0</v>
      </c>
      <c r="GT139" s="7">
        <f>COUNTIF(AnalizaCzyste[Współpraca ocenianej uczelni z biznesem ma pozytywne efekty dla rozwoju regionu / kraju.48],"*"&amp;"Tak"&amp;"*")</f>
        <v>0</v>
      </c>
      <c r="GU139" s="7">
        <f>COUNTIF(AnalizaCzyste[Ogólny poziom mojej satysfakcji z jakości usług edukacyjnych ocenianej uczelni jest wysoki.49],"*"&amp;"Tak"&amp;"*")</f>
        <v>0</v>
      </c>
      <c r="GV139" s="7">
        <f>COUNTIF(AnalizaCzyste[Jakie inne efekty pracy ocenianej uczelni dostrzegasz obecnie?50],"*"&amp;"Tak"&amp;"*")</f>
        <v>0</v>
      </c>
      <c r="GW139" s="7">
        <f>COUNTIF(AnalizaCzyste[Jakie, Twoim zdaniem, elementy decydują o tym, że uczelnie są lepsze lub gorsze.],"*"&amp;"Tak"&amp;"*")</f>
        <v>5</v>
      </c>
      <c r="GX139" s="7">
        <f>COUNTIF(AnalizaCzyste[Kolumna51],"*"&amp;"Tak"&amp;"*")</f>
        <v>10</v>
      </c>
      <c r="GY139" s="7">
        <f>COUNTIF(AnalizaCzyste[Kolumna52],"*"&amp;"Tak"&amp;"*")</f>
        <v>3</v>
      </c>
      <c r="GZ139" s="7">
        <f>COUNTIF(AnalizaCzyste[Płeć],"*"&amp;"Mężczyzna"&amp;"*")</f>
        <v>68</v>
      </c>
      <c r="HA139" s="7">
        <f>COUNTIF(AnalizaCzyste[Rok urodzenia],"*"&amp;"Tak"&amp;"*")</f>
        <v>0</v>
      </c>
      <c r="HB139" s="7">
        <f>COUNTIF(AnalizaCzyste[Z jakiej wielkości miejscowości pochodzisz? (dotyczy miejscowości, w której się wychowałaś/eś],"*"&amp;"Tak"&amp;"*")</f>
        <v>0</v>
      </c>
    </row>
    <row r="140" spans="1:214" ht="15" thickTop="1" thickBot="1" x14ac:dyDescent="0.5">
      <c r="B140" s="26" t="s">
        <v>2293</v>
      </c>
      <c r="O140" s="7">
        <f>COUNTIF(AnalizaCzyste[Czy jesteś osobą pełnoletnią?],"*"&amp;"Nie"&amp;"*")</f>
        <v>0</v>
      </c>
      <c r="P140" s="7">
        <f>COUNTIF(AnalizaCzyste[Czy jesteś studentem uczelni wyższej?],"*"&amp;"Nie (przejście"&amp;"*")</f>
        <v>121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7">
        <f>COUNTIF(AnalizaCzyste[Czy jesteś absolwentem uczelni wyższej?],"*"&amp;"Nie (przejście"&amp;"*")</f>
        <v>15</v>
      </c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7">
        <f>COUNTIF(AnalizaCzyste[Czy jesteś rodzicem / opiekunem absolwenta uczelni wyższej?],"*"&amp;"Nie (przejście"&amp;"*")</f>
        <v>118</v>
      </c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7">
        <f>COUNTIF(AnalizaCzyste[Czy jesteś aktualnie pracownikiem administracyjnym uczelni wyższej?],"*"&amp;"Nie (przejście"&amp;"*")</f>
        <v>131</v>
      </c>
      <c r="CS140" s="8"/>
      <c r="CT140" s="8"/>
      <c r="CU140" s="8"/>
      <c r="CV140" s="8"/>
      <c r="CW140" s="8"/>
      <c r="CX140" s="8"/>
      <c r="CY140" s="8"/>
      <c r="CZ140" s="8"/>
      <c r="DA140" s="8"/>
      <c r="DB140" s="7">
        <f>COUNTIF(AnalizaCzyste[Czy jesteś aktualnie pracownikiem naukowym lub dydaktycznym uczelni wyższej?],"*"&amp;"Nie (przejście"&amp;"*")</f>
        <v>119</v>
      </c>
      <c r="DC140" s="8"/>
      <c r="DD140" s="8"/>
      <c r="DE140" s="8"/>
      <c r="DF140" s="8"/>
      <c r="DG140" s="8"/>
      <c r="DH140" s="8"/>
      <c r="DI140" s="8"/>
      <c r="DJ140" s="8"/>
      <c r="DK140" s="8"/>
      <c r="DL140" s="7">
        <f>COUNTIF(AnalizaCzyste[Czy jesteś przedstawicielem władz uczelni z grupy rektorów, prorektorów, dziekanów, prodziekanów, członków senatu lub członków rady uczelni?],"*"&amp;"Nie (przejście"&amp;"*")</f>
        <v>130</v>
      </c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7">
        <f>COUNTIF(AnalizaCzyste[Czy jesteś przedstawicielem firmy, w której są zatrudniani absolwenci uczelni wyższych (tytuł licencjata, magistra lub wyższy)?],"*"&amp;"Nie (przejście"&amp;"*")</f>
        <v>117</v>
      </c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7">
        <f>COUNTIF(AnalizaCzyste[Czy jesteś przedstawicielem władz samorządowych lub centralnych Rzeczypospolitej Polskiej?],"*"&amp;"Nie (przejście"&amp;"*")</f>
        <v>133</v>
      </c>
      <c r="FP140" s="7">
        <f>COUNTIF(AnalizaCzyste[Proszę wskaż jaki poziom władzy samorządowej lub centralnej reprezentujesz.],"*"&amp;"Nie (przejście"&amp;"*")</f>
        <v>0</v>
      </c>
      <c r="FQ140" s="7">
        <f>COUNTIF(AnalizaCzyste[Proszę o podanie nazwy organu władzy jaki reprezentujesz.],"*"&amp;"Nie (przejście"&amp;"*")</f>
        <v>0</v>
      </c>
      <c r="FR140" s="7">
        <f>COUNTIF(AnalizaCzyste[Ile uczelni będziesz oceniać?26],"*"&amp;"Nie (przejście"&amp;"*")</f>
        <v>0</v>
      </c>
      <c r="FS140" s="7">
        <f>COUNTIF(AnalizaCzyste[Jak się nazywa uczelnia, którą ocenisz?],"*"&amp;"Nie (przejście"&amp;"*")</f>
        <v>0</v>
      </c>
      <c r="FT140" s="7">
        <f>COUNTIF(AnalizaCzyste[Efekty działań ocenianej uczelni na rzesz jakości edukacji są zgodne ze strategią rozwoju w regionie.],"*"&amp;"Nie (przejście"&amp;"*")</f>
        <v>0</v>
      </c>
      <c r="FU140" s="7">
        <f>COUNTIF(AnalizaCzyste[Wartość wykształcenia zdobywanego przez studentów na ocenianej uczelni jest wysoka.27],"*"&amp;"Nie (przejście"&amp;"*")</f>
        <v>0</v>
      </c>
      <c r="FV140" s="7">
        <f>COUNTIF(AnalizaCzyste[Zdobyte przez studentów ocenianej uczelni wykształcenie miało/ma pozytywny wpływ na ich zarobki.28],"*"&amp;"Nie (przejście"&amp;"*")</f>
        <v>0</v>
      </c>
      <c r="FW140" s="7">
        <f>COUNTIF(AnalizaCzyste[Efekty działań ocenianej uczelni na rzecz jakości edukacji mają dobry wpływ na rozwój regionu.29],"*"&amp;"Nie (przejście"&amp;"*")</f>
        <v>0</v>
      </c>
      <c r="FX140" s="7">
        <f>COUNTIF(AnalizaCzyste[Efekty działań ocenianej uczelni na rzecz jakości edukacji mają dobry wpływ na rozwój Polski.30],"*"&amp;"Nie (przejście"&amp;"*")</f>
        <v>0</v>
      </c>
      <c r="FY140" s="7">
        <f>COUNTIF(AnalizaCzyste[Współpraca ocenianej uczelni z biznesem ma pozytywne efekty dla rozwoju regionu / kraju.31],"*"&amp;"Nie (przejście"&amp;"*")</f>
        <v>0</v>
      </c>
      <c r="FZ140" s="7">
        <f>COUNTIF(AnalizaCzyste[Ogólny poziom mojej satysfakcji z jakości usług edukacyjnych ocenianej uczelni jest wysoki.32],"*"&amp;"Nie (przejście"&amp;"*")</f>
        <v>0</v>
      </c>
      <c r="GA140" s="7">
        <f>COUNTIF(AnalizaCzyste[Pole dodatkowe33],"*"&amp;"Nie (przejście"&amp;"*")</f>
        <v>0</v>
      </c>
      <c r="GB140" s="7">
        <f>COUNTIF(AnalizaCzyste[Jakie inne efekty pracy ocenianej uczelni technicznej dostrzegasz obecnie?],"*"&amp;"Nie (przejście"&amp;"*")</f>
        <v>0</v>
      </c>
      <c r="GC140" s="7">
        <f>COUNTIF(AnalizaCzyste[Czy będziesz oceniać drugą uczelnię?],"*"&amp;"Nie (przejście"&amp;"*")</f>
        <v>2</v>
      </c>
      <c r="GD140" s="7">
        <f>COUNTIF(AnalizaCzyste[Jak się nazywa uczelnia, którą ocenisz?34],"*"&amp;"Nie (przejście"&amp;"*")</f>
        <v>0</v>
      </c>
      <c r="GE140" s="7">
        <f>COUNTIF(AnalizaCzyste[Efekty działań ocenianej uczelni na rzesz jakości edukacji są zgodne ze strategią rozwoju w regionie.35],"*"&amp;"Nie (przejście"&amp;"*")</f>
        <v>0</v>
      </c>
      <c r="GF140" s="7">
        <f>COUNTIF(AnalizaCzyste[Wartość wykształcenia zdobywanego przez studentów na ocenianej uczelni jest wysoka.36],"*"&amp;"Nie (przejście"&amp;"*")</f>
        <v>0</v>
      </c>
      <c r="GG140" s="7">
        <f>COUNTIF(AnalizaCzyste[Zdobyte przez studentów ocenianej uczelni wykształcenie miało/ma pozytywny wpływ na ich zarobki.37],"*"&amp;"Nie (przejście"&amp;"*")</f>
        <v>0</v>
      </c>
      <c r="GH140" s="7">
        <f>COUNTIF(AnalizaCzyste[Efekty działań ocenianej uczelni na rzecz jakości edukacji mają dobry wpływ na rozwój regionu.38],"*"&amp;"Nie (przejście"&amp;"*")</f>
        <v>0</v>
      </c>
      <c r="GI140" s="7">
        <f>COUNTIF(AnalizaCzyste[Efekty działań ocenianej uczelni na rzecz jakości edukacji mają dobry wpływ na rozwój Polski.39],"*"&amp;"Nie (przejście"&amp;"*")</f>
        <v>0</v>
      </c>
      <c r="GJ140" s="7">
        <f>COUNTIF(AnalizaCzyste[Współpraca ocenianej uczelni z biznesem ma pozytywne efekty dla rozwoju regionu / kraju.40],"*"&amp;"Nie (przejście"&amp;"*")</f>
        <v>0</v>
      </c>
      <c r="GK140" s="7">
        <f>COUNTIF(AnalizaCzyste[Ogólny poziom mojej satysfakcji z jakości usług edukacyjnych ocenianej uczelni jest wysoki.41],"*"&amp;"Nie (przejście"&amp;"*")</f>
        <v>0</v>
      </c>
      <c r="GL140" s="7">
        <f>COUNTIF(AnalizaCzyste[Jakie inne efekty pracy ocenianej uczelni dostrzegasz obecnie?],"*"&amp;"Nie (przejście"&amp;"*")</f>
        <v>0</v>
      </c>
      <c r="GM140" s="7">
        <f>COUNTIF(AnalizaCzyste[Czy będziesz oceniać trzecią uczelnię?],"*"&amp;"Nie (przejście"&amp;"*")</f>
        <v>0</v>
      </c>
      <c r="GN140" s="7">
        <f>COUNTIF(AnalizaCzyste[Jak się nazywa uczelnia, którą ocenisz?42],"*"&amp;"Nie (przejście"&amp;"*")</f>
        <v>0</v>
      </c>
      <c r="GO140" s="7">
        <f>COUNTIF(AnalizaCzyste[Efekty działań ocenianej uczelni na rzesz jakości edukacji są zgodne ze strategią rozwoju w regionie.43],"*"&amp;"Nie (przejście"&amp;"*")</f>
        <v>0</v>
      </c>
      <c r="GP140" s="7">
        <f>COUNTIF(AnalizaCzyste[Wartość wykształcenia zdobywanego przez studentów na ocenianej uczelni jest wysoka.44],"*"&amp;"Nie (przejście"&amp;"*")</f>
        <v>0</v>
      </c>
      <c r="GQ140" s="7">
        <f>COUNTIF(AnalizaCzyste[Zdobyte przez studentów ocenianej uczelni wykształcenie miało/ma pozytywny wpływ na ich zarobki.45],"*"&amp;"Nie (przejście"&amp;"*")</f>
        <v>0</v>
      </c>
      <c r="GR140" s="7">
        <f>COUNTIF(AnalizaCzyste[Efekty działań ocenianej uczelni na rzecz jakości edukacji mają dobry wpływ na rozwój regionu.46],"*"&amp;"Nie (przejście"&amp;"*")</f>
        <v>0</v>
      </c>
      <c r="GS140" s="7">
        <f>COUNTIF(AnalizaCzyste[Efekty działań ocenianej uczelni na rzecz jakości edukacji mają dobry wpływ na rozwój Polski.47],"*"&amp;"Nie (przejście"&amp;"*")</f>
        <v>0</v>
      </c>
      <c r="GT140" s="7">
        <f>COUNTIF(AnalizaCzyste[Współpraca ocenianej uczelni z biznesem ma pozytywne efekty dla rozwoju regionu / kraju.48],"*"&amp;"Nie (przejście"&amp;"*")</f>
        <v>0</v>
      </c>
      <c r="GU140" s="7">
        <f>COUNTIF(AnalizaCzyste[Ogólny poziom mojej satysfakcji z jakości usług edukacyjnych ocenianej uczelni jest wysoki.49],"*"&amp;"Nie (przejście"&amp;"*")</f>
        <v>0</v>
      </c>
      <c r="GV140" s="7">
        <f>COUNTIF(AnalizaCzyste[Jakie inne efekty pracy ocenianej uczelni dostrzegasz obecnie?50],"*"&amp;"Nie (przejście"&amp;"*")</f>
        <v>0</v>
      </c>
      <c r="GW140" s="7">
        <f>COUNTIF(AnalizaCzyste[Jakie, Twoim zdaniem, elementy decydują o tym, że uczelnie są lepsze lub gorsze.],"*"&amp;"Nie (przejście"&amp;"*")</f>
        <v>0</v>
      </c>
      <c r="GX140" s="7">
        <f>COUNTIF(AnalizaCzyste[Kolumna51],"*"&amp;"Nie (przejście"&amp;"*")</f>
        <v>0</v>
      </c>
      <c r="GY140" s="7">
        <f>COUNTIF(AnalizaCzyste[Kolumna52],"*"&amp;"Nie (przejście"&amp;"*")</f>
        <v>0</v>
      </c>
      <c r="GZ140" s="7">
        <f>COUNTIF(AnalizaCzyste[Płeć],"*"&amp;"Kobieta"&amp;"*")</f>
        <v>67</v>
      </c>
      <c r="HA140" s="7">
        <f>COUNTIF(AnalizaCzyste[Rok urodzenia],"*"&amp;"Nie (przejście"&amp;"*")</f>
        <v>0</v>
      </c>
      <c r="HB140" s="7">
        <f>COUNTIF(AnalizaCzyste[Z jakiej wielkości miejscowości pochodzisz? (dotyczy miejscowości, w której się wychowałaś/eś],"*"&amp;"Nie (przejście"&amp;"*")</f>
        <v>0</v>
      </c>
    </row>
    <row r="141" spans="1:214" ht="14.65" thickTop="1" x14ac:dyDescent="0.45">
      <c r="B141" s="26" t="s">
        <v>2294</v>
      </c>
      <c r="O141" s="7">
        <f>COUNTBLANK(AnalizaCzyste[Czy jesteś osobą pełnoletnią?])</f>
        <v>0</v>
      </c>
      <c r="P141" s="7">
        <f>COUNTBLANK(AnalizaCzyste[Czy jesteś studentem uczelni wyższej?])</f>
        <v>0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7">
        <f>COUNTBLANK(AnalizaCzyste[Czy jesteś absolwentem uczelni wyższej?])</f>
        <v>0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7">
        <f>COUNTBLANK(AnalizaCzyste[Czy jesteś rodzicem / opiekunem absolwenta uczelni wyższej?])</f>
        <v>0</v>
      </c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7">
        <f>COUNTBLANK(AnalizaCzyste[Czy jesteś aktualnie pracownikiem administracyjnym uczelni wyższej?])</f>
        <v>0</v>
      </c>
      <c r="CS141" s="8"/>
      <c r="CT141" s="8"/>
      <c r="CU141" s="8"/>
      <c r="CV141" s="8"/>
      <c r="CW141" s="8"/>
      <c r="CX141" s="8"/>
      <c r="CY141" s="8"/>
      <c r="CZ141" s="8"/>
      <c r="DA141" s="8"/>
      <c r="DB141" s="7">
        <f>COUNTBLANK(AnalizaCzyste[Czy jesteś aktualnie pracownikiem naukowym lub dydaktycznym uczelni wyższej?])</f>
        <v>0</v>
      </c>
      <c r="DC141" s="8"/>
      <c r="DD141" s="8"/>
      <c r="DE141" s="8"/>
      <c r="DF141" s="8"/>
      <c r="DG141" s="8"/>
      <c r="DH141" s="8"/>
      <c r="DI141" s="8"/>
      <c r="DJ141" s="8"/>
      <c r="DK141" s="8"/>
      <c r="DL141" s="7">
        <f>COUNTBLANK(AnalizaCzyste[Czy jesteś przedstawicielem władz uczelni z grupy rektorów, prorektorów, dziekanów, prodziekanów, członków senatu lub członków rady uczelni?])</f>
        <v>0</v>
      </c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7">
        <f>COUNTBLANK(AnalizaCzyste[Czy jesteś przedstawicielem firmy, w której są zatrudniani absolwenci uczelni wyższych (tytuł licencjata, magistra lub wyższy)?])</f>
        <v>0</v>
      </c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7">
        <f>COUNTBLANK(AnalizaCzyste[Czy jesteś przedstawicielem władz samorządowych lub centralnych Rzeczypospolitej Polskiej?])</f>
        <v>0</v>
      </c>
      <c r="FP141" s="7">
        <f>COUNTBLANK(AnalizaCzyste[Proszę wskaż jaki poziom władzy samorządowej lub centralnej reprezentujesz.])</f>
        <v>67</v>
      </c>
      <c r="FQ141" s="7">
        <f>COUNTBLANK(AnalizaCzyste[Proszę o podanie nazwy organu władzy jaki reprezentujesz.])</f>
        <v>133</v>
      </c>
      <c r="FR141" s="7">
        <f>COUNTBLANK(AnalizaCzyste[Ile uczelni będziesz oceniać?26])</f>
        <v>98</v>
      </c>
      <c r="FS141" s="7">
        <f>COUNTBLANK(AnalizaCzyste[Jak się nazywa uczelnia, którą ocenisz?])</f>
        <v>133</v>
      </c>
      <c r="FT141" s="7">
        <f>COUNTBLANK(AnalizaCzyste[Efekty działań ocenianej uczelni na rzesz jakości edukacji są zgodne ze strategią rozwoju w regionie.])</f>
        <v>133</v>
      </c>
      <c r="FU141" s="7">
        <f>COUNTBLANK(AnalizaCzyste[Wartość wykształcenia zdobywanego przez studentów na ocenianej uczelni jest wysoka.27])</f>
        <v>133</v>
      </c>
      <c r="FV141" s="7">
        <f>COUNTBLANK(AnalizaCzyste[Zdobyte przez studentów ocenianej uczelni wykształcenie miało/ma pozytywny wpływ na ich zarobki.28])</f>
        <v>133</v>
      </c>
      <c r="FW141" s="7">
        <f>COUNTBLANK(AnalizaCzyste[Efekty działań ocenianej uczelni na rzecz jakości edukacji mają dobry wpływ na rozwój regionu.29])</f>
        <v>133</v>
      </c>
      <c r="FX141" s="7">
        <f>COUNTBLANK(AnalizaCzyste[Efekty działań ocenianej uczelni na rzecz jakości edukacji mają dobry wpływ na rozwój Polski.30])</f>
        <v>133</v>
      </c>
      <c r="FY141" s="7">
        <f>COUNTBLANK(AnalizaCzyste[Współpraca ocenianej uczelni z biznesem ma pozytywne efekty dla rozwoju regionu / kraju.31])</f>
        <v>133</v>
      </c>
      <c r="FZ141" s="7">
        <f>COUNTBLANK(AnalizaCzyste[Ogólny poziom mojej satysfakcji z jakości usług edukacyjnych ocenianej uczelni jest wysoki.32])</f>
        <v>133</v>
      </c>
      <c r="GA141" s="7">
        <f>COUNTBLANK(AnalizaCzyste[Pole dodatkowe33])</f>
        <v>135</v>
      </c>
      <c r="GB141" s="7">
        <f>COUNTBLANK(AnalizaCzyste[Jakie inne efekty pracy ocenianej uczelni technicznej dostrzegasz obecnie?])</f>
        <v>134</v>
      </c>
      <c r="GC141" s="7">
        <f>COUNTBLANK(AnalizaCzyste[Czy będziesz oceniać drugą uczelnię?])</f>
        <v>133</v>
      </c>
      <c r="GD141" s="7">
        <f>COUNTBLANK(AnalizaCzyste[Jak się nazywa uczelnia, którą ocenisz?34])</f>
        <v>135</v>
      </c>
      <c r="GE141" s="7">
        <f>COUNTBLANK(AnalizaCzyste[Efekty działań ocenianej uczelni na rzesz jakości edukacji są zgodne ze strategią rozwoju w regionie.35])</f>
        <v>135</v>
      </c>
      <c r="GF141" s="7">
        <f>COUNTBLANK(AnalizaCzyste[Wartość wykształcenia zdobywanego przez studentów na ocenianej uczelni jest wysoka.36])</f>
        <v>135</v>
      </c>
      <c r="GG141" s="7">
        <f>COUNTBLANK(AnalizaCzyste[Zdobyte przez studentów ocenianej uczelni wykształcenie miało/ma pozytywny wpływ na ich zarobki.37])</f>
        <v>135</v>
      </c>
      <c r="GH141" s="7">
        <f>COUNTBLANK(AnalizaCzyste[Efekty działań ocenianej uczelni na rzecz jakości edukacji mają dobry wpływ na rozwój regionu.38])</f>
        <v>135</v>
      </c>
      <c r="GI141" s="7">
        <f>COUNTBLANK(AnalizaCzyste[Efekty działań ocenianej uczelni na rzecz jakości edukacji mają dobry wpływ na rozwój Polski.39])</f>
        <v>135</v>
      </c>
      <c r="GJ141" s="7">
        <f>COUNTBLANK(AnalizaCzyste[Współpraca ocenianej uczelni z biznesem ma pozytywne efekty dla rozwoju regionu / kraju.40])</f>
        <v>135</v>
      </c>
      <c r="GK141" s="7">
        <f>COUNTBLANK(AnalizaCzyste[Ogólny poziom mojej satysfakcji z jakości usług edukacyjnych ocenianej uczelni jest wysoki.41])</f>
        <v>135</v>
      </c>
      <c r="GL141" s="7">
        <f>COUNTBLANK(AnalizaCzyste[Jakie inne efekty pracy ocenianej uczelni dostrzegasz obecnie?])</f>
        <v>135</v>
      </c>
      <c r="GM141" s="7">
        <f>COUNTBLANK(AnalizaCzyste[Czy będziesz oceniać trzecią uczelnię?])</f>
        <v>135</v>
      </c>
      <c r="GN141" s="7">
        <f>COUNTBLANK(AnalizaCzyste[Jak się nazywa uczelnia, którą ocenisz?42])</f>
        <v>135</v>
      </c>
      <c r="GO141" s="7">
        <f>COUNTBLANK(AnalizaCzyste[Efekty działań ocenianej uczelni na rzesz jakości edukacji są zgodne ze strategią rozwoju w regionie.43])</f>
        <v>135</v>
      </c>
      <c r="GP141" s="7">
        <f>COUNTBLANK(AnalizaCzyste[Wartość wykształcenia zdobywanego przez studentów na ocenianej uczelni jest wysoka.44])</f>
        <v>135</v>
      </c>
      <c r="GQ141" s="7">
        <f>COUNTBLANK(AnalizaCzyste[Zdobyte przez studentów ocenianej uczelni wykształcenie miało/ma pozytywny wpływ na ich zarobki.45])</f>
        <v>135</v>
      </c>
      <c r="GR141" s="7">
        <f>COUNTBLANK(AnalizaCzyste[Efekty działań ocenianej uczelni na rzecz jakości edukacji mają dobry wpływ na rozwój regionu.46])</f>
        <v>135</v>
      </c>
      <c r="GS141" s="7">
        <f>COUNTBLANK(AnalizaCzyste[Efekty działań ocenianej uczelni na rzecz jakości edukacji mają dobry wpływ na rozwój Polski.47])</f>
        <v>135</v>
      </c>
      <c r="GT141" s="7">
        <f>COUNTBLANK(AnalizaCzyste[Współpraca ocenianej uczelni z biznesem ma pozytywne efekty dla rozwoju regionu / kraju.48])</f>
        <v>135</v>
      </c>
      <c r="GU141" s="7">
        <f>COUNTBLANK(AnalizaCzyste[Ogólny poziom mojej satysfakcji z jakości usług edukacyjnych ocenianej uczelni jest wysoki.49])</f>
        <v>135</v>
      </c>
      <c r="GV141" s="7">
        <f>COUNTBLANK(AnalizaCzyste[Jakie inne efekty pracy ocenianej uczelni dostrzegasz obecnie?50])</f>
        <v>135</v>
      </c>
      <c r="GW141" s="7">
        <f>COUNTBLANK(AnalizaCzyste[Jakie, Twoim zdaniem, elementy decydują o tym, że uczelnie są lepsze lub gorsze.])</f>
        <v>1</v>
      </c>
      <c r="GX141" s="7">
        <f>COUNTBLANK(AnalizaCzyste[Kolumna51])</f>
        <v>1</v>
      </c>
      <c r="GY141" s="7">
        <f>COUNTBLANK(AnalizaCzyste[Kolumna52])</f>
        <v>1</v>
      </c>
      <c r="GZ141" s="7">
        <f>COUNTBLANK(AnalizaCzyste[Płeć])</f>
        <v>0</v>
      </c>
      <c r="HA141" s="7">
        <f>COUNTBLANK(AnalizaCzyste[Rok urodzenia])</f>
        <v>0</v>
      </c>
      <c r="HB141" s="7">
        <f>COUNTBLANK(AnalizaCzyste[Z jakiej wielkości miejscowości pochodzisz? (dotyczy miejscowości, w której się wychowałaś/eś])</f>
        <v>0</v>
      </c>
    </row>
    <row r="142" spans="1:214" ht="14.65" thickBot="1" x14ac:dyDescent="0.5">
      <c r="O142">
        <f>SUM(O139:O141)</f>
        <v>135</v>
      </c>
      <c r="P142">
        <f t="shared" ref="P142:CA142" si="4">SUM(P139:P141)</f>
        <v>135</v>
      </c>
      <c r="Q142">
        <f t="shared" si="4"/>
        <v>0</v>
      </c>
      <c r="R142">
        <f t="shared" si="4"/>
        <v>0</v>
      </c>
      <c r="S142">
        <f t="shared" si="4"/>
        <v>0</v>
      </c>
      <c r="T142">
        <f t="shared" si="4"/>
        <v>0</v>
      </c>
      <c r="U142">
        <f t="shared" si="4"/>
        <v>0</v>
      </c>
      <c r="V142">
        <f t="shared" si="4"/>
        <v>0</v>
      </c>
      <c r="W142">
        <f t="shared" si="4"/>
        <v>0</v>
      </c>
      <c r="X142">
        <f t="shared" si="4"/>
        <v>0</v>
      </c>
      <c r="Y142">
        <f t="shared" si="4"/>
        <v>0</v>
      </c>
      <c r="Z142">
        <f t="shared" si="4"/>
        <v>0</v>
      </c>
      <c r="AA142">
        <f t="shared" si="4"/>
        <v>0</v>
      </c>
      <c r="AB142">
        <f t="shared" si="4"/>
        <v>0</v>
      </c>
      <c r="AC142">
        <f t="shared" si="4"/>
        <v>0</v>
      </c>
      <c r="AD142">
        <f t="shared" si="4"/>
        <v>0</v>
      </c>
      <c r="AE142">
        <f t="shared" si="4"/>
        <v>0</v>
      </c>
      <c r="AF142">
        <f t="shared" si="4"/>
        <v>135</v>
      </c>
      <c r="AG142">
        <f t="shared" si="4"/>
        <v>0</v>
      </c>
      <c r="AH142">
        <f t="shared" si="4"/>
        <v>0</v>
      </c>
      <c r="AI142">
        <f t="shared" si="4"/>
        <v>0</v>
      </c>
      <c r="AJ142">
        <f t="shared" si="4"/>
        <v>0</v>
      </c>
      <c r="AK142">
        <f t="shared" si="4"/>
        <v>0</v>
      </c>
      <c r="AL142">
        <f t="shared" si="4"/>
        <v>0</v>
      </c>
      <c r="AM142">
        <f t="shared" si="4"/>
        <v>0</v>
      </c>
      <c r="AN142">
        <f t="shared" si="4"/>
        <v>0</v>
      </c>
      <c r="AO142">
        <f t="shared" si="4"/>
        <v>0</v>
      </c>
      <c r="AP142">
        <f t="shared" si="4"/>
        <v>0</v>
      </c>
      <c r="AQ142">
        <f t="shared" si="4"/>
        <v>0</v>
      </c>
      <c r="AR142">
        <f t="shared" si="4"/>
        <v>0</v>
      </c>
      <c r="AS142">
        <f t="shared" si="4"/>
        <v>0</v>
      </c>
      <c r="AT142">
        <f t="shared" si="4"/>
        <v>0</v>
      </c>
      <c r="AU142">
        <f t="shared" si="4"/>
        <v>0</v>
      </c>
      <c r="AV142">
        <f t="shared" si="4"/>
        <v>0</v>
      </c>
      <c r="AW142">
        <f t="shared" si="4"/>
        <v>0</v>
      </c>
      <c r="AX142">
        <f t="shared" si="4"/>
        <v>135</v>
      </c>
      <c r="AY142">
        <f t="shared" si="4"/>
        <v>0</v>
      </c>
      <c r="AZ142">
        <f t="shared" si="4"/>
        <v>0</v>
      </c>
      <c r="BA142">
        <f t="shared" si="4"/>
        <v>0</v>
      </c>
      <c r="BB142">
        <f t="shared" si="4"/>
        <v>0</v>
      </c>
      <c r="BC142">
        <f t="shared" si="4"/>
        <v>0</v>
      </c>
      <c r="BD142">
        <f t="shared" si="4"/>
        <v>0</v>
      </c>
      <c r="BE142">
        <f t="shared" si="4"/>
        <v>0</v>
      </c>
      <c r="BF142">
        <f t="shared" si="4"/>
        <v>0</v>
      </c>
      <c r="BG142">
        <f t="shared" si="4"/>
        <v>0</v>
      </c>
      <c r="BH142">
        <f t="shared" si="4"/>
        <v>0</v>
      </c>
      <c r="BI142">
        <f t="shared" si="4"/>
        <v>0</v>
      </c>
      <c r="BJ142">
        <f t="shared" si="4"/>
        <v>0</v>
      </c>
      <c r="BK142">
        <f t="shared" si="4"/>
        <v>0</v>
      </c>
      <c r="BL142">
        <f t="shared" si="4"/>
        <v>0</v>
      </c>
      <c r="BM142">
        <f t="shared" si="4"/>
        <v>0</v>
      </c>
      <c r="BN142">
        <f t="shared" si="4"/>
        <v>0</v>
      </c>
      <c r="BO142">
        <f t="shared" si="4"/>
        <v>0</v>
      </c>
      <c r="BP142">
        <f t="shared" si="4"/>
        <v>0</v>
      </c>
      <c r="BQ142">
        <f t="shared" si="4"/>
        <v>0</v>
      </c>
      <c r="BR142">
        <f t="shared" si="4"/>
        <v>0</v>
      </c>
      <c r="BS142">
        <f t="shared" si="4"/>
        <v>0</v>
      </c>
      <c r="BT142">
        <f t="shared" si="4"/>
        <v>0</v>
      </c>
      <c r="BU142">
        <f t="shared" si="4"/>
        <v>0</v>
      </c>
      <c r="BV142">
        <f t="shared" si="4"/>
        <v>0</v>
      </c>
      <c r="BW142">
        <f t="shared" si="4"/>
        <v>0</v>
      </c>
      <c r="BX142">
        <f t="shared" si="4"/>
        <v>0</v>
      </c>
      <c r="BY142">
        <f t="shared" si="4"/>
        <v>0</v>
      </c>
      <c r="BZ142">
        <f t="shared" si="4"/>
        <v>0</v>
      </c>
      <c r="CA142">
        <f t="shared" si="4"/>
        <v>0</v>
      </c>
      <c r="CB142">
        <f t="shared" ref="CB142:DL142" si="5">SUM(CB139:CB141)</f>
        <v>0</v>
      </c>
      <c r="CC142">
        <f t="shared" si="5"/>
        <v>0</v>
      </c>
      <c r="CD142">
        <f t="shared" si="5"/>
        <v>0</v>
      </c>
      <c r="CE142">
        <f t="shared" si="5"/>
        <v>0</v>
      </c>
      <c r="CF142">
        <f t="shared" si="5"/>
        <v>0</v>
      </c>
      <c r="CG142">
        <f t="shared" si="5"/>
        <v>0</v>
      </c>
      <c r="CH142">
        <f t="shared" si="5"/>
        <v>0</v>
      </c>
      <c r="CI142">
        <f t="shared" si="5"/>
        <v>0</v>
      </c>
      <c r="CJ142">
        <f t="shared" si="5"/>
        <v>0</v>
      </c>
      <c r="CK142">
        <f t="shared" si="5"/>
        <v>0</v>
      </c>
      <c r="CL142">
        <f t="shared" si="5"/>
        <v>0</v>
      </c>
      <c r="CM142">
        <f t="shared" si="5"/>
        <v>0</v>
      </c>
      <c r="CN142">
        <f t="shared" si="5"/>
        <v>0</v>
      </c>
      <c r="CO142">
        <f t="shared" si="5"/>
        <v>0</v>
      </c>
      <c r="CP142">
        <f t="shared" si="5"/>
        <v>0</v>
      </c>
      <c r="CQ142">
        <f t="shared" si="5"/>
        <v>0</v>
      </c>
      <c r="CR142">
        <f t="shared" si="5"/>
        <v>135</v>
      </c>
      <c r="CS142">
        <f t="shared" si="5"/>
        <v>0</v>
      </c>
      <c r="CT142">
        <f t="shared" si="5"/>
        <v>0</v>
      </c>
      <c r="CU142">
        <f t="shared" si="5"/>
        <v>0</v>
      </c>
      <c r="CV142">
        <f t="shared" si="5"/>
        <v>0</v>
      </c>
      <c r="CW142">
        <f t="shared" si="5"/>
        <v>0</v>
      </c>
      <c r="CX142">
        <f t="shared" si="5"/>
        <v>0</v>
      </c>
      <c r="CY142">
        <f t="shared" si="5"/>
        <v>0</v>
      </c>
      <c r="CZ142">
        <f t="shared" si="5"/>
        <v>0</v>
      </c>
      <c r="DA142">
        <f t="shared" si="5"/>
        <v>0</v>
      </c>
      <c r="DB142">
        <f t="shared" si="5"/>
        <v>135</v>
      </c>
      <c r="DC142">
        <f t="shared" si="5"/>
        <v>0</v>
      </c>
      <c r="DD142">
        <f t="shared" si="5"/>
        <v>0</v>
      </c>
      <c r="DE142">
        <f t="shared" si="5"/>
        <v>0</v>
      </c>
      <c r="DF142">
        <f t="shared" si="5"/>
        <v>0</v>
      </c>
      <c r="DG142">
        <f t="shared" si="5"/>
        <v>0</v>
      </c>
      <c r="DH142">
        <f t="shared" si="5"/>
        <v>0</v>
      </c>
      <c r="DI142">
        <f t="shared" si="5"/>
        <v>0</v>
      </c>
      <c r="DJ142">
        <f t="shared" si="5"/>
        <v>0</v>
      </c>
      <c r="DK142">
        <f t="shared" si="5"/>
        <v>0</v>
      </c>
      <c r="DL142">
        <f t="shared" si="5"/>
        <v>135</v>
      </c>
      <c r="DM142">
        <f>SUM(DM139:DM141)</f>
        <v>0</v>
      </c>
      <c r="DN142">
        <f t="shared" ref="DN142:FY142" si="6">SUM(DN139:DN141)</f>
        <v>0</v>
      </c>
      <c r="DO142">
        <f t="shared" si="6"/>
        <v>0</v>
      </c>
      <c r="DP142">
        <f t="shared" si="6"/>
        <v>0</v>
      </c>
      <c r="DQ142">
        <f t="shared" si="6"/>
        <v>0</v>
      </c>
      <c r="DR142">
        <f t="shared" si="6"/>
        <v>0</v>
      </c>
      <c r="DS142">
        <f t="shared" si="6"/>
        <v>0</v>
      </c>
      <c r="DT142">
        <f t="shared" si="6"/>
        <v>0</v>
      </c>
      <c r="DU142">
        <f t="shared" si="6"/>
        <v>0</v>
      </c>
      <c r="DV142">
        <f t="shared" si="6"/>
        <v>0</v>
      </c>
      <c r="DW142">
        <f t="shared" si="6"/>
        <v>0</v>
      </c>
      <c r="DX142">
        <f t="shared" si="6"/>
        <v>0</v>
      </c>
      <c r="DY142">
        <f t="shared" si="6"/>
        <v>0</v>
      </c>
      <c r="DZ142">
        <f t="shared" si="6"/>
        <v>0</v>
      </c>
      <c r="EA142">
        <f t="shared" si="6"/>
        <v>0</v>
      </c>
      <c r="EB142">
        <f t="shared" si="6"/>
        <v>0</v>
      </c>
      <c r="EC142">
        <f t="shared" si="6"/>
        <v>0</v>
      </c>
      <c r="ED142">
        <f t="shared" si="6"/>
        <v>0</v>
      </c>
      <c r="EE142">
        <f t="shared" si="6"/>
        <v>0</v>
      </c>
      <c r="EF142">
        <f t="shared" si="6"/>
        <v>0</v>
      </c>
      <c r="EG142">
        <f t="shared" si="6"/>
        <v>0</v>
      </c>
      <c r="EH142">
        <f t="shared" si="6"/>
        <v>0</v>
      </c>
      <c r="EI142">
        <f t="shared" si="6"/>
        <v>0</v>
      </c>
      <c r="EJ142">
        <f t="shared" si="6"/>
        <v>0</v>
      </c>
      <c r="EK142">
        <f t="shared" si="6"/>
        <v>0</v>
      </c>
      <c r="EL142">
        <f t="shared" si="6"/>
        <v>0</v>
      </c>
      <c r="EM142">
        <f t="shared" si="6"/>
        <v>0</v>
      </c>
      <c r="EN142">
        <f t="shared" si="6"/>
        <v>0</v>
      </c>
      <c r="EO142">
        <f t="shared" si="6"/>
        <v>135</v>
      </c>
      <c r="EP142">
        <f t="shared" si="6"/>
        <v>0</v>
      </c>
      <c r="EQ142">
        <f t="shared" si="6"/>
        <v>0</v>
      </c>
      <c r="ER142">
        <f t="shared" si="6"/>
        <v>0</v>
      </c>
      <c r="ES142">
        <f t="shared" si="6"/>
        <v>0</v>
      </c>
      <c r="ET142">
        <f t="shared" si="6"/>
        <v>0</v>
      </c>
      <c r="EU142">
        <f t="shared" si="6"/>
        <v>0</v>
      </c>
      <c r="EV142">
        <f t="shared" si="6"/>
        <v>0</v>
      </c>
      <c r="EW142">
        <f t="shared" si="6"/>
        <v>0</v>
      </c>
      <c r="EX142">
        <f t="shared" si="6"/>
        <v>0</v>
      </c>
      <c r="EY142">
        <f t="shared" si="6"/>
        <v>0</v>
      </c>
      <c r="EZ142">
        <f t="shared" si="6"/>
        <v>0</v>
      </c>
      <c r="FA142">
        <f t="shared" si="6"/>
        <v>0</v>
      </c>
      <c r="FB142">
        <f t="shared" si="6"/>
        <v>0</v>
      </c>
      <c r="FC142">
        <f t="shared" si="6"/>
        <v>0</v>
      </c>
      <c r="FD142">
        <f t="shared" si="6"/>
        <v>0</v>
      </c>
      <c r="FE142">
        <f t="shared" si="6"/>
        <v>0</v>
      </c>
      <c r="FF142">
        <f t="shared" si="6"/>
        <v>0</v>
      </c>
      <c r="FG142">
        <f t="shared" si="6"/>
        <v>0</v>
      </c>
      <c r="FH142">
        <f t="shared" si="6"/>
        <v>0</v>
      </c>
      <c r="FI142">
        <f t="shared" si="6"/>
        <v>0</v>
      </c>
      <c r="FJ142">
        <f t="shared" si="6"/>
        <v>0</v>
      </c>
      <c r="FK142">
        <f t="shared" si="6"/>
        <v>0</v>
      </c>
      <c r="FL142">
        <f t="shared" si="6"/>
        <v>0</v>
      </c>
      <c r="FM142">
        <f t="shared" si="6"/>
        <v>0</v>
      </c>
      <c r="FN142">
        <f t="shared" si="6"/>
        <v>0</v>
      </c>
      <c r="FO142">
        <f t="shared" si="6"/>
        <v>135</v>
      </c>
      <c r="FP142">
        <f t="shared" si="6"/>
        <v>67</v>
      </c>
      <c r="FQ142">
        <f t="shared" si="6"/>
        <v>133</v>
      </c>
      <c r="FR142">
        <f t="shared" si="6"/>
        <v>98</v>
      </c>
      <c r="FS142">
        <f t="shared" si="6"/>
        <v>133</v>
      </c>
      <c r="FT142">
        <f t="shared" si="6"/>
        <v>133</v>
      </c>
      <c r="FU142">
        <f t="shared" si="6"/>
        <v>133</v>
      </c>
      <c r="FV142">
        <f t="shared" si="6"/>
        <v>133</v>
      </c>
      <c r="FW142">
        <f t="shared" si="6"/>
        <v>133</v>
      </c>
      <c r="FX142">
        <f t="shared" si="6"/>
        <v>133</v>
      </c>
      <c r="FY142">
        <f t="shared" si="6"/>
        <v>133</v>
      </c>
      <c r="FZ142">
        <f t="shared" ref="FZ142:GZ142" si="7">SUM(FZ139:FZ141)</f>
        <v>133</v>
      </c>
      <c r="GA142">
        <f t="shared" si="7"/>
        <v>135</v>
      </c>
      <c r="GB142">
        <f t="shared" si="7"/>
        <v>134</v>
      </c>
      <c r="GC142">
        <f t="shared" si="7"/>
        <v>135</v>
      </c>
      <c r="GD142">
        <f t="shared" si="7"/>
        <v>135</v>
      </c>
      <c r="GE142">
        <f t="shared" si="7"/>
        <v>135</v>
      </c>
      <c r="GF142">
        <f t="shared" si="7"/>
        <v>135</v>
      </c>
      <c r="GG142">
        <f t="shared" si="7"/>
        <v>135</v>
      </c>
      <c r="GH142">
        <f t="shared" si="7"/>
        <v>135</v>
      </c>
      <c r="GI142">
        <f t="shared" si="7"/>
        <v>135</v>
      </c>
      <c r="GJ142">
        <f t="shared" si="7"/>
        <v>135</v>
      </c>
      <c r="GK142">
        <f t="shared" si="7"/>
        <v>135</v>
      </c>
      <c r="GL142">
        <f t="shared" si="7"/>
        <v>135</v>
      </c>
      <c r="GM142">
        <f t="shared" si="7"/>
        <v>135</v>
      </c>
      <c r="GN142">
        <f t="shared" si="7"/>
        <v>135</v>
      </c>
      <c r="GO142">
        <f t="shared" si="7"/>
        <v>135</v>
      </c>
      <c r="GP142">
        <f t="shared" si="7"/>
        <v>135</v>
      </c>
      <c r="GQ142">
        <f t="shared" si="7"/>
        <v>135</v>
      </c>
      <c r="GR142">
        <f t="shared" si="7"/>
        <v>135</v>
      </c>
      <c r="GS142">
        <f t="shared" si="7"/>
        <v>135</v>
      </c>
      <c r="GT142">
        <f t="shared" si="7"/>
        <v>135</v>
      </c>
      <c r="GU142">
        <f t="shared" si="7"/>
        <v>135</v>
      </c>
      <c r="GV142">
        <f t="shared" si="7"/>
        <v>135</v>
      </c>
      <c r="GW142">
        <f t="shared" si="7"/>
        <v>6</v>
      </c>
      <c r="GX142">
        <f t="shared" si="7"/>
        <v>11</v>
      </c>
      <c r="GY142">
        <f t="shared" si="7"/>
        <v>4</v>
      </c>
      <c r="GZ142">
        <f t="shared" si="7"/>
        <v>135</v>
      </c>
      <c r="HA142">
        <f>SUM(HA138,HA141)</f>
        <v>135</v>
      </c>
      <c r="HB142">
        <f>SUM(HB138,HB141)</f>
        <v>135</v>
      </c>
    </row>
    <row r="143" spans="1:214" ht="14.65" thickTop="1" x14ac:dyDescent="0.45">
      <c r="P143" s="7"/>
    </row>
  </sheetData>
  <sheetProtection formatCells="0" formatColumns="0" formatRows="0" insertColumns="0" insertRows="0" insertHyperlinks="0" deleteColumns="0" deleteRows="0" sort="0" autoFilter="0" pivotTables="0"/>
  <conditionalFormatting sqref="L2:L137">
    <cfRule type="duplicateValues" dxfId="95" priority="10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20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20">
        <v>7</v>
      </c>
      <c r="D14" s="14">
        <v>22</v>
      </c>
    </row>
    <row r="15" spans="1:4" x14ac:dyDescent="0.45">
      <c r="A15" s="17" t="s">
        <v>2283</v>
      </c>
      <c r="B15" s="19">
        <v>15</v>
      </c>
      <c r="C15" s="21">
        <v>7</v>
      </c>
      <c r="D15" s="18">
        <v>22</v>
      </c>
    </row>
    <row r="16" spans="1:4" x14ac:dyDescent="0.45">
      <c r="A16" s="17" t="s">
        <v>2284</v>
      </c>
      <c r="B16" s="19">
        <v>13</v>
      </c>
      <c r="C16" s="21">
        <v>6</v>
      </c>
      <c r="D16" s="18">
        <v>19</v>
      </c>
    </row>
    <row r="17" spans="1:4" x14ac:dyDescent="0.45">
      <c r="A17" s="17" t="s">
        <v>2285</v>
      </c>
      <c r="B17" s="19">
        <v>10</v>
      </c>
      <c r="C17" s="21">
        <v>5</v>
      </c>
      <c r="D17" s="18">
        <v>15</v>
      </c>
    </row>
    <row r="18" spans="1:4" x14ac:dyDescent="0.45">
      <c r="A18" s="17" t="s">
        <v>2286</v>
      </c>
      <c r="B18" s="19">
        <v>8</v>
      </c>
      <c r="C18" s="21">
        <v>5</v>
      </c>
      <c r="D18" s="18">
        <v>13</v>
      </c>
    </row>
    <row r="19" spans="1:4" x14ac:dyDescent="0.45">
      <c r="A19" s="17" t="s">
        <v>2289</v>
      </c>
      <c r="B19" s="19">
        <v>8</v>
      </c>
      <c r="C19" s="21">
        <v>5</v>
      </c>
      <c r="D19" s="18">
        <v>13</v>
      </c>
    </row>
    <row r="20" spans="1:4" x14ac:dyDescent="0.45">
      <c r="A20" s="17" t="s">
        <v>2290</v>
      </c>
      <c r="B20" s="19">
        <v>5</v>
      </c>
      <c r="C20" s="21">
        <v>4</v>
      </c>
      <c r="D20" s="18">
        <v>9</v>
      </c>
    </row>
    <row r="21" spans="1:4" x14ac:dyDescent="0.45">
      <c r="A21" s="22" t="s">
        <v>2291</v>
      </c>
      <c r="B21" s="23">
        <v>7</v>
      </c>
      <c r="C21" s="24">
        <v>5</v>
      </c>
      <c r="D21" s="2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65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99</v>
      </c>
      <c r="B3">
        <f>_xlfn.IFNA(VLOOKUP(Analiza[[#This Row],[Zakończono wypełnianie]],Zakończone[],2,0),"BRAK")</f>
        <v>61</v>
      </c>
      <c r="C3">
        <f t="shared" ref="C3:C34" si="0">COUNTA(O3:HF3)</f>
        <v>31</v>
      </c>
      <c r="D3" t="s">
        <v>984</v>
      </c>
      <c r="E3" t="s">
        <v>118</v>
      </c>
      <c r="F3" t="s">
        <v>774</v>
      </c>
      <c r="J3" t="s">
        <v>119</v>
      </c>
      <c r="K3" t="s">
        <v>985</v>
      </c>
      <c r="L3" t="s">
        <v>986</v>
      </c>
      <c r="M3">
        <v>1348</v>
      </c>
      <c r="N3">
        <v>0</v>
      </c>
      <c r="O3" t="s">
        <v>122</v>
      </c>
      <c r="P3" s="1" t="s">
        <v>123</v>
      </c>
      <c r="AF3" s="1" t="s">
        <v>124</v>
      </c>
      <c r="AG3" t="s">
        <v>987</v>
      </c>
      <c r="AH3">
        <v>2015</v>
      </c>
      <c r="AI3" t="s">
        <v>148</v>
      </c>
      <c r="AJ3" t="s">
        <v>988</v>
      </c>
      <c r="AK3" t="s">
        <v>169</v>
      </c>
      <c r="AL3" t="s">
        <v>150</v>
      </c>
      <c r="AM3" t="s">
        <v>151</v>
      </c>
      <c r="AN3" t="s">
        <v>151</v>
      </c>
      <c r="AO3" t="s">
        <v>151</v>
      </c>
      <c r="AP3" t="s">
        <v>883</v>
      </c>
      <c r="AQ3" t="s">
        <v>131</v>
      </c>
      <c r="AR3" t="s">
        <v>302</v>
      </c>
      <c r="AT3" t="s">
        <v>989</v>
      </c>
      <c r="AU3" t="s">
        <v>990</v>
      </c>
      <c r="AV3" t="s">
        <v>157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786</v>
      </c>
      <c r="GX3" t="s">
        <v>991</v>
      </c>
      <c r="GY3" t="s">
        <v>820</v>
      </c>
      <c r="GZ3" t="s">
        <v>140</v>
      </c>
      <c r="HA3">
        <v>1991</v>
      </c>
      <c r="HB3" t="s">
        <v>220</v>
      </c>
    </row>
    <row r="4" spans="1:214" x14ac:dyDescent="0.45">
      <c r="A4">
        <v>191</v>
      </c>
      <c r="B4">
        <f>_xlfn.IFNA(VLOOKUP(Analiza[[#This Row],[Zakończono wypełnianie]],Zakończone[],2,0),"BRAK")</f>
        <v>109</v>
      </c>
      <c r="C4">
        <f t="shared" si="0"/>
        <v>32</v>
      </c>
      <c r="D4" t="s">
        <v>1618</v>
      </c>
      <c r="E4" t="s">
        <v>118</v>
      </c>
      <c r="J4" t="s">
        <v>119</v>
      </c>
      <c r="K4" t="s">
        <v>1619</v>
      </c>
      <c r="L4" t="s">
        <v>1620</v>
      </c>
      <c r="M4">
        <v>1891</v>
      </c>
      <c r="N4">
        <v>0</v>
      </c>
      <c r="O4" t="s">
        <v>122</v>
      </c>
      <c r="P4" s="1" t="s">
        <v>123</v>
      </c>
      <c r="AF4" s="1" t="s">
        <v>124</v>
      </c>
      <c r="AG4" t="s">
        <v>1503</v>
      </c>
      <c r="AH4">
        <v>2000</v>
      </c>
      <c r="AI4" t="s">
        <v>148</v>
      </c>
      <c r="AJ4" t="s">
        <v>1622</v>
      </c>
      <c r="AK4" t="s">
        <v>150</v>
      </c>
      <c r="AL4" t="s">
        <v>150</v>
      </c>
      <c r="AM4" t="s">
        <v>150</v>
      </c>
      <c r="AN4" t="s">
        <v>236</v>
      </c>
      <c r="AO4" t="s">
        <v>162</v>
      </c>
      <c r="AP4" t="s">
        <v>1623</v>
      </c>
      <c r="AQ4" t="s">
        <v>132</v>
      </c>
      <c r="AR4" t="s">
        <v>302</v>
      </c>
      <c r="AS4" t="s">
        <v>1624</v>
      </c>
      <c r="AT4" t="s">
        <v>1625</v>
      </c>
      <c r="AU4" t="s">
        <v>1626</v>
      </c>
      <c r="AV4" t="s">
        <v>172</v>
      </c>
      <c r="AX4" s="1" t="s">
        <v>123</v>
      </c>
      <c r="CR4" s="1" t="s">
        <v>123</v>
      </c>
      <c r="DB4" s="1" t="s">
        <v>123</v>
      </c>
      <c r="DL4" s="1" t="s">
        <v>123</v>
      </c>
      <c r="EO4" s="1" t="s">
        <v>123</v>
      </c>
      <c r="FO4" s="1" t="s">
        <v>123</v>
      </c>
      <c r="GW4" t="s">
        <v>1627</v>
      </c>
      <c r="GX4" t="s">
        <v>1628</v>
      </c>
      <c r="GY4" t="s">
        <v>1629</v>
      </c>
      <c r="GZ4" t="s">
        <v>186</v>
      </c>
      <c r="HA4">
        <v>72</v>
      </c>
      <c r="HB4" t="s">
        <v>1630</v>
      </c>
      <c r="HE4" t="s">
        <v>1631</v>
      </c>
    </row>
    <row r="5" spans="1:214" x14ac:dyDescent="0.45">
      <c r="A5">
        <v>178</v>
      </c>
      <c r="B5">
        <f>_xlfn.IFNA(VLOOKUP(Analiza[[#This Row],[Zakończono wypełnianie]],Zakończone[],2,0),"BRAK")</f>
        <v>100</v>
      </c>
      <c r="C5">
        <f t="shared" si="0"/>
        <v>31</v>
      </c>
      <c r="D5" t="s">
        <v>1131</v>
      </c>
      <c r="E5" t="s">
        <v>118</v>
      </c>
      <c r="J5" t="s">
        <v>119</v>
      </c>
      <c r="K5" t="s">
        <v>1501</v>
      </c>
      <c r="L5" t="s">
        <v>1502</v>
      </c>
      <c r="M5">
        <v>1485</v>
      </c>
      <c r="N5">
        <v>0</v>
      </c>
      <c r="O5" t="s">
        <v>122</v>
      </c>
      <c r="P5" s="1" t="s">
        <v>123</v>
      </c>
      <c r="AF5" s="1" t="s">
        <v>124</v>
      </c>
      <c r="AG5" t="s">
        <v>1503</v>
      </c>
      <c r="AH5">
        <v>2016</v>
      </c>
      <c r="AI5" t="s">
        <v>148</v>
      </c>
      <c r="AJ5" t="s">
        <v>1504</v>
      </c>
      <c r="AK5" t="s">
        <v>150</v>
      </c>
      <c r="AL5" t="s">
        <v>151</v>
      </c>
      <c r="AM5" t="s">
        <v>162</v>
      </c>
      <c r="AN5" t="s">
        <v>150</v>
      </c>
      <c r="AO5" t="s">
        <v>169</v>
      </c>
      <c r="AP5">
        <v>4</v>
      </c>
      <c r="AQ5" t="s">
        <v>302</v>
      </c>
      <c r="AR5" t="s">
        <v>153</v>
      </c>
      <c r="AS5" t="s">
        <v>1505</v>
      </c>
      <c r="AT5" t="s">
        <v>1506</v>
      </c>
      <c r="AU5" t="s">
        <v>1507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GW5" t="s">
        <v>1508</v>
      </c>
      <c r="GX5" t="s">
        <v>1509</v>
      </c>
      <c r="GY5" t="s">
        <v>1510</v>
      </c>
      <c r="GZ5" t="s">
        <v>186</v>
      </c>
      <c r="HA5">
        <v>1991</v>
      </c>
      <c r="HB5" t="s">
        <v>398</v>
      </c>
    </row>
    <row r="6" spans="1:214" x14ac:dyDescent="0.45">
      <c r="A6">
        <v>185</v>
      </c>
      <c r="B6" t="str">
        <f>_xlfn.IFNA(VLOOKUP(Analiza[[#This Row],[Zakończono wypełnianie]],Zakończone[],2,0),"BRAK")</f>
        <v>BRAK</v>
      </c>
      <c r="C6">
        <f t="shared" si="0"/>
        <v>24</v>
      </c>
      <c r="D6" t="s">
        <v>1142</v>
      </c>
      <c r="E6" t="s">
        <v>118</v>
      </c>
      <c r="J6" t="s">
        <v>286</v>
      </c>
      <c r="K6" t="s">
        <v>1567</v>
      </c>
      <c r="L6" t="s">
        <v>1567</v>
      </c>
      <c r="M6">
        <v>0</v>
      </c>
      <c r="N6">
        <v>0</v>
      </c>
      <c r="O6" t="s">
        <v>122</v>
      </c>
      <c r="P6" s="1" t="s">
        <v>123</v>
      </c>
      <c r="AF6" s="1" t="s">
        <v>124</v>
      </c>
      <c r="AG6" t="s">
        <v>1503</v>
      </c>
      <c r="AH6">
        <v>2010</v>
      </c>
      <c r="AI6" t="s">
        <v>126</v>
      </c>
      <c r="AJ6" t="s">
        <v>1568</v>
      </c>
      <c r="AK6" t="s">
        <v>128</v>
      </c>
      <c r="AL6" t="s">
        <v>151</v>
      </c>
      <c r="AM6" t="s">
        <v>151</v>
      </c>
      <c r="AN6" t="s">
        <v>128</v>
      </c>
      <c r="AO6" t="s">
        <v>151</v>
      </c>
      <c r="AP6" t="s">
        <v>1569</v>
      </c>
      <c r="AQ6" t="s">
        <v>131</v>
      </c>
      <c r="AR6" t="s">
        <v>302</v>
      </c>
      <c r="AT6" t="s">
        <v>1570</v>
      </c>
      <c r="AU6" t="s">
        <v>532</v>
      </c>
      <c r="AW6" t="s">
        <v>1571</v>
      </c>
      <c r="AX6" s="1" t="s">
        <v>123</v>
      </c>
      <c r="CR6" s="1" t="s">
        <v>123</v>
      </c>
      <c r="DB6" s="1" t="s">
        <v>123</v>
      </c>
      <c r="DL6" s="1" t="s">
        <v>123</v>
      </c>
      <c r="EO6" s="1" t="s">
        <v>123</v>
      </c>
      <c r="FO6" s="1" t="s">
        <v>123</v>
      </c>
    </row>
    <row r="7" spans="1:214" x14ac:dyDescent="0.45">
      <c r="A7">
        <v>4</v>
      </c>
      <c r="B7">
        <f>_xlfn.IFNA(VLOOKUP(Analiza[[#This Row],[Zakończono wypełnianie]],Zakończone[],2,0),"BRAK")</f>
        <v>4</v>
      </c>
      <c r="C7">
        <f t="shared" si="0"/>
        <v>44</v>
      </c>
      <c r="D7" t="s">
        <v>202</v>
      </c>
      <c r="E7" t="s">
        <v>118</v>
      </c>
      <c r="J7" t="s">
        <v>119</v>
      </c>
      <c r="K7" t="s">
        <v>203</v>
      </c>
      <c r="L7" t="s">
        <v>204</v>
      </c>
      <c r="M7">
        <v>3161</v>
      </c>
      <c r="N7">
        <v>0</v>
      </c>
      <c r="O7" t="s">
        <v>122</v>
      </c>
      <c r="P7" s="1" t="s">
        <v>123</v>
      </c>
      <c r="AF7" s="1" t="s">
        <v>124</v>
      </c>
      <c r="AG7" t="s">
        <v>234</v>
      </c>
      <c r="AH7">
        <v>1986</v>
      </c>
      <c r="AI7" t="s">
        <v>148</v>
      </c>
      <c r="AJ7" t="s">
        <v>207</v>
      </c>
      <c r="AK7" t="s">
        <v>150</v>
      </c>
      <c r="AL7" t="s">
        <v>150</v>
      </c>
      <c r="AM7" t="s">
        <v>162</v>
      </c>
      <c r="AN7" t="s">
        <v>162</v>
      </c>
      <c r="AO7" t="s">
        <v>162</v>
      </c>
      <c r="AP7" t="s">
        <v>208</v>
      </c>
      <c r="AQ7" t="s">
        <v>209</v>
      </c>
      <c r="AR7" t="s">
        <v>209</v>
      </c>
      <c r="AS7" t="s">
        <v>210</v>
      </c>
      <c r="AT7" t="s">
        <v>211</v>
      </c>
      <c r="AU7" t="s">
        <v>212</v>
      </c>
      <c r="AV7" t="s">
        <v>157</v>
      </c>
      <c r="AW7" t="s">
        <v>213</v>
      </c>
      <c r="AX7" s="1" t="s">
        <v>123</v>
      </c>
      <c r="CR7" s="1" t="s">
        <v>123</v>
      </c>
      <c r="DB7" s="1" t="s">
        <v>214</v>
      </c>
      <c r="DC7" t="s">
        <v>205</v>
      </c>
      <c r="DD7" t="s">
        <v>215</v>
      </c>
      <c r="DE7" t="s">
        <v>150</v>
      </c>
      <c r="DF7" t="s">
        <v>169</v>
      </c>
      <c r="DG7" t="s">
        <v>169</v>
      </c>
      <c r="DH7" t="s">
        <v>150</v>
      </c>
      <c r="DI7" t="s">
        <v>151</v>
      </c>
      <c r="DJ7" t="s">
        <v>151</v>
      </c>
      <c r="DK7" t="s">
        <v>216</v>
      </c>
      <c r="DL7" s="1" t="s">
        <v>123</v>
      </c>
      <c r="EO7" s="1" t="s">
        <v>123</v>
      </c>
      <c r="EP7" t="s">
        <v>178</v>
      </c>
      <c r="EQ7" t="s">
        <v>132</v>
      </c>
      <c r="FO7" s="1" t="s">
        <v>123</v>
      </c>
      <c r="FP7" t="s">
        <v>132</v>
      </c>
      <c r="GW7" t="s">
        <v>217</v>
      </c>
      <c r="GX7" t="s">
        <v>218</v>
      </c>
      <c r="GY7" t="s">
        <v>219</v>
      </c>
      <c r="GZ7" t="s">
        <v>140</v>
      </c>
      <c r="HA7">
        <v>1961</v>
      </c>
      <c r="HB7" t="s">
        <v>220</v>
      </c>
    </row>
    <row r="8" spans="1:214" x14ac:dyDescent="0.45">
      <c r="A8">
        <v>130</v>
      </c>
      <c r="B8">
        <f>_xlfn.IFNA(VLOOKUP(Analiza[[#This Row],[Zakończono wypełnianie]],Zakończone[],2,0),"BRAK")</f>
        <v>79</v>
      </c>
      <c r="C8">
        <f t="shared" si="0"/>
        <v>81</v>
      </c>
      <c r="D8" t="s">
        <v>1224</v>
      </c>
      <c r="E8" t="s">
        <v>118</v>
      </c>
      <c r="F8" t="s">
        <v>797</v>
      </c>
      <c r="J8" t="s">
        <v>119</v>
      </c>
      <c r="K8" t="s">
        <v>1225</v>
      </c>
      <c r="L8" t="s">
        <v>1226</v>
      </c>
      <c r="M8">
        <v>4209</v>
      </c>
      <c r="N8">
        <v>0</v>
      </c>
      <c r="O8" t="s">
        <v>122</v>
      </c>
      <c r="P8" s="1" t="s">
        <v>123</v>
      </c>
      <c r="AF8" s="1" t="s">
        <v>124</v>
      </c>
      <c r="AG8" t="s">
        <v>2269</v>
      </c>
      <c r="AH8">
        <v>1985</v>
      </c>
      <c r="AI8" t="s">
        <v>148</v>
      </c>
      <c r="AJ8" t="s">
        <v>391</v>
      </c>
      <c r="AK8" t="s">
        <v>150</v>
      </c>
      <c r="AL8" t="s">
        <v>150</v>
      </c>
      <c r="AM8" t="s">
        <v>169</v>
      </c>
      <c r="AN8" t="s">
        <v>236</v>
      </c>
      <c r="AO8" t="s">
        <v>236</v>
      </c>
      <c r="AP8">
        <v>0</v>
      </c>
      <c r="AQ8" t="s">
        <v>152</v>
      </c>
      <c r="AR8" t="s">
        <v>152</v>
      </c>
      <c r="AS8" t="s">
        <v>1228</v>
      </c>
      <c r="AT8" t="s">
        <v>1229</v>
      </c>
      <c r="AU8" t="s">
        <v>1229</v>
      </c>
      <c r="AV8" t="s">
        <v>157</v>
      </c>
      <c r="AX8" s="1" t="s">
        <v>159</v>
      </c>
      <c r="AY8">
        <v>2</v>
      </c>
      <c r="AZ8" t="s">
        <v>1230</v>
      </c>
      <c r="BA8">
        <v>2005</v>
      </c>
      <c r="BB8" t="s">
        <v>148</v>
      </c>
      <c r="BC8" t="s">
        <v>1231</v>
      </c>
      <c r="BD8" t="s">
        <v>169</v>
      </c>
      <c r="BE8" t="s">
        <v>169</v>
      </c>
      <c r="BF8" t="s">
        <v>169</v>
      </c>
      <c r="BG8" t="s">
        <v>236</v>
      </c>
      <c r="BH8" t="s">
        <v>236</v>
      </c>
      <c r="BI8">
        <v>0</v>
      </c>
      <c r="BJ8" t="s">
        <v>1232</v>
      </c>
      <c r="BK8" t="s">
        <v>157</v>
      </c>
      <c r="BN8" t="s">
        <v>166</v>
      </c>
      <c r="BO8" t="s">
        <v>1233</v>
      </c>
      <c r="BP8">
        <v>2008</v>
      </c>
      <c r="BQ8" t="s">
        <v>148</v>
      </c>
      <c r="BR8" t="s">
        <v>1234</v>
      </c>
      <c r="BS8" t="s">
        <v>169</v>
      </c>
      <c r="BT8" t="s">
        <v>169</v>
      </c>
      <c r="BU8" t="s">
        <v>169</v>
      </c>
      <c r="BV8" t="s">
        <v>128</v>
      </c>
      <c r="BW8" t="s">
        <v>162</v>
      </c>
      <c r="BX8" t="s">
        <v>1235</v>
      </c>
      <c r="BY8" t="s">
        <v>1236</v>
      </c>
      <c r="BZ8" t="s">
        <v>157</v>
      </c>
      <c r="CC8" t="s">
        <v>173</v>
      </c>
      <c r="CR8" s="1" t="s">
        <v>123</v>
      </c>
      <c r="DB8" s="1" t="s">
        <v>123</v>
      </c>
      <c r="DL8" s="1" t="s">
        <v>174</v>
      </c>
      <c r="DM8" t="s">
        <v>394</v>
      </c>
      <c r="DQ8" t="s">
        <v>1230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169</v>
      </c>
      <c r="DX8" t="s">
        <v>150</v>
      </c>
      <c r="DY8">
        <v>20</v>
      </c>
      <c r="DZ8">
        <v>5</v>
      </c>
      <c r="EA8">
        <v>0</v>
      </c>
      <c r="EB8">
        <v>30</v>
      </c>
      <c r="EC8">
        <v>25</v>
      </c>
      <c r="ED8">
        <v>10</v>
      </c>
      <c r="EE8">
        <v>10</v>
      </c>
      <c r="EG8">
        <v>10</v>
      </c>
      <c r="EH8">
        <v>5</v>
      </c>
      <c r="EI8">
        <v>0</v>
      </c>
      <c r="EJ8">
        <v>25</v>
      </c>
      <c r="EK8">
        <v>25</v>
      </c>
      <c r="EL8">
        <v>5</v>
      </c>
      <c r="EM8">
        <v>30</v>
      </c>
      <c r="EO8" s="1" t="s">
        <v>123</v>
      </c>
      <c r="FO8" s="1" t="s">
        <v>123</v>
      </c>
      <c r="GW8" t="s">
        <v>1237</v>
      </c>
      <c r="GX8" t="s">
        <v>1229</v>
      </c>
      <c r="GY8" t="s">
        <v>1229</v>
      </c>
      <c r="GZ8" t="s">
        <v>140</v>
      </c>
      <c r="HA8">
        <v>1958</v>
      </c>
      <c r="HB8" t="s">
        <v>141</v>
      </c>
    </row>
    <row r="9" spans="1:214" x14ac:dyDescent="0.45">
      <c r="A9">
        <v>258</v>
      </c>
      <c r="B9">
        <f>_xlfn.IFNA(VLOOKUP(Analiza[[#This Row],[Zakończono wypełnianie]],Zakończone[],2,0),"BRAK")</f>
        <v>135</v>
      </c>
      <c r="C9">
        <f t="shared" si="0"/>
        <v>55</v>
      </c>
      <c r="D9" t="s">
        <v>2014</v>
      </c>
      <c r="E9" t="s">
        <v>118</v>
      </c>
      <c r="J9" t="s">
        <v>119</v>
      </c>
      <c r="K9" t="s">
        <v>2028</v>
      </c>
      <c r="L9" t="s">
        <v>2029</v>
      </c>
      <c r="M9">
        <v>721</v>
      </c>
      <c r="N9">
        <v>0</v>
      </c>
      <c r="O9" t="s">
        <v>122</v>
      </c>
      <c r="P9" s="1" t="s">
        <v>123</v>
      </c>
      <c r="AF9" s="1" t="s">
        <v>124</v>
      </c>
      <c r="AG9" t="s">
        <v>234</v>
      </c>
      <c r="AH9">
        <v>1985</v>
      </c>
      <c r="AI9" t="s">
        <v>148</v>
      </c>
      <c r="AJ9" t="s">
        <v>2030</v>
      </c>
      <c r="AK9" t="s">
        <v>169</v>
      </c>
      <c r="AL9" t="s">
        <v>169</v>
      </c>
      <c r="AM9" t="s">
        <v>150</v>
      </c>
      <c r="AN9" t="s">
        <v>128</v>
      </c>
      <c r="AO9" t="s">
        <v>128</v>
      </c>
      <c r="AP9">
        <v>4</v>
      </c>
      <c r="AQ9" t="s">
        <v>131</v>
      </c>
      <c r="AR9" t="s">
        <v>131</v>
      </c>
      <c r="AS9" t="s">
        <v>2031</v>
      </c>
      <c r="AT9" t="s">
        <v>1229</v>
      </c>
      <c r="AU9" t="s">
        <v>1229</v>
      </c>
      <c r="AV9" t="s">
        <v>157</v>
      </c>
      <c r="AW9" t="s">
        <v>2032</v>
      </c>
      <c r="AX9" s="1" t="s">
        <v>123</v>
      </c>
      <c r="CR9" s="1" t="s">
        <v>123</v>
      </c>
      <c r="DB9" s="1" t="s">
        <v>123</v>
      </c>
      <c r="DL9" s="1" t="s">
        <v>174</v>
      </c>
      <c r="DM9" t="s">
        <v>394</v>
      </c>
      <c r="DQ9" t="s">
        <v>234</v>
      </c>
      <c r="DR9" t="s">
        <v>162</v>
      </c>
      <c r="DS9" t="s">
        <v>162</v>
      </c>
      <c r="DT9" t="s">
        <v>162</v>
      </c>
      <c r="DU9" t="s">
        <v>132</v>
      </c>
      <c r="DV9" t="s">
        <v>132</v>
      </c>
      <c r="DW9" t="s">
        <v>132</v>
      </c>
      <c r="DX9" t="s">
        <v>162</v>
      </c>
      <c r="DY9">
        <v>20</v>
      </c>
      <c r="DZ9">
        <v>60</v>
      </c>
      <c r="EA9">
        <v>0</v>
      </c>
      <c r="EB9">
        <v>0</v>
      </c>
      <c r="EC9">
        <v>0</v>
      </c>
      <c r="ED9">
        <v>20</v>
      </c>
      <c r="EE9">
        <v>0</v>
      </c>
      <c r="EG9">
        <v>20</v>
      </c>
      <c r="EH9">
        <v>60</v>
      </c>
      <c r="EI9">
        <v>0</v>
      </c>
      <c r="EJ9">
        <v>0</v>
      </c>
      <c r="EK9">
        <v>0</v>
      </c>
      <c r="EL9">
        <v>20</v>
      </c>
      <c r="EM9">
        <v>0</v>
      </c>
      <c r="EO9" s="1" t="s">
        <v>123</v>
      </c>
      <c r="FO9" s="1" t="s">
        <v>123</v>
      </c>
      <c r="GW9" t="s">
        <v>2033</v>
      </c>
      <c r="GX9" t="s">
        <v>1229</v>
      </c>
      <c r="GY9" t="s">
        <v>1229</v>
      </c>
      <c r="GZ9" t="s">
        <v>186</v>
      </c>
      <c r="HA9">
        <v>1961</v>
      </c>
      <c r="HB9" t="s">
        <v>141</v>
      </c>
    </row>
    <row r="10" spans="1:214" x14ac:dyDescent="0.45">
      <c r="A10">
        <v>238</v>
      </c>
      <c r="B10">
        <f>_xlfn.IFNA(VLOOKUP(Analiza[[#This Row],[Zakończono wypełnianie]],Zakończone[],2,0),"BRAK")</f>
        <v>129</v>
      </c>
      <c r="C10">
        <f t="shared" si="0"/>
        <v>32</v>
      </c>
      <c r="D10" t="s">
        <v>1142</v>
      </c>
      <c r="E10" t="s">
        <v>118</v>
      </c>
      <c r="F10" t="s">
        <v>1927</v>
      </c>
      <c r="J10" t="s">
        <v>119</v>
      </c>
      <c r="K10" t="s">
        <v>1928</v>
      </c>
      <c r="L10" t="s">
        <v>1929</v>
      </c>
      <c r="M10">
        <v>1449</v>
      </c>
      <c r="N10">
        <v>0</v>
      </c>
      <c r="O10" t="s">
        <v>122</v>
      </c>
      <c r="P10" s="1" t="s">
        <v>123</v>
      </c>
      <c r="AF10" s="1" t="s">
        <v>124</v>
      </c>
      <c r="AG10" t="s">
        <v>2270</v>
      </c>
      <c r="AH10">
        <v>2007</v>
      </c>
      <c r="AI10" t="s">
        <v>126</v>
      </c>
      <c r="AJ10" t="s">
        <v>1931</v>
      </c>
      <c r="AK10" t="s">
        <v>162</v>
      </c>
      <c r="AL10" t="s">
        <v>162</v>
      </c>
      <c r="AM10" t="s">
        <v>169</v>
      </c>
      <c r="AN10" t="s">
        <v>169</v>
      </c>
      <c r="AO10" t="s">
        <v>169</v>
      </c>
      <c r="AP10" t="s">
        <v>1932</v>
      </c>
      <c r="AQ10" t="s">
        <v>302</v>
      </c>
      <c r="AR10" t="s">
        <v>153</v>
      </c>
      <c r="AS10" t="s">
        <v>1933</v>
      </c>
      <c r="AT10" t="s">
        <v>1934</v>
      </c>
      <c r="AU10" t="s">
        <v>1935</v>
      </c>
      <c r="AW10" t="s">
        <v>1936</v>
      </c>
      <c r="AX10" s="1" t="s">
        <v>123</v>
      </c>
      <c r="CR10" s="1" t="s">
        <v>123</v>
      </c>
      <c r="DB10" s="1" t="s">
        <v>123</v>
      </c>
      <c r="DL10" s="1" t="s">
        <v>123</v>
      </c>
      <c r="EO10" s="1" t="s">
        <v>123</v>
      </c>
      <c r="FO10" s="1" t="s">
        <v>123</v>
      </c>
      <c r="GW10" t="s">
        <v>1937</v>
      </c>
      <c r="GX10" t="s">
        <v>1938</v>
      </c>
      <c r="GY10" t="s">
        <v>1939</v>
      </c>
      <c r="GZ10" t="s">
        <v>186</v>
      </c>
      <c r="HA10">
        <v>2007</v>
      </c>
      <c r="HB10" t="s">
        <v>398</v>
      </c>
      <c r="HD10" t="s">
        <v>1940</v>
      </c>
    </row>
    <row r="11" spans="1:214" x14ac:dyDescent="0.45">
      <c r="A11">
        <v>121</v>
      </c>
      <c r="B11" t="str">
        <f>_xlfn.IFNA(VLOOKUP(Analiza[[#This Row],[Zakończono wypełnianie]],Zakończone[],2,0),"BRAK")</f>
        <v>BRAK</v>
      </c>
      <c r="C11">
        <f t="shared" si="0"/>
        <v>68</v>
      </c>
      <c r="D11" t="s">
        <v>1098</v>
      </c>
      <c r="E11" t="s">
        <v>118</v>
      </c>
      <c r="J11" t="s">
        <v>286</v>
      </c>
      <c r="K11" t="s">
        <v>1113</v>
      </c>
      <c r="L11" t="s">
        <v>1113</v>
      </c>
      <c r="M11">
        <v>0</v>
      </c>
      <c r="N11">
        <v>0</v>
      </c>
      <c r="O11" t="s">
        <v>122</v>
      </c>
      <c r="P11" s="1" t="s">
        <v>123</v>
      </c>
      <c r="AF11" s="1" t="s">
        <v>124</v>
      </c>
      <c r="AG11" t="s">
        <v>1114</v>
      </c>
      <c r="AH11">
        <v>1977</v>
      </c>
      <c r="AI11" t="s">
        <v>126</v>
      </c>
      <c r="AJ11" t="s">
        <v>1115</v>
      </c>
      <c r="AK11" t="s">
        <v>169</v>
      </c>
      <c r="AL11" t="s">
        <v>150</v>
      </c>
      <c r="AM11" t="s">
        <v>151</v>
      </c>
      <c r="AN11" t="s">
        <v>236</v>
      </c>
      <c r="AO11" t="s">
        <v>236</v>
      </c>
      <c r="AP11" t="s">
        <v>1116</v>
      </c>
      <c r="AQ11" t="s">
        <v>131</v>
      </c>
      <c r="AR11" t="s">
        <v>302</v>
      </c>
      <c r="AS11" t="s">
        <v>1117</v>
      </c>
      <c r="AT11" t="s">
        <v>1118</v>
      </c>
      <c r="AU11" t="s">
        <v>1119</v>
      </c>
      <c r="AV11" t="s">
        <v>157</v>
      </c>
      <c r="AX11" s="1" t="s">
        <v>159</v>
      </c>
      <c r="AY11">
        <v>2</v>
      </c>
      <c r="AZ11" t="s">
        <v>428</v>
      </c>
      <c r="BA11">
        <v>2002</v>
      </c>
      <c r="BB11" t="s">
        <v>148</v>
      </c>
      <c r="BC11" t="s">
        <v>1121</v>
      </c>
      <c r="BD11" t="s">
        <v>150</v>
      </c>
      <c r="BE11" t="s">
        <v>150</v>
      </c>
      <c r="BF11" t="s">
        <v>150</v>
      </c>
      <c r="BG11" t="s">
        <v>129</v>
      </c>
      <c r="BH11" t="s">
        <v>129</v>
      </c>
      <c r="BI11" t="s">
        <v>1122</v>
      </c>
      <c r="BJ11" t="s">
        <v>1123</v>
      </c>
      <c r="BK11" t="s">
        <v>157</v>
      </c>
      <c r="BN11" t="s">
        <v>166</v>
      </c>
      <c r="BO11" t="s">
        <v>1124</v>
      </c>
      <c r="BP11">
        <v>2012</v>
      </c>
      <c r="BQ11" t="s">
        <v>148</v>
      </c>
      <c r="BR11" t="s">
        <v>1125</v>
      </c>
      <c r="BS11" t="s">
        <v>150</v>
      </c>
      <c r="BT11" t="s">
        <v>169</v>
      </c>
      <c r="BU11" t="s">
        <v>151</v>
      </c>
      <c r="BV11" t="s">
        <v>236</v>
      </c>
      <c r="BW11" t="s">
        <v>151</v>
      </c>
      <c r="BX11" t="s">
        <v>1126</v>
      </c>
      <c r="BY11" t="s">
        <v>1127</v>
      </c>
      <c r="BZ11" t="s">
        <v>230</v>
      </c>
      <c r="CC11" t="s">
        <v>173</v>
      </c>
      <c r="CR11" s="1" t="s">
        <v>123</v>
      </c>
      <c r="DB11" s="1" t="s">
        <v>214</v>
      </c>
      <c r="DC11" t="s">
        <v>1114</v>
      </c>
      <c r="DD11" t="s">
        <v>1128</v>
      </c>
      <c r="DE11" t="s">
        <v>150</v>
      </c>
      <c r="DF11" t="s">
        <v>162</v>
      </c>
      <c r="DG11" t="s">
        <v>151</v>
      </c>
      <c r="DH11" t="s">
        <v>150</v>
      </c>
      <c r="DI11" t="s">
        <v>150</v>
      </c>
      <c r="DJ11" t="s">
        <v>150</v>
      </c>
      <c r="DK11" t="s">
        <v>1129</v>
      </c>
      <c r="DL11" s="1" t="s">
        <v>174</v>
      </c>
      <c r="DP11" t="s">
        <v>175</v>
      </c>
      <c r="DQ11" t="s">
        <v>1130</v>
      </c>
      <c r="DR11" t="s">
        <v>162</v>
      </c>
      <c r="DS11" t="s">
        <v>150</v>
      </c>
      <c r="DT11" t="s">
        <v>151</v>
      </c>
      <c r="DU11" t="s">
        <v>151</v>
      </c>
      <c r="DV11" t="s">
        <v>150</v>
      </c>
      <c r="DW11" t="s">
        <v>162</v>
      </c>
      <c r="DX11" t="s">
        <v>162</v>
      </c>
      <c r="EO11" s="1"/>
      <c r="FO11" s="1"/>
    </row>
    <row r="12" spans="1:214" x14ac:dyDescent="0.45">
      <c r="A12">
        <v>21</v>
      </c>
      <c r="B12">
        <f>_xlfn.IFNA(VLOOKUP(Analiza[[#This Row],[Zakończono wypełnianie]],Zakończone[],2,0),"BRAK")</f>
        <v>18</v>
      </c>
      <c r="C12">
        <f t="shared" si="0"/>
        <v>76</v>
      </c>
      <c r="D12" t="s">
        <v>378</v>
      </c>
      <c r="E12" t="s">
        <v>118</v>
      </c>
      <c r="J12" t="s">
        <v>119</v>
      </c>
      <c r="K12" t="s">
        <v>379</v>
      </c>
      <c r="L12" t="s">
        <v>380</v>
      </c>
      <c r="M12">
        <v>5438</v>
      </c>
      <c r="N12">
        <v>0</v>
      </c>
      <c r="O12" t="s">
        <v>122</v>
      </c>
      <c r="P12" s="1" t="s">
        <v>123</v>
      </c>
      <c r="AF12" s="1" t="s">
        <v>124</v>
      </c>
      <c r="AG12" t="s">
        <v>2268</v>
      </c>
      <c r="AH12">
        <v>1985</v>
      </c>
      <c r="AI12" t="s">
        <v>148</v>
      </c>
      <c r="AJ12" t="s">
        <v>382</v>
      </c>
      <c r="AK12" t="s">
        <v>169</v>
      </c>
      <c r="AL12" t="s">
        <v>169</v>
      </c>
      <c r="AM12" t="s">
        <v>128</v>
      </c>
      <c r="AN12" t="s">
        <v>236</v>
      </c>
      <c r="AO12" t="s">
        <v>236</v>
      </c>
      <c r="AP12" t="s">
        <v>383</v>
      </c>
      <c r="AQ12" t="s">
        <v>152</v>
      </c>
      <c r="AR12" t="s">
        <v>152</v>
      </c>
      <c r="AS12" t="s">
        <v>384</v>
      </c>
      <c r="AT12" t="s">
        <v>385</v>
      </c>
      <c r="AU12" t="s">
        <v>386</v>
      </c>
      <c r="AV12" t="s">
        <v>172</v>
      </c>
      <c r="AX12" s="1" t="s">
        <v>123</v>
      </c>
      <c r="CR12" s="1" t="s">
        <v>387</v>
      </c>
      <c r="CS12" t="s">
        <v>388</v>
      </c>
      <c r="CT12" t="s">
        <v>389</v>
      </c>
      <c r="CU12" t="s">
        <v>169</v>
      </c>
      <c r="CV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390</v>
      </c>
      <c r="DB12" s="1" t="s">
        <v>214</v>
      </c>
      <c r="DC12" t="s">
        <v>388</v>
      </c>
      <c r="DD12" t="s">
        <v>2274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393</v>
      </c>
      <c r="DL12" s="1" t="s">
        <v>174</v>
      </c>
      <c r="DM12" t="s">
        <v>394</v>
      </c>
      <c r="DQ12" t="s">
        <v>391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DX12" t="s">
        <v>169</v>
      </c>
      <c r="DY12">
        <v>20</v>
      </c>
      <c r="DZ12">
        <v>20</v>
      </c>
      <c r="EA12">
        <v>0</v>
      </c>
      <c r="EB12">
        <v>15</v>
      </c>
      <c r="EC12">
        <v>30</v>
      </c>
      <c r="ED12">
        <v>0</v>
      </c>
      <c r="EE12">
        <v>15</v>
      </c>
      <c r="EG12">
        <v>30</v>
      </c>
      <c r="EH12">
        <v>20</v>
      </c>
      <c r="EI12">
        <v>0</v>
      </c>
      <c r="EJ12">
        <v>10</v>
      </c>
      <c r="EK12">
        <v>25</v>
      </c>
      <c r="EL12">
        <v>0</v>
      </c>
      <c r="EM12">
        <v>15</v>
      </c>
      <c r="EO12" s="1" t="s">
        <v>123</v>
      </c>
      <c r="EP12" t="s">
        <v>178</v>
      </c>
      <c r="EQ12" t="s">
        <v>132</v>
      </c>
      <c r="FO12" s="1" t="s">
        <v>123</v>
      </c>
      <c r="FP12" t="s">
        <v>132</v>
      </c>
      <c r="FR12" t="s">
        <v>132</v>
      </c>
      <c r="GW12" t="s">
        <v>395</v>
      </c>
      <c r="GX12" t="s">
        <v>396</v>
      </c>
      <c r="GY12" t="s">
        <v>397</v>
      </c>
      <c r="GZ12" t="s">
        <v>186</v>
      </c>
      <c r="HA12">
        <v>1960</v>
      </c>
      <c r="HB12" t="s">
        <v>398</v>
      </c>
    </row>
    <row r="13" spans="1:214" x14ac:dyDescent="0.45">
      <c r="A13">
        <v>100</v>
      </c>
      <c r="B13">
        <f>_xlfn.IFNA(VLOOKUP(Analiza[[#This Row],[Zakończono wypełnianie]],Zakończone[],2,0),"BRAK")</f>
        <v>62</v>
      </c>
      <c r="C13">
        <f t="shared" si="0"/>
        <v>37</v>
      </c>
      <c r="D13" t="s">
        <v>984</v>
      </c>
      <c r="E13" t="s">
        <v>118</v>
      </c>
      <c r="F13" t="s">
        <v>992</v>
      </c>
      <c r="J13" t="s">
        <v>119</v>
      </c>
      <c r="K13" t="s">
        <v>993</v>
      </c>
      <c r="L13" t="s">
        <v>994</v>
      </c>
      <c r="M13">
        <v>1026</v>
      </c>
      <c r="N13">
        <v>0</v>
      </c>
      <c r="O13" t="s">
        <v>122</v>
      </c>
      <c r="P13" s="1" t="s">
        <v>123</v>
      </c>
      <c r="AF13" s="1" t="s">
        <v>124</v>
      </c>
      <c r="AG13" t="s">
        <v>995</v>
      </c>
      <c r="AH13">
        <v>2010</v>
      </c>
      <c r="AI13" t="s">
        <v>148</v>
      </c>
      <c r="AJ13" t="s">
        <v>429</v>
      </c>
      <c r="AK13" t="s">
        <v>169</v>
      </c>
      <c r="AL13" t="s">
        <v>169</v>
      </c>
      <c r="AM13" t="s">
        <v>150</v>
      </c>
      <c r="AN13" t="s">
        <v>236</v>
      </c>
      <c r="AO13" t="s">
        <v>128</v>
      </c>
      <c r="AP13" t="s">
        <v>883</v>
      </c>
      <c r="AQ13" t="s">
        <v>152</v>
      </c>
      <c r="AR13" t="s">
        <v>131</v>
      </c>
      <c r="AS13" t="s">
        <v>996</v>
      </c>
      <c r="AT13" t="s">
        <v>794</v>
      </c>
      <c r="AU13" t="s">
        <v>780</v>
      </c>
      <c r="AV13" t="s">
        <v>230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786</v>
      </c>
      <c r="GX13" t="s">
        <v>819</v>
      </c>
      <c r="GY13" t="s">
        <v>820</v>
      </c>
      <c r="GZ13" t="s">
        <v>186</v>
      </c>
      <c r="HA13">
        <v>1986</v>
      </c>
      <c r="HB13" t="s">
        <v>483</v>
      </c>
      <c r="HD13" t="s">
        <v>386</v>
      </c>
      <c r="HE13" t="s">
        <v>386</v>
      </c>
    </row>
    <row r="14" spans="1:214" x14ac:dyDescent="0.45">
      <c r="A14">
        <v>76</v>
      </c>
      <c r="B14">
        <f>_xlfn.IFNA(VLOOKUP(Analiza[[#This Row],[Zakończono wypełnianie]],Zakończone[],2,0),"BRAK")</f>
        <v>42</v>
      </c>
      <c r="C14">
        <f t="shared" si="0"/>
        <v>53</v>
      </c>
      <c r="D14" t="s">
        <v>773</v>
      </c>
      <c r="E14" t="s">
        <v>118</v>
      </c>
      <c r="F14" t="s">
        <v>774</v>
      </c>
      <c r="J14" t="s">
        <v>119</v>
      </c>
      <c r="K14" t="s">
        <v>775</v>
      </c>
      <c r="L14" t="s">
        <v>776</v>
      </c>
      <c r="M14">
        <v>1636</v>
      </c>
      <c r="N14">
        <v>0</v>
      </c>
      <c r="O14" t="s">
        <v>122</v>
      </c>
      <c r="P14" s="1" t="s">
        <v>123</v>
      </c>
      <c r="AF14" s="1" t="s">
        <v>124</v>
      </c>
      <c r="AG14" t="s">
        <v>1461</v>
      </c>
      <c r="AH14">
        <v>2013</v>
      </c>
      <c r="AI14" t="s">
        <v>148</v>
      </c>
      <c r="AJ14" t="s">
        <v>429</v>
      </c>
      <c r="AK14" t="s">
        <v>128</v>
      </c>
      <c r="AL14" t="s">
        <v>151</v>
      </c>
      <c r="AM14" t="s">
        <v>162</v>
      </c>
      <c r="AN14" t="s">
        <v>129</v>
      </c>
      <c r="AO14" t="s">
        <v>236</v>
      </c>
      <c r="AP14">
        <v>0</v>
      </c>
      <c r="AQ14" t="s">
        <v>131</v>
      </c>
      <c r="AR14" t="s">
        <v>131</v>
      </c>
      <c r="AS14" t="s">
        <v>778</v>
      </c>
      <c r="AT14" t="s">
        <v>779</v>
      </c>
      <c r="AU14" t="s">
        <v>780</v>
      </c>
      <c r="AV14" t="s">
        <v>157</v>
      </c>
      <c r="AX14" s="1" t="s">
        <v>123</v>
      </c>
      <c r="CR14" s="1" t="s">
        <v>123</v>
      </c>
      <c r="DB14" s="1" t="s">
        <v>214</v>
      </c>
      <c r="DC14" t="s">
        <v>1461</v>
      </c>
      <c r="DD14" t="s">
        <v>781</v>
      </c>
      <c r="DE14" t="s">
        <v>129</v>
      </c>
      <c r="DF14" t="s">
        <v>150</v>
      </c>
      <c r="DG14" t="s">
        <v>129</v>
      </c>
      <c r="DH14" t="s">
        <v>236</v>
      </c>
      <c r="DI14" t="s">
        <v>151</v>
      </c>
      <c r="DJ14" t="s">
        <v>151</v>
      </c>
      <c r="DK14" t="s">
        <v>782</v>
      </c>
      <c r="DL14" s="1" t="s">
        <v>123</v>
      </c>
      <c r="EO14" s="1" t="s">
        <v>177</v>
      </c>
      <c r="EP14" t="s">
        <v>180</v>
      </c>
      <c r="EQ14">
        <v>1</v>
      </c>
      <c r="ER14" t="s">
        <v>783</v>
      </c>
      <c r="ES14" t="s">
        <v>150</v>
      </c>
      <c r="ET14" t="s">
        <v>150</v>
      </c>
      <c r="EU14" t="s">
        <v>236</v>
      </c>
      <c r="EV14" t="s">
        <v>178</v>
      </c>
      <c r="EW14" t="s">
        <v>784</v>
      </c>
      <c r="EX14" t="s">
        <v>785</v>
      </c>
      <c r="EY14" t="s">
        <v>173</v>
      </c>
      <c r="FO14" s="1" t="s">
        <v>123</v>
      </c>
      <c r="FP14" t="s">
        <v>132</v>
      </c>
      <c r="GW14" t="s">
        <v>786</v>
      </c>
      <c r="GX14" t="s">
        <v>787</v>
      </c>
      <c r="GY14" t="s">
        <v>788</v>
      </c>
      <c r="GZ14" t="s">
        <v>140</v>
      </c>
      <c r="HA14">
        <v>1988</v>
      </c>
      <c r="HB14" t="s">
        <v>246</v>
      </c>
      <c r="HD14" t="s">
        <v>789</v>
      </c>
      <c r="HF14" t="s">
        <v>790</v>
      </c>
    </row>
    <row r="15" spans="1:214" x14ac:dyDescent="0.45">
      <c r="A15">
        <v>167</v>
      </c>
      <c r="B15">
        <f>_xlfn.IFNA(VLOOKUP(Analiza[[#This Row],[Zakończono wypełnianie]],Zakończone[],2,0),"BRAK")</f>
        <v>96</v>
      </c>
      <c r="C15">
        <f t="shared" si="0"/>
        <v>32</v>
      </c>
      <c r="D15" t="s">
        <v>1131</v>
      </c>
      <c r="E15" t="s">
        <v>118</v>
      </c>
      <c r="J15" t="s">
        <v>119</v>
      </c>
      <c r="K15" t="s">
        <v>1459</v>
      </c>
      <c r="L15" t="s">
        <v>1460</v>
      </c>
      <c r="M15">
        <v>665</v>
      </c>
      <c r="N15">
        <v>0</v>
      </c>
      <c r="O15" t="s">
        <v>122</v>
      </c>
      <c r="P15" s="1" t="s">
        <v>123</v>
      </c>
      <c r="AF15" s="1" t="s">
        <v>124</v>
      </c>
      <c r="AG15" t="s">
        <v>1461</v>
      </c>
      <c r="AH15">
        <v>2007</v>
      </c>
      <c r="AI15" t="s">
        <v>148</v>
      </c>
      <c r="AJ15" t="s">
        <v>1462</v>
      </c>
      <c r="AK15" t="s">
        <v>162</v>
      </c>
      <c r="AL15" t="s">
        <v>151</v>
      </c>
      <c r="AM15" t="s">
        <v>151</v>
      </c>
      <c r="AN15" t="s">
        <v>150</v>
      </c>
      <c r="AO15" t="s">
        <v>128</v>
      </c>
      <c r="AP15">
        <v>2</v>
      </c>
      <c r="AQ15" t="s">
        <v>302</v>
      </c>
      <c r="AR15" t="s">
        <v>302</v>
      </c>
      <c r="AS15" t="s">
        <v>1463</v>
      </c>
      <c r="AT15" t="s">
        <v>1464</v>
      </c>
      <c r="AU15" t="s">
        <v>1465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FO15" s="1" t="s">
        <v>123</v>
      </c>
      <c r="GW15" t="s">
        <v>1466</v>
      </c>
      <c r="GX15" t="s">
        <v>1467</v>
      </c>
      <c r="GY15" t="s">
        <v>1468</v>
      </c>
      <c r="GZ15" t="s">
        <v>140</v>
      </c>
      <c r="HA15">
        <v>1982</v>
      </c>
      <c r="HB15" t="s">
        <v>398</v>
      </c>
      <c r="HD15" t="s">
        <v>1469</v>
      </c>
    </row>
    <row r="16" spans="1:214" x14ac:dyDescent="0.45">
      <c r="A16">
        <v>129</v>
      </c>
      <c r="B16">
        <f>_xlfn.IFNA(VLOOKUP(Analiza[[#This Row],[Zakończono wypełnianie]],Zakończone[],2,0),"BRAK")</f>
        <v>78</v>
      </c>
      <c r="C16">
        <f t="shared" si="0"/>
        <v>31</v>
      </c>
      <c r="D16" t="s">
        <v>1211</v>
      </c>
      <c r="E16" t="s">
        <v>118</v>
      </c>
      <c r="F16" t="s">
        <v>1152</v>
      </c>
      <c r="J16" t="s">
        <v>119</v>
      </c>
      <c r="K16" t="s">
        <v>1212</v>
      </c>
      <c r="L16" t="s">
        <v>1213</v>
      </c>
      <c r="M16">
        <v>808</v>
      </c>
      <c r="N16">
        <v>0</v>
      </c>
      <c r="O16" t="s">
        <v>122</v>
      </c>
      <c r="P16" s="1" t="s">
        <v>123</v>
      </c>
      <c r="AF16" s="1" t="s">
        <v>124</v>
      </c>
      <c r="AG16" t="s">
        <v>428</v>
      </c>
      <c r="AH16">
        <v>1998</v>
      </c>
      <c r="AI16" t="s">
        <v>148</v>
      </c>
      <c r="AJ16" t="s">
        <v>1215</v>
      </c>
      <c r="AK16" t="s">
        <v>150</v>
      </c>
      <c r="AL16" t="s">
        <v>150</v>
      </c>
      <c r="AM16" t="s">
        <v>151</v>
      </c>
      <c r="AN16" t="s">
        <v>129</v>
      </c>
      <c r="AO16" t="s">
        <v>128</v>
      </c>
      <c r="AP16" t="s">
        <v>1216</v>
      </c>
      <c r="AQ16" t="s">
        <v>131</v>
      </c>
      <c r="AR16" t="s">
        <v>131</v>
      </c>
      <c r="AS16" t="s">
        <v>1217</v>
      </c>
      <c r="AT16" t="s">
        <v>1218</v>
      </c>
      <c r="AU16" t="s">
        <v>1219</v>
      </c>
      <c r="AW16" t="s">
        <v>1220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GW16" t="s">
        <v>1221</v>
      </c>
      <c r="GX16" t="s">
        <v>1222</v>
      </c>
      <c r="GY16" t="s">
        <v>1223</v>
      </c>
      <c r="GZ16" t="s">
        <v>186</v>
      </c>
      <c r="HA16">
        <v>1973</v>
      </c>
      <c r="HB16" t="s">
        <v>141</v>
      </c>
    </row>
    <row r="17" spans="1:214" x14ac:dyDescent="0.45">
      <c r="A17">
        <v>26</v>
      </c>
      <c r="B17">
        <f>_xlfn.IFNA(VLOOKUP(Analiza[[#This Row],[Zakończono wypełnianie]],Zakończone[],2,0),"BRAK")</f>
        <v>20</v>
      </c>
      <c r="C17">
        <f t="shared" si="0"/>
        <v>35</v>
      </c>
      <c r="D17" t="s">
        <v>425</v>
      </c>
      <c r="E17" t="s">
        <v>118</v>
      </c>
      <c r="J17" t="s">
        <v>119</v>
      </c>
      <c r="K17" t="s">
        <v>426</v>
      </c>
      <c r="L17" t="s">
        <v>427</v>
      </c>
      <c r="M17">
        <v>1039</v>
      </c>
      <c r="N17">
        <v>0</v>
      </c>
      <c r="O17" t="s">
        <v>122</v>
      </c>
      <c r="P17" s="1" t="s">
        <v>123</v>
      </c>
      <c r="AF17" s="1" t="s">
        <v>124</v>
      </c>
      <c r="AG17" t="s">
        <v>428</v>
      </c>
      <c r="AH17">
        <v>2011</v>
      </c>
      <c r="AI17" t="s">
        <v>148</v>
      </c>
      <c r="AJ17" t="s">
        <v>429</v>
      </c>
      <c r="AK17" t="s">
        <v>162</v>
      </c>
      <c r="AL17" t="s">
        <v>162</v>
      </c>
      <c r="AM17" t="s">
        <v>128</v>
      </c>
      <c r="AN17" t="s">
        <v>128</v>
      </c>
      <c r="AO17" t="s">
        <v>128</v>
      </c>
      <c r="AP17">
        <v>2</v>
      </c>
      <c r="AQ17" t="s">
        <v>131</v>
      </c>
      <c r="AR17" t="s">
        <v>302</v>
      </c>
      <c r="AS17" t="s">
        <v>430</v>
      </c>
      <c r="AT17" t="s">
        <v>431</v>
      </c>
      <c r="AU17" t="s">
        <v>432</v>
      </c>
      <c r="AV17" t="s">
        <v>157</v>
      </c>
      <c r="AX17" s="1" t="s">
        <v>123</v>
      </c>
      <c r="CR17" s="1" t="s">
        <v>123</v>
      </c>
      <c r="DB17" s="1" t="s">
        <v>123</v>
      </c>
      <c r="DL17" s="1" t="s">
        <v>123</v>
      </c>
      <c r="EO17" s="1" t="s">
        <v>123</v>
      </c>
      <c r="EP17" t="s">
        <v>180</v>
      </c>
      <c r="EQ17" t="s">
        <v>132</v>
      </c>
      <c r="FO17" s="1" t="s">
        <v>123</v>
      </c>
      <c r="FP17" t="s">
        <v>132</v>
      </c>
      <c r="FR17" t="s">
        <v>132</v>
      </c>
      <c r="GW17" t="s">
        <v>433</v>
      </c>
      <c r="GX17" t="s">
        <v>434</v>
      </c>
      <c r="GY17" t="s">
        <v>435</v>
      </c>
      <c r="GZ17" t="s">
        <v>140</v>
      </c>
      <c r="HA17">
        <v>1987</v>
      </c>
      <c r="HB17" t="s">
        <v>141</v>
      </c>
    </row>
    <row r="18" spans="1:214" x14ac:dyDescent="0.45">
      <c r="A18">
        <v>188</v>
      </c>
      <c r="B18">
        <f>_xlfn.IFNA(VLOOKUP(Analiza[[#This Row],[Zakończono wypełnianie]],Zakończone[],2,0),"BRAK")</f>
        <v>107</v>
      </c>
      <c r="C18">
        <f t="shared" si="0"/>
        <v>66</v>
      </c>
      <c r="D18" t="s">
        <v>1587</v>
      </c>
      <c r="E18" t="s">
        <v>118</v>
      </c>
      <c r="J18" t="s">
        <v>119</v>
      </c>
      <c r="K18" t="s">
        <v>1588</v>
      </c>
      <c r="L18" t="s">
        <v>1589</v>
      </c>
      <c r="M18">
        <v>1788</v>
      </c>
      <c r="N18">
        <v>0</v>
      </c>
      <c r="O18" t="s">
        <v>122</v>
      </c>
      <c r="P18" s="1" t="s">
        <v>123</v>
      </c>
      <c r="AF18" s="1" t="s">
        <v>124</v>
      </c>
      <c r="AG18" t="s">
        <v>191</v>
      </c>
      <c r="AH18">
        <v>1983</v>
      </c>
      <c r="AI18" t="s">
        <v>126</v>
      </c>
      <c r="AJ18" t="s">
        <v>1590</v>
      </c>
      <c r="AK18" t="s">
        <v>150</v>
      </c>
      <c r="AL18" t="s">
        <v>150</v>
      </c>
      <c r="AM18" t="s">
        <v>236</v>
      </c>
      <c r="AN18" t="s">
        <v>129</v>
      </c>
      <c r="AO18" t="s">
        <v>162</v>
      </c>
      <c r="AP18">
        <v>36</v>
      </c>
      <c r="AQ18" t="s">
        <v>132</v>
      </c>
      <c r="AR18" t="s">
        <v>132</v>
      </c>
      <c r="AS18" t="s">
        <v>1591</v>
      </c>
      <c r="AT18" t="s">
        <v>1592</v>
      </c>
      <c r="AU18" t="s">
        <v>1593</v>
      </c>
      <c r="AV18" t="s">
        <v>172</v>
      </c>
      <c r="AX18" s="1" t="s">
        <v>159</v>
      </c>
      <c r="AY18">
        <v>3</v>
      </c>
      <c r="AZ18" t="s">
        <v>191</v>
      </c>
      <c r="BA18">
        <v>2019</v>
      </c>
      <c r="BB18" t="s">
        <v>126</v>
      </c>
      <c r="BC18" t="s">
        <v>1594</v>
      </c>
      <c r="BD18" t="s">
        <v>236</v>
      </c>
      <c r="BE18" t="s">
        <v>128</v>
      </c>
      <c r="BF18" t="s">
        <v>162</v>
      </c>
      <c r="BG18" t="s">
        <v>151</v>
      </c>
      <c r="BH18" t="s">
        <v>132</v>
      </c>
      <c r="BI18" t="s">
        <v>1595</v>
      </c>
      <c r="BJ18" t="s">
        <v>1596</v>
      </c>
      <c r="BK18" t="s">
        <v>157</v>
      </c>
      <c r="BN18" t="s">
        <v>173</v>
      </c>
      <c r="CR18" s="1" t="s">
        <v>123</v>
      </c>
      <c r="DB18" s="1" t="s">
        <v>123</v>
      </c>
      <c r="DL18" s="1" t="s">
        <v>123</v>
      </c>
      <c r="EO18" s="1" t="s">
        <v>177</v>
      </c>
      <c r="EP18" t="s">
        <v>178</v>
      </c>
      <c r="EQ18">
        <v>2</v>
      </c>
      <c r="ER18" t="s">
        <v>747</v>
      </c>
      <c r="ES18" t="s">
        <v>236</v>
      </c>
      <c r="ET18" t="s">
        <v>236</v>
      </c>
      <c r="EU18" t="s">
        <v>128</v>
      </c>
      <c r="EV18" t="s">
        <v>178</v>
      </c>
      <c r="EW18" t="s">
        <v>1597</v>
      </c>
      <c r="EX18" t="s">
        <v>1598</v>
      </c>
      <c r="EY18" t="s">
        <v>1206</v>
      </c>
      <c r="EZ18" t="s">
        <v>1599</v>
      </c>
      <c r="FA18" t="s">
        <v>129</v>
      </c>
      <c r="FB18" t="s">
        <v>129</v>
      </c>
      <c r="FC18" t="s">
        <v>236</v>
      </c>
      <c r="FD18" t="s">
        <v>178</v>
      </c>
      <c r="FE18" t="s">
        <v>1600</v>
      </c>
      <c r="FF18" t="s">
        <v>1601</v>
      </c>
      <c r="FG18" t="s">
        <v>173</v>
      </c>
      <c r="FO18" s="1" t="s">
        <v>123</v>
      </c>
      <c r="GW18" t="s">
        <v>1602</v>
      </c>
      <c r="GX18" t="s">
        <v>1603</v>
      </c>
      <c r="GY18" t="s">
        <v>1604</v>
      </c>
      <c r="GZ18" t="s">
        <v>186</v>
      </c>
      <c r="HA18">
        <v>1959</v>
      </c>
      <c r="HB18" t="s">
        <v>483</v>
      </c>
      <c r="HD18" t="s">
        <v>1605</v>
      </c>
      <c r="HE18" t="s">
        <v>1606</v>
      </c>
      <c r="HF18" t="s">
        <v>1607</v>
      </c>
    </row>
    <row r="19" spans="1:214" x14ac:dyDescent="0.45">
      <c r="A19">
        <v>83</v>
      </c>
      <c r="B19">
        <f>_xlfn.IFNA(VLOOKUP(Analiza[[#This Row],[Zakończono wypełnianie]],Zakończone[],2,0),"BRAK")</f>
        <v>48</v>
      </c>
      <c r="C19">
        <f t="shared" si="0"/>
        <v>75</v>
      </c>
      <c r="D19" t="s">
        <v>837</v>
      </c>
      <c r="E19" t="s">
        <v>118</v>
      </c>
      <c r="J19" t="s">
        <v>119</v>
      </c>
      <c r="K19" t="s">
        <v>838</v>
      </c>
      <c r="L19" t="s">
        <v>839</v>
      </c>
      <c r="M19">
        <v>3312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>
        <v>1978</v>
      </c>
      <c r="AI19" t="s">
        <v>126</v>
      </c>
      <c r="AJ19" t="s">
        <v>841</v>
      </c>
      <c r="AK19" t="s">
        <v>169</v>
      </c>
      <c r="AL19" t="s">
        <v>169</v>
      </c>
      <c r="AM19" t="s">
        <v>151</v>
      </c>
      <c r="AN19" t="s">
        <v>150</v>
      </c>
      <c r="AO19" t="s">
        <v>150</v>
      </c>
      <c r="AP19">
        <v>2</v>
      </c>
      <c r="AQ19" t="s">
        <v>302</v>
      </c>
      <c r="AR19" t="s">
        <v>226</v>
      </c>
      <c r="AS19" t="s">
        <v>842</v>
      </c>
      <c r="AT19" t="s">
        <v>843</v>
      </c>
      <c r="AU19" t="s">
        <v>386</v>
      </c>
      <c r="AV19" t="s">
        <v>157</v>
      </c>
      <c r="AX19" s="1" t="s">
        <v>159</v>
      </c>
      <c r="AY19">
        <v>2</v>
      </c>
      <c r="AZ19" t="s">
        <v>191</v>
      </c>
      <c r="BA19">
        <v>2005</v>
      </c>
      <c r="BB19" t="s">
        <v>126</v>
      </c>
      <c r="BC19" t="s">
        <v>844</v>
      </c>
      <c r="BD19" t="s">
        <v>150</v>
      </c>
      <c r="BE19" t="s">
        <v>150</v>
      </c>
      <c r="BF19" t="s">
        <v>169</v>
      </c>
      <c r="BG19" t="s">
        <v>162</v>
      </c>
      <c r="BH19" t="s">
        <v>162</v>
      </c>
      <c r="BI19">
        <v>3</v>
      </c>
      <c r="BJ19" t="s">
        <v>845</v>
      </c>
      <c r="BK19" t="s">
        <v>157</v>
      </c>
      <c r="BM19" t="s">
        <v>148</v>
      </c>
      <c r="BN19" t="s">
        <v>166</v>
      </c>
      <c r="BO19" t="s">
        <v>191</v>
      </c>
      <c r="BP19">
        <v>2007</v>
      </c>
      <c r="BQ19" t="s">
        <v>126</v>
      </c>
      <c r="BR19" t="s">
        <v>844</v>
      </c>
      <c r="BS19" t="s">
        <v>150</v>
      </c>
      <c r="BT19" t="s">
        <v>150</v>
      </c>
      <c r="BU19" t="s">
        <v>150</v>
      </c>
      <c r="BV19" t="s">
        <v>162</v>
      </c>
      <c r="BW19" t="s">
        <v>162</v>
      </c>
      <c r="BX19">
        <v>3</v>
      </c>
      <c r="BY19" t="s">
        <v>148</v>
      </c>
      <c r="BZ19" t="s">
        <v>157</v>
      </c>
      <c r="CB19" t="s">
        <v>148</v>
      </c>
      <c r="CC19" t="s">
        <v>173</v>
      </c>
      <c r="CR19" s="1" t="s">
        <v>123</v>
      </c>
      <c r="DB19" s="1" t="s">
        <v>214</v>
      </c>
      <c r="DC19" t="s">
        <v>2275</v>
      </c>
      <c r="DD19" t="s">
        <v>2276</v>
      </c>
      <c r="DE19" t="s">
        <v>150</v>
      </c>
      <c r="DF19" t="s">
        <v>150</v>
      </c>
      <c r="DG19" t="s">
        <v>150</v>
      </c>
      <c r="DH19" t="s">
        <v>150</v>
      </c>
      <c r="DI19" t="s">
        <v>150</v>
      </c>
      <c r="DJ19" t="s">
        <v>162</v>
      </c>
      <c r="DK19" t="s">
        <v>848</v>
      </c>
      <c r="DL19" s="1" t="s">
        <v>123</v>
      </c>
      <c r="EO19" s="1" t="s">
        <v>123</v>
      </c>
      <c r="EP19" t="s">
        <v>180</v>
      </c>
      <c r="EQ19" t="s">
        <v>132</v>
      </c>
      <c r="FO19" s="1" t="s">
        <v>123</v>
      </c>
      <c r="FP19" t="s">
        <v>132</v>
      </c>
      <c r="FR19" t="s">
        <v>132</v>
      </c>
      <c r="GW19" t="s">
        <v>849</v>
      </c>
      <c r="GX19" t="s">
        <v>850</v>
      </c>
      <c r="GY19" t="s">
        <v>851</v>
      </c>
      <c r="GZ19" t="s">
        <v>186</v>
      </c>
      <c r="HA19">
        <v>1954</v>
      </c>
      <c r="HB19" t="s">
        <v>141</v>
      </c>
      <c r="HD19" t="s">
        <v>852</v>
      </c>
      <c r="HE19" t="s">
        <v>853</v>
      </c>
    </row>
    <row r="20" spans="1:214" x14ac:dyDescent="0.45">
      <c r="A20">
        <v>214</v>
      </c>
      <c r="B20">
        <f>_xlfn.IFNA(VLOOKUP(Analiza[[#This Row],[Zakończono wypełnianie]],Zakończone[],2,0),"BRAK")</f>
        <v>117</v>
      </c>
      <c r="C20">
        <f t="shared" si="0"/>
        <v>33</v>
      </c>
      <c r="D20" t="s">
        <v>1762</v>
      </c>
      <c r="E20" t="s">
        <v>118</v>
      </c>
      <c r="J20" t="s">
        <v>119</v>
      </c>
      <c r="K20" t="s">
        <v>1763</v>
      </c>
      <c r="L20" t="s">
        <v>1764</v>
      </c>
      <c r="M20">
        <v>336</v>
      </c>
      <c r="N20">
        <v>0</v>
      </c>
      <c r="O20" t="s">
        <v>122</v>
      </c>
      <c r="P20" s="1" t="s">
        <v>123</v>
      </c>
      <c r="AF20" s="1" t="s">
        <v>124</v>
      </c>
      <c r="AG20" t="s">
        <v>191</v>
      </c>
      <c r="AH20">
        <v>2002</v>
      </c>
      <c r="AI20" t="s">
        <v>126</v>
      </c>
      <c r="AJ20" t="s">
        <v>1176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1765</v>
      </c>
      <c r="AQ20" t="s">
        <v>302</v>
      </c>
      <c r="AR20" t="s">
        <v>226</v>
      </c>
      <c r="AT20" t="s">
        <v>1766</v>
      </c>
      <c r="AU20" t="s">
        <v>386</v>
      </c>
      <c r="AV20" t="s">
        <v>157</v>
      </c>
      <c r="AW20" t="s">
        <v>1767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FO20" s="1" t="s">
        <v>123</v>
      </c>
      <c r="GW20" t="s">
        <v>1768</v>
      </c>
      <c r="GX20" t="s">
        <v>1769</v>
      </c>
      <c r="GY20" t="s">
        <v>1769</v>
      </c>
      <c r="GZ20" t="s">
        <v>186</v>
      </c>
      <c r="HA20">
        <v>1977</v>
      </c>
      <c r="HB20" t="s">
        <v>141</v>
      </c>
      <c r="HD20" t="s">
        <v>386</v>
      </c>
      <c r="HE20" t="s">
        <v>386</v>
      </c>
    </row>
    <row r="21" spans="1:214" x14ac:dyDescent="0.45">
      <c r="A21">
        <v>182</v>
      </c>
      <c r="B21">
        <f>_xlfn.IFNA(VLOOKUP(Analiza[[#This Row],[Zakończono wypełnianie]],Zakończone[],2,0),"BRAK")</f>
        <v>103</v>
      </c>
      <c r="C21">
        <f t="shared" si="0"/>
        <v>33</v>
      </c>
      <c r="D21" t="s">
        <v>1540</v>
      </c>
      <c r="E21" t="s">
        <v>118</v>
      </c>
      <c r="J21" t="s">
        <v>119</v>
      </c>
      <c r="K21" t="s">
        <v>1541</v>
      </c>
      <c r="L21" t="s">
        <v>1542</v>
      </c>
      <c r="M21">
        <v>193</v>
      </c>
      <c r="N21">
        <v>0</v>
      </c>
      <c r="O21" t="s">
        <v>122</v>
      </c>
      <c r="P21" s="1" t="s">
        <v>123</v>
      </c>
      <c r="AF21" s="1" t="s">
        <v>124</v>
      </c>
      <c r="AG21" t="s">
        <v>191</v>
      </c>
      <c r="AH21">
        <v>2013</v>
      </c>
      <c r="AI21" t="s">
        <v>126</v>
      </c>
      <c r="AJ21" t="s">
        <v>1544</v>
      </c>
      <c r="AK21" t="s">
        <v>236</v>
      </c>
      <c r="AL21" t="s">
        <v>236</v>
      </c>
      <c r="AM21" t="s">
        <v>162</v>
      </c>
      <c r="AN21" t="s">
        <v>236</v>
      </c>
      <c r="AO21" t="s">
        <v>236</v>
      </c>
      <c r="AP21">
        <v>1</v>
      </c>
      <c r="AQ21" t="s">
        <v>131</v>
      </c>
      <c r="AR21" t="s">
        <v>302</v>
      </c>
      <c r="AT21" t="s">
        <v>267</v>
      </c>
      <c r="AU21" t="s">
        <v>267</v>
      </c>
      <c r="AV21" t="s">
        <v>157</v>
      </c>
      <c r="AX21" s="1" t="s">
        <v>123</v>
      </c>
      <c r="CR21" s="1" t="s">
        <v>123</v>
      </c>
      <c r="DB21" s="1" t="s">
        <v>123</v>
      </c>
      <c r="DL21" s="1" t="s">
        <v>123</v>
      </c>
      <c r="EO21" s="1" t="s">
        <v>123</v>
      </c>
      <c r="FO21" s="1" t="s">
        <v>123</v>
      </c>
      <c r="GW21" t="s">
        <v>267</v>
      </c>
      <c r="GX21" t="s">
        <v>267</v>
      </c>
      <c r="GY21" t="s">
        <v>267</v>
      </c>
      <c r="GZ21" t="s">
        <v>186</v>
      </c>
      <c r="HA21">
        <v>1989</v>
      </c>
      <c r="HB21" t="s">
        <v>141</v>
      </c>
      <c r="HD21" t="s">
        <v>267</v>
      </c>
      <c r="HE21" t="s">
        <v>267</v>
      </c>
      <c r="HF21" t="s">
        <v>267</v>
      </c>
    </row>
    <row r="22" spans="1:214" x14ac:dyDescent="0.45">
      <c r="A22">
        <v>25</v>
      </c>
      <c r="B22" t="str">
        <f>_xlfn.IFNA(VLOOKUP(Analiza[[#This Row],[Zakończono wypełnianie]],Zakończone[],2,0),"BRAK")</f>
        <v>BRAK</v>
      </c>
      <c r="C22">
        <f t="shared" si="0"/>
        <v>24</v>
      </c>
      <c r="D22" t="s">
        <v>417</v>
      </c>
      <c r="E22" t="s">
        <v>118</v>
      </c>
      <c r="F22" t="s">
        <v>400</v>
      </c>
      <c r="J22" t="s">
        <v>286</v>
      </c>
      <c r="K22" t="s">
        <v>418</v>
      </c>
      <c r="L22" t="s">
        <v>418</v>
      </c>
      <c r="M22">
        <v>0</v>
      </c>
      <c r="N22">
        <v>0</v>
      </c>
      <c r="O22" t="s">
        <v>122</v>
      </c>
      <c r="P22" s="1" t="s">
        <v>416</v>
      </c>
      <c r="Q22" t="s">
        <v>147</v>
      </c>
      <c r="R22" t="s">
        <v>148</v>
      </c>
      <c r="S22" t="s">
        <v>419</v>
      </c>
      <c r="T22" t="s">
        <v>150</v>
      </c>
      <c r="U22" t="s">
        <v>169</v>
      </c>
      <c r="V22" t="s">
        <v>169</v>
      </c>
      <c r="W22" t="s">
        <v>420</v>
      </c>
      <c r="X22" t="s">
        <v>153</v>
      </c>
      <c r="Y22" t="s">
        <v>302</v>
      </c>
      <c r="Z22" t="s">
        <v>421</v>
      </c>
      <c r="AA22" t="s">
        <v>422</v>
      </c>
      <c r="AB22" t="s">
        <v>423</v>
      </c>
      <c r="AC22" t="s">
        <v>172</v>
      </c>
      <c r="AE22">
        <v>4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177</v>
      </c>
      <c r="EP22" t="s">
        <v>180</v>
      </c>
      <c r="EQ22">
        <v>1</v>
      </c>
      <c r="FO22" s="1"/>
    </row>
    <row r="23" spans="1:214" x14ac:dyDescent="0.45">
      <c r="A23">
        <v>88</v>
      </c>
      <c r="B23">
        <f>_xlfn.IFNA(VLOOKUP(Analiza[[#This Row],[Zakończono wypełnianie]],Zakończone[],2,0),"BRAK")</f>
        <v>53</v>
      </c>
      <c r="C23">
        <f t="shared" si="0"/>
        <v>46</v>
      </c>
      <c r="D23" t="s">
        <v>873</v>
      </c>
      <c r="E23" t="s">
        <v>118</v>
      </c>
      <c r="F23" t="s">
        <v>797</v>
      </c>
      <c r="J23" t="s">
        <v>119</v>
      </c>
      <c r="K23" t="s">
        <v>895</v>
      </c>
      <c r="L23" t="s">
        <v>896</v>
      </c>
      <c r="M23">
        <v>1418</v>
      </c>
      <c r="N23">
        <v>0</v>
      </c>
      <c r="O23" t="s">
        <v>122</v>
      </c>
      <c r="P23" s="1" t="s">
        <v>123</v>
      </c>
      <c r="AF23" s="1" t="s">
        <v>124</v>
      </c>
      <c r="AG23" t="s">
        <v>191</v>
      </c>
      <c r="AH23">
        <v>1975</v>
      </c>
      <c r="AI23" t="s">
        <v>126</v>
      </c>
      <c r="AJ23" t="s">
        <v>897</v>
      </c>
      <c r="AK23" t="s">
        <v>150</v>
      </c>
      <c r="AL23" t="s">
        <v>162</v>
      </c>
      <c r="AM23" t="s">
        <v>150</v>
      </c>
      <c r="AN23" t="s">
        <v>162</v>
      </c>
      <c r="AO23" t="s">
        <v>162</v>
      </c>
      <c r="AP23" t="s">
        <v>898</v>
      </c>
      <c r="AQ23" t="s">
        <v>153</v>
      </c>
      <c r="AR23" t="s">
        <v>153</v>
      </c>
      <c r="AT23" t="s">
        <v>532</v>
      </c>
      <c r="AU23" t="s">
        <v>532</v>
      </c>
      <c r="AV23" t="s">
        <v>157</v>
      </c>
      <c r="AX23" s="1" t="s">
        <v>159</v>
      </c>
      <c r="AY23">
        <v>1</v>
      </c>
      <c r="AZ23" t="s">
        <v>191</v>
      </c>
      <c r="BA23">
        <v>2011</v>
      </c>
      <c r="BB23" t="s">
        <v>126</v>
      </c>
      <c r="BC23" t="s">
        <v>127</v>
      </c>
      <c r="BD23" t="s">
        <v>162</v>
      </c>
      <c r="BE23" t="s">
        <v>150</v>
      </c>
      <c r="BF23" t="s">
        <v>236</v>
      </c>
      <c r="BG23" t="s">
        <v>132</v>
      </c>
      <c r="BH23" t="s">
        <v>132</v>
      </c>
      <c r="BI23" t="s">
        <v>900</v>
      </c>
      <c r="BJ23" t="s">
        <v>901</v>
      </c>
      <c r="BK23" t="s">
        <v>157</v>
      </c>
      <c r="BL23" t="s">
        <v>878</v>
      </c>
      <c r="BN23" t="s">
        <v>173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532</v>
      </c>
      <c r="GX23" t="s">
        <v>532</v>
      </c>
      <c r="GY23" t="s">
        <v>532</v>
      </c>
      <c r="GZ23" t="s">
        <v>140</v>
      </c>
      <c r="HA23">
        <v>1950</v>
      </c>
      <c r="HB23" t="s">
        <v>141</v>
      </c>
    </row>
    <row r="24" spans="1:214" x14ac:dyDescent="0.45">
      <c r="A24">
        <v>139</v>
      </c>
      <c r="B24">
        <f>_xlfn.IFNA(VLOOKUP(Analiza[[#This Row],[Zakończono wypełnianie]],Zakończone[],2,0),"BRAK")</f>
        <v>84</v>
      </c>
      <c r="C24">
        <f t="shared" si="0"/>
        <v>47</v>
      </c>
      <c r="D24" t="s">
        <v>1302</v>
      </c>
      <c r="E24" t="s">
        <v>118</v>
      </c>
      <c r="J24" t="s">
        <v>119</v>
      </c>
      <c r="K24" t="s">
        <v>1303</v>
      </c>
      <c r="L24" t="s">
        <v>1304</v>
      </c>
      <c r="M24">
        <v>558</v>
      </c>
      <c r="N24">
        <v>0</v>
      </c>
      <c r="O24" t="s">
        <v>122</v>
      </c>
      <c r="P24" s="1" t="s">
        <v>416</v>
      </c>
      <c r="Q24" t="s">
        <v>191</v>
      </c>
      <c r="R24" t="s">
        <v>126</v>
      </c>
      <c r="S24" t="s">
        <v>1305</v>
      </c>
      <c r="T24" t="s">
        <v>162</v>
      </c>
      <c r="U24" t="s">
        <v>128</v>
      </c>
      <c r="V24" t="s">
        <v>150</v>
      </c>
      <c r="W24" t="s">
        <v>1306</v>
      </c>
      <c r="X24" t="s">
        <v>153</v>
      </c>
      <c r="Y24" t="s">
        <v>759</v>
      </c>
      <c r="Z24" t="s">
        <v>1307</v>
      </c>
      <c r="AA24" t="s">
        <v>1308</v>
      </c>
      <c r="AB24" t="s">
        <v>1309</v>
      </c>
      <c r="AC24" t="s">
        <v>230</v>
      </c>
      <c r="AE24">
        <v>2</v>
      </c>
      <c r="AF24" s="1" t="s">
        <v>124</v>
      </c>
      <c r="AG24" t="s">
        <v>191</v>
      </c>
      <c r="AH24">
        <v>2015</v>
      </c>
      <c r="AI24" t="s">
        <v>126</v>
      </c>
      <c r="AJ24" t="s">
        <v>1312</v>
      </c>
      <c r="AK24" t="s">
        <v>162</v>
      </c>
      <c r="AL24" t="s">
        <v>128</v>
      </c>
      <c r="AM24" t="s">
        <v>162</v>
      </c>
      <c r="AN24" t="s">
        <v>162</v>
      </c>
      <c r="AO24" t="s">
        <v>162</v>
      </c>
      <c r="AP24" t="s">
        <v>237</v>
      </c>
      <c r="AQ24" t="s">
        <v>302</v>
      </c>
      <c r="AR24" t="s">
        <v>153</v>
      </c>
      <c r="AS24" t="s">
        <v>1313</v>
      </c>
      <c r="AT24" t="s">
        <v>1314</v>
      </c>
      <c r="AU24" t="s">
        <v>1315</v>
      </c>
      <c r="AV24" t="s">
        <v>172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FO24" s="1" t="s">
        <v>123</v>
      </c>
      <c r="GW24" t="s">
        <v>1316</v>
      </c>
      <c r="GX24" t="s">
        <v>1317</v>
      </c>
      <c r="GY24" t="s">
        <v>1318</v>
      </c>
      <c r="GZ24" t="s">
        <v>186</v>
      </c>
      <c r="HA24">
        <v>1992</v>
      </c>
      <c r="HB24" t="s">
        <v>398</v>
      </c>
      <c r="HD24" t="s">
        <v>1319</v>
      </c>
      <c r="HE24" t="s">
        <v>1320</v>
      </c>
    </row>
    <row r="25" spans="1:214" x14ac:dyDescent="0.45">
      <c r="A25">
        <v>3</v>
      </c>
      <c r="B25">
        <f>_xlfn.IFNA(VLOOKUP(Analiza[[#This Row],[Zakończono wypełnianie]],Zakończone[],2,0),"BRAK")</f>
        <v>3</v>
      </c>
      <c r="C25">
        <f t="shared" si="0"/>
        <v>33</v>
      </c>
      <c r="D25" t="s">
        <v>188</v>
      </c>
      <c r="E25" t="s">
        <v>118</v>
      </c>
      <c r="J25" t="s">
        <v>119</v>
      </c>
      <c r="K25" t="s">
        <v>189</v>
      </c>
      <c r="L25" t="s">
        <v>190</v>
      </c>
      <c r="M25">
        <v>853</v>
      </c>
      <c r="N25">
        <v>0</v>
      </c>
      <c r="O25" t="s">
        <v>122</v>
      </c>
      <c r="P25" s="1" t="s">
        <v>123</v>
      </c>
      <c r="AF25" s="1" t="s">
        <v>124</v>
      </c>
      <c r="AG25" t="s">
        <v>191</v>
      </c>
      <c r="AH25">
        <v>2017</v>
      </c>
      <c r="AI25" t="s">
        <v>126</v>
      </c>
      <c r="AJ25" t="s">
        <v>192</v>
      </c>
      <c r="AK25" t="s">
        <v>150</v>
      </c>
      <c r="AL25" t="s">
        <v>150</v>
      </c>
      <c r="AM25" t="s">
        <v>162</v>
      </c>
      <c r="AN25" t="s">
        <v>169</v>
      </c>
      <c r="AO25" t="s">
        <v>169</v>
      </c>
      <c r="AP25" t="s">
        <v>193</v>
      </c>
      <c r="AQ25" t="s">
        <v>194</v>
      </c>
      <c r="AR25" t="s">
        <v>194</v>
      </c>
      <c r="AS25" t="s">
        <v>195</v>
      </c>
      <c r="AT25" t="s">
        <v>196</v>
      </c>
      <c r="AU25" t="s">
        <v>197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FO25" s="1" t="s">
        <v>123</v>
      </c>
      <c r="FP25" t="s">
        <v>132</v>
      </c>
      <c r="GW25" t="s">
        <v>198</v>
      </c>
      <c r="GX25" t="s">
        <v>199</v>
      </c>
      <c r="GY25" t="s">
        <v>200</v>
      </c>
      <c r="GZ25" t="s">
        <v>186</v>
      </c>
      <c r="HA25">
        <v>1991</v>
      </c>
      <c r="HB25" t="s">
        <v>141</v>
      </c>
      <c r="HD25" t="s">
        <v>201</v>
      </c>
    </row>
    <row r="26" spans="1:214" x14ac:dyDescent="0.45">
      <c r="A26">
        <v>6</v>
      </c>
      <c r="B26">
        <f>_xlfn.IFNA(VLOOKUP(Analiza[[#This Row],[Zakończono wypełnianie]],Zakończone[],2,0),"BRAK")</f>
        <v>6</v>
      </c>
      <c r="C26">
        <f t="shared" si="0"/>
        <v>32</v>
      </c>
      <c r="D26" t="s">
        <v>248</v>
      </c>
      <c r="E26" t="s">
        <v>118</v>
      </c>
      <c r="J26" t="s">
        <v>119</v>
      </c>
      <c r="K26" t="s">
        <v>249</v>
      </c>
      <c r="L26" t="s">
        <v>250</v>
      </c>
      <c r="M26">
        <v>902</v>
      </c>
      <c r="N26">
        <v>0</v>
      </c>
      <c r="O26" t="s">
        <v>122</v>
      </c>
      <c r="P26" s="1" t="s">
        <v>123</v>
      </c>
      <c r="AF26" s="1" t="s">
        <v>124</v>
      </c>
      <c r="AG26" t="s">
        <v>191</v>
      </c>
      <c r="AH26">
        <v>2013</v>
      </c>
      <c r="AI26" t="s">
        <v>126</v>
      </c>
      <c r="AJ26" t="s">
        <v>251</v>
      </c>
      <c r="AK26" t="s">
        <v>162</v>
      </c>
      <c r="AL26" t="s">
        <v>162</v>
      </c>
      <c r="AM26" t="s">
        <v>151</v>
      </c>
      <c r="AN26" t="s">
        <v>132</v>
      </c>
      <c r="AO26" t="s">
        <v>132</v>
      </c>
      <c r="AP26" t="s">
        <v>252</v>
      </c>
      <c r="AQ26" t="s">
        <v>132</v>
      </c>
      <c r="AR26" t="s">
        <v>132</v>
      </c>
      <c r="AS26" t="s">
        <v>253</v>
      </c>
      <c r="AT26" t="s">
        <v>254</v>
      </c>
      <c r="AU26" t="s">
        <v>255</v>
      </c>
      <c r="AV26" t="s">
        <v>157</v>
      </c>
      <c r="AX26" s="1" t="s">
        <v>123</v>
      </c>
      <c r="CR26" s="1" t="s">
        <v>123</v>
      </c>
      <c r="DB26" s="1" t="s">
        <v>123</v>
      </c>
      <c r="DL26" s="1" t="s">
        <v>123</v>
      </c>
      <c r="EO26" s="1" t="s">
        <v>123</v>
      </c>
      <c r="FO26" s="1" t="s">
        <v>123</v>
      </c>
      <c r="FP26" t="s">
        <v>132</v>
      </c>
      <c r="GW26" t="s">
        <v>256</v>
      </c>
      <c r="GX26" t="s">
        <v>257</v>
      </c>
      <c r="GY26" t="s">
        <v>258</v>
      </c>
      <c r="GZ26" t="s">
        <v>140</v>
      </c>
      <c r="HA26">
        <v>1988</v>
      </c>
      <c r="HB26" t="s">
        <v>141</v>
      </c>
    </row>
    <row r="27" spans="1:214" x14ac:dyDescent="0.45">
      <c r="A27">
        <v>7</v>
      </c>
      <c r="B27">
        <f>_xlfn.IFNA(VLOOKUP(Analiza[[#This Row],[Zakończono wypełnianie]],Zakończone[],2,0),"BRAK")</f>
        <v>7</v>
      </c>
      <c r="C27">
        <f t="shared" si="0"/>
        <v>37</v>
      </c>
      <c r="D27" t="s">
        <v>259</v>
      </c>
      <c r="E27" t="s">
        <v>118</v>
      </c>
      <c r="F27" t="s">
        <v>260</v>
      </c>
      <c r="J27" t="s">
        <v>119</v>
      </c>
      <c r="K27" t="s">
        <v>261</v>
      </c>
      <c r="L27" t="s">
        <v>262</v>
      </c>
      <c r="M27">
        <v>422</v>
      </c>
      <c r="N27">
        <v>0</v>
      </c>
      <c r="O27" t="s">
        <v>122</v>
      </c>
      <c r="P27" s="1" t="s">
        <v>123</v>
      </c>
      <c r="AF27" s="1" t="s">
        <v>124</v>
      </c>
      <c r="AG27" t="s">
        <v>191</v>
      </c>
      <c r="AH27">
        <v>2013</v>
      </c>
      <c r="AI27" t="s">
        <v>126</v>
      </c>
      <c r="AJ27" t="s">
        <v>263</v>
      </c>
      <c r="AK27" t="s">
        <v>169</v>
      </c>
      <c r="AL27" t="s">
        <v>150</v>
      </c>
      <c r="AM27" t="s">
        <v>169</v>
      </c>
      <c r="AN27" t="s">
        <v>169</v>
      </c>
      <c r="AO27" t="s">
        <v>169</v>
      </c>
      <c r="AP27">
        <v>4</v>
      </c>
      <c r="AQ27" t="s">
        <v>153</v>
      </c>
      <c r="AR27" t="s">
        <v>153</v>
      </c>
      <c r="AS27" t="s">
        <v>264</v>
      </c>
      <c r="AT27" t="s">
        <v>265</v>
      </c>
      <c r="AU27" t="s">
        <v>266</v>
      </c>
      <c r="AV27" t="s">
        <v>157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EP27" t="s">
        <v>180</v>
      </c>
      <c r="EQ27" t="s">
        <v>132</v>
      </c>
      <c r="FO27" s="1" t="s">
        <v>123</v>
      </c>
      <c r="FP27" t="s">
        <v>132</v>
      </c>
      <c r="FR27" t="s">
        <v>132</v>
      </c>
      <c r="GW27" t="s">
        <v>267</v>
      </c>
      <c r="GX27" t="s">
        <v>267</v>
      </c>
      <c r="GY27" t="s">
        <v>267</v>
      </c>
      <c r="GZ27" t="s">
        <v>186</v>
      </c>
      <c r="HA27">
        <v>1988</v>
      </c>
      <c r="HB27" t="s">
        <v>220</v>
      </c>
      <c r="HD27" t="s">
        <v>268</v>
      </c>
      <c r="HE27" t="s">
        <v>268</v>
      </c>
    </row>
    <row r="28" spans="1:214" x14ac:dyDescent="0.45">
      <c r="A28">
        <v>196</v>
      </c>
      <c r="B28">
        <f>_xlfn.IFNA(VLOOKUP(Analiza[[#This Row],[Zakończono wypełnianie]],Zakończone[],2,0),"BRAK")</f>
        <v>112</v>
      </c>
      <c r="C28">
        <f t="shared" si="0"/>
        <v>54</v>
      </c>
      <c r="D28" t="s">
        <v>1659</v>
      </c>
      <c r="E28" t="s">
        <v>118</v>
      </c>
      <c r="J28" t="s">
        <v>119</v>
      </c>
      <c r="K28" t="s">
        <v>1660</v>
      </c>
      <c r="L28" t="s">
        <v>1661</v>
      </c>
      <c r="M28">
        <v>614</v>
      </c>
      <c r="N28">
        <v>0</v>
      </c>
      <c r="O28" t="s">
        <v>122</v>
      </c>
      <c r="P28" s="1" t="s">
        <v>123</v>
      </c>
      <c r="AF28" s="1" t="s">
        <v>124</v>
      </c>
      <c r="AG28" t="s">
        <v>191</v>
      </c>
      <c r="AH28">
        <v>1991</v>
      </c>
      <c r="AI28" t="s">
        <v>126</v>
      </c>
      <c r="AJ28" t="s">
        <v>1662</v>
      </c>
      <c r="AK28" t="s">
        <v>150</v>
      </c>
      <c r="AL28" t="s">
        <v>150</v>
      </c>
      <c r="AM28" t="s">
        <v>150</v>
      </c>
      <c r="AN28" t="s">
        <v>132</v>
      </c>
      <c r="AO28" t="s">
        <v>132</v>
      </c>
      <c r="AP28" t="s">
        <v>718</v>
      </c>
      <c r="AQ28" t="s">
        <v>132</v>
      </c>
      <c r="AR28" t="s">
        <v>132</v>
      </c>
      <c r="AS28" t="s">
        <v>1663</v>
      </c>
      <c r="AT28" t="s">
        <v>1664</v>
      </c>
      <c r="AU28" t="s">
        <v>1665</v>
      </c>
      <c r="AV28" t="s">
        <v>172</v>
      </c>
      <c r="AX28" s="1" t="s">
        <v>159</v>
      </c>
      <c r="AY28">
        <v>1</v>
      </c>
      <c r="AZ28" t="s">
        <v>191</v>
      </c>
      <c r="BA28">
        <v>2018</v>
      </c>
      <c r="BB28" t="s">
        <v>126</v>
      </c>
      <c r="BC28" t="s">
        <v>1666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>
        <v>1</v>
      </c>
      <c r="BK28" t="s">
        <v>172</v>
      </c>
      <c r="BN28" t="s">
        <v>173</v>
      </c>
      <c r="CR28" s="1" t="s">
        <v>123</v>
      </c>
      <c r="DB28" s="1" t="s">
        <v>123</v>
      </c>
      <c r="DL28" s="1" t="s">
        <v>123</v>
      </c>
      <c r="EO28" s="1" t="s">
        <v>177</v>
      </c>
      <c r="EP28" t="s">
        <v>178</v>
      </c>
      <c r="EQ28">
        <v>1</v>
      </c>
      <c r="ER28" t="s">
        <v>191</v>
      </c>
      <c r="ES28" t="s">
        <v>169</v>
      </c>
      <c r="ET28" t="s">
        <v>169</v>
      </c>
      <c r="EU28" t="s">
        <v>151</v>
      </c>
      <c r="EV28" t="s">
        <v>178</v>
      </c>
      <c r="EW28" t="s">
        <v>1667</v>
      </c>
      <c r="EX28" t="s">
        <v>1668</v>
      </c>
      <c r="EY28" t="s">
        <v>173</v>
      </c>
      <c r="FO28" s="1" t="s">
        <v>123</v>
      </c>
      <c r="GW28" t="s">
        <v>1669</v>
      </c>
      <c r="GX28" t="s">
        <v>1670</v>
      </c>
      <c r="GY28" t="s">
        <v>1671</v>
      </c>
      <c r="GZ28" t="s">
        <v>186</v>
      </c>
      <c r="HA28">
        <v>1966</v>
      </c>
      <c r="HB28" t="s">
        <v>141</v>
      </c>
    </row>
    <row r="29" spans="1:214" x14ac:dyDescent="0.45">
      <c r="A29">
        <v>10</v>
      </c>
      <c r="B29">
        <f>_xlfn.IFNA(VLOOKUP(Analiza[[#This Row],[Zakończono wypełnianie]],Zakończone[],2,0),"BRAK")</f>
        <v>9</v>
      </c>
      <c r="C29">
        <f t="shared" si="0"/>
        <v>33</v>
      </c>
      <c r="D29" t="s">
        <v>288</v>
      </c>
      <c r="E29" t="s">
        <v>118</v>
      </c>
      <c r="J29" t="s">
        <v>119</v>
      </c>
      <c r="K29" t="s">
        <v>289</v>
      </c>
      <c r="L29" t="s">
        <v>290</v>
      </c>
      <c r="M29">
        <v>4259</v>
      </c>
      <c r="N29">
        <v>0</v>
      </c>
      <c r="O29" t="s">
        <v>122</v>
      </c>
      <c r="P29" s="1" t="s">
        <v>123</v>
      </c>
      <c r="AF29" s="1" t="s">
        <v>124</v>
      </c>
      <c r="AG29" t="s">
        <v>191</v>
      </c>
      <c r="AH29">
        <v>2013</v>
      </c>
      <c r="AI29" t="s">
        <v>126</v>
      </c>
      <c r="AJ29" t="s">
        <v>291</v>
      </c>
      <c r="AK29" t="s">
        <v>150</v>
      </c>
      <c r="AL29" t="s">
        <v>150</v>
      </c>
      <c r="AM29" t="s">
        <v>169</v>
      </c>
      <c r="AN29" t="s">
        <v>151</v>
      </c>
      <c r="AO29" t="s">
        <v>162</v>
      </c>
      <c r="AP29">
        <v>1</v>
      </c>
      <c r="AQ29" t="s">
        <v>131</v>
      </c>
      <c r="AR29" t="s">
        <v>153</v>
      </c>
      <c r="AS29" t="s">
        <v>292</v>
      </c>
      <c r="AT29" t="s">
        <v>293</v>
      </c>
      <c r="AU29" t="s">
        <v>294</v>
      </c>
      <c r="AV29" t="s">
        <v>157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FR29" t="s">
        <v>132</v>
      </c>
      <c r="GW29" t="s">
        <v>295</v>
      </c>
      <c r="GX29" t="s">
        <v>296</v>
      </c>
      <c r="GY29" t="s">
        <v>297</v>
      </c>
      <c r="GZ29" t="s">
        <v>186</v>
      </c>
      <c r="HA29">
        <v>1988</v>
      </c>
      <c r="HB29" t="s">
        <v>141</v>
      </c>
    </row>
    <row r="30" spans="1:214" x14ac:dyDescent="0.45">
      <c r="A30">
        <v>257</v>
      </c>
      <c r="B30">
        <f>_xlfn.IFNA(VLOOKUP(Analiza[[#This Row],[Zakończono wypełnianie]],Zakończone[],2,0),"BRAK")</f>
        <v>134</v>
      </c>
      <c r="C30">
        <f t="shared" si="0"/>
        <v>61</v>
      </c>
      <c r="D30" t="s">
        <v>2014</v>
      </c>
      <c r="E30" t="s">
        <v>118</v>
      </c>
      <c r="J30" t="s">
        <v>119</v>
      </c>
      <c r="K30" t="s">
        <v>2015</v>
      </c>
      <c r="L30" t="s">
        <v>2016</v>
      </c>
      <c r="M30">
        <v>1430</v>
      </c>
      <c r="N30">
        <v>0</v>
      </c>
      <c r="O30" t="s">
        <v>122</v>
      </c>
      <c r="P30" s="1" t="s">
        <v>123</v>
      </c>
      <c r="AF30" s="1" t="s">
        <v>124</v>
      </c>
      <c r="AG30" t="s">
        <v>191</v>
      </c>
      <c r="AH30">
        <v>1989</v>
      </c>
      <c r="AI30" t="s">
        <v>126</v>
      </c>
      <c r="AJ30" t="s">
        <v>2017</v>
      </c>
      <c r="AK30" t="s">
        <v>150</v>
      </c>
      <c r="AL30" t="s">
        <v>150</v>
      </c>
      <c r="AM30" t="s">
        <v>162</v>
      </c>
      <c r="AN30" t="s">
        <v>162</v>
      </c>
      <c r="AO30" t="s">
        <v>162</v>
      </c>
      <c r="AP30">
        <v>0</v>
      </c>
      <c r="AQ30" t="s">
        <v>226</v>
      </c>
      <c r="AR30" t="s">
        <v>226</v>
      </c>
      <c r="AS30" t="s">
        <v>2018</v>
      </c>
      <c r="AT30" t="s">
        <v>1229</v>
      </c>
      <c r="AU30" t="s">
        <v>1229</v>
      </c>
      <c r="AV30" t="s">
        <v>157</v>
      </c>
      <c r="AW30" t="s">
        <v>1271</v>
      </c>
      <c r="AX30" s="1" t="s">
        <v>159</v>
      </c>
      <c r="AY30">
        <v>1</v>
      </c>
      <c r="AZ30" t="s">
        <v>191</v>
      </c>
      <c r="BA30">
        <v>2016</v>
      </c>
      <c r="BB30" t="s">
        <v>126</v>
      </c>
      <c r="BC30" t="s">
        <v>2019</v>
      </c>
      <c r="BD30" t="s">
        <v>150</v>
      </c>
      <c r="BE30" t="s">
        <v>150</v>
      </c>
      <c r="BF30" t="s">
        <v>151</v>
      </c>
      <c r="BG30" t="s">
        <v>128</v>
      </c>
      <c r="BH30" t="s">
        <v>162</v>
      </c>
      <c r="BI30" t="s">
        <v>2020</v>
      </c>
      <c r="BJ30" t="s">
        <v>2021</v>
      </c>
      <c r="BK30" t="s">
        <v>157</v>
      </c>
      <c r="BN30" t="s">
        <v>173</v>
      </c>
      <c r="CR30" s="1" t="s">
        <v>123</v>
      </c>
      <c r="DB30" s="1" t="s">
        <v>123</v>
      </c>
      <c r="DL30" s="1" t="s">
        <v>123</v>
      </c>
      <c r="EO30" s="1" t="s">
        <v>123</v>
      </c>
      <c r="FO30" s="1" t="s">
        <v>2022</v>
      </c>
      <c r="FP30" t="s">
        <v>2023</v>
      </c>
      <c r="FQ30" t="s">
        <v>2024</v>
      </c>
      <c r="FR30">
        <v>1</v>
      </c>
      <c r="FS30" t="s">
        <v>191</v>
      </c>
      <c r="FT30" t="s">
        <v>150</v>
      </c>
      <c r="FU30" t="s">
        <v>150</v>
      </c>
      <c r="FV30" t="s">
        <v>150</v>
      </c>
      <c r="FW30" t="s">
        <v>150</v>
      </c>
      <c r="FX30" t="s">
        <v>150</v>
      </c>
      <c r="FY30" t="s">
        <v>150</v>
      </c>
      <c r="FZ30" t="s">
        <v>150</v>
      </c>
      <c r="GB30" t="s">
        <v>2025</v>
      </c>
      <c r="GC30" t="s">
        <v>173</v>
      </c>
      <c r="GW30" t="s">
        <v>1229</v>
      </c>
      <c r="GX30" t="s">
        <v>1229</v>
      </c>
      <c r="GY30" t="s">
        <v>1229</v>
      </c>
      <c r="GZ30" t="s">
        <v>186</v>
      </c>
      <c r="HA30">
        <v>1965</v>
      </c>
      <c r="HB30" t="s">
        <v>220</v>
      </c>
      <c r="HD30" t="s">
        <v>2026</v>
      </c>
      <c r="HF30" t="s">
        <v>2027</v>
      </c>
    </row>
    <row r="31" spans="1:214" x14ac:dyDescent="0.45">
      <c r="A31">
        <v>94</v>
      </c>
      <c r="B31">
        <f>_xlfn.IFNA(VLOOKUP(Analiza[[#This Row],[Zakończono wypełnianie]],Zakończone[],2,0),"BRAK")</f>
        <v>57</v>
      </c>
      <c r="C31">
        <f t="shared" si="0"/>
        <v>32</v>
      </c>
      <c r="D31" t="s">
        <v>955</v>
      </c>
      <c r="E31" t="s">
        <v>118</v>
      </c>
      <c r="F31" t="s">
        <v>774</v>
      </c>
      <c r="J31" t="s">
        <v>119</v>
      </c>
      <c r="K31" t="s">
        <v>956</v>
      </c>
      <c r="L31" t="s">
        <v>957</v>
      </c>
      <c r="M31">
        <v>1186</v>
      </c>
      <c r="N31">
        <v>0</v>
      </c>
      <c r="O31" t="s">
        <v>122</v>
      </c>
      <c r="P31" s="1" t="s">
        <v>416</v>
      </c>
      <c r="Q31" t="s">
        <v>223</v>
      </c>
      <c r="R31" t="s">
        <v>148</v>
      </c>
      <c r="S31" t="s">
        <v>958</v>
      </c>
      <c r="T31" t="s">
        <v>151</v>
      </c>
      <c r="U31" t="s">
        <v>128</v>
      </c>
      <c r="V31" t="s">
        <v>236</v>
      </c>
      <c r="W31" t="s">
        <v>959</v>
      </c>
      <c r="X31" t="s">
        <v>302</v>
      </c>
      <c r="Y31" t="s">
        <v>153</v>
      </c>
      <c r="Z31" t="s">
        <v>960</v>
      </c>
      <c r="AA31" t="s">
        <v>961</v>
      </c>
      <c r="AB31" t="s">
        <v>962</v>
      </c>
      <c r="AC31" t="s">
        <v>157</v>
      </c>
      <c r="AE31">
        <v>4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EP31" t="s">
        <v>180</v>
      </c>
      <c r="EQ31" t="s">
        <v>132</v>
      </c>
      <c r="FO31" s="1" t="s">
        <v>123</v>
      </c>
      <c r="FP31" t="s">
        <v>132</v>
      </c>
      <c r="GW31" t="s">
        <v>826</v>
      </c>
      <c r="GX31" t="s">
        <v>824</v>
      </c>
      <c r="GY31" t="s">
        <v>820</v>
      </c>
      <c r="GZ31" t="s">
        <v>140</v>
      </c>
      <c r="HA31">
        <v>1993</v>
      </c>
      <c r="HB31" t="s">
        <v>483</v>
      </c>
    </row>
    <row r="32" spans="1:214" x14ac:dyDescent="0.45">
      <c r="A32">
        <v>12</v>
      </c>
      <c r="B32">
        <f>_xlfn.IFNA(VLOOKUP(Analiza[[#This Row],[Zakończono wypełnianie]],Zakończone[],2,0),"BRAK")</f>
        <v>11</v>
      </c>
      <c r="C32">
        <f t="shared" si="0"/>
        <v>35</v>
      </c>
      <c r="D32" t="s">
        <v>316</v>
      </c>
      <c r="E32" t="s">
        <v>118</v>
      </c>
      <c r="J32" t="s">
        <v>119</v>
      </c>
      <c r="K32" t="s">
        <v>317</v>
      </c>
      <c r="L32" t="s">
        <v>318</v>
      </c>
      <c r="M32">
        <v>349</v>
      </c>
      <c r="N32">
        <v>0</v>
      </c>
      <c r="O32" t="s">
        <v>122</v>
      </c>
      <c r="P32" s="1" t="s">
        <v>123</v>
      </c>
      <c r="AF32" s="1" t="s">
        <v>124</v>
      </c>
      <c r="AG32" t="s">
        <v>191</v>
      </c>
      <c r="AH32">
        <v>2010</v>
      </c>
      <c r="AI32" t="s">
        <v>126</v>
      </c>
      <c r="AJ32" t="s">
        <v>319</v>
      </c>
      <c r="AK32" t="s">
        <v>236</v>
      </c>
      <c r="AL32" t="s">
        <v>128</v>
      </c>
      <c r="AM32" t="s">
        <v>162</v>
      </c>
      <c r="AN32" t="s">
        <v>162</v>
      </c>
      <c r="AO32" t="s">
        <v>162</v>
      </c>
      <c r="AP32">
        <v>6</v>
      </c>
      <c r="AQ32" t="s">
        <v>131</v>
      </c>
      <c r="AR32" t="s">
        <v>302</v>
      </c>
      <c r="AS32" t="s">
        <v>320</v>
      </c>
      <c r="AT32" t="s">
        <v>321</v>
      </c>
      <c r="AU32" t="s">
        <v>322</v>
      </c>
      <c r="AV32" t="s">
        <v>157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EP32" t="s">
        <v>180</v>
      </c>
      <c r="EQ32" t="s">
        <v>132</v>
      </c>
      <c r="FO32" s="1" t="s">
        <v>123</v>
      </c>
      <c r="FP32" t="s">
        <v>132</v>
      </c>
      <c r="FR32" t="s">
        <v>132</v>
      </c>
      <c r="GW32" t="s">
        <v>323</v>
      </c>
      <c r="GX32" t="s">
        <v>324</v>
      </c>
      <c r="GY32" t="s">
        <v>325</v>
      </c>
      <c r="GZ32" t="s">
        <v>186</v>
      </c>
      <c r="HA32">
        <v>1985</v>
      </c>
      <c r="HB32" t="s">
        <v>141</v>
      </c>
    </row>
    <row r="33" spans="1:214" x14ac:dyDescent="0.45">
      <c r="A33">
        <v>221</v>
      </c>
      <c r="B33" t="str">
        <f>_xlfn.IFNA(VLOOKUP(Analiza[[#This Row],[Zakończono wypełnianie]],Zakończone[],2,0),"BRAK")</f>
        <v>BRAK</v>
      </c>
      <c r="C33">
        <f t="shared" si="0"/>
        <v>23</v>
      </c>
      <c r="D33" t="s">
        <v>1352</v>
      </c>
      <c r="E33" t="s">
        <v>118</v>
      </c>
      <c r="J33" t="s">
        <v>286</v>
      </c>
      <c r="K33" t="s">
        <v>1820</v>
      </c>
      <c r="L33" t="s">
        <v>1820</v>
      </c>
      <c r="M33">
        <v>0</v>
      </c>
      <c r="N33">
        <v>0</v>
      </c>
      <c r="O33" t="s">
        <v>122</v>
      </c>
      <c r="P33" s="1" t="s">
        <v>416</v>
      </c>
      <c r="Q33" t="s">
        <v>223</v>
      </c>
      <c r="R33" t="s">
        <v>148</v>
      </c>
      <c r="S33" t="s">
        <v>1495</v>
      </c>
      <c r="T33" t="s">
        <v>128</v>
      </c>
      <c r="U33" t="s">
        <v>236</v>
      </c>
      <c r="V33" t="s">
        <v>129</v>
      </c>
      <c r="W33" t="s">
        <v>1821</v>
      </c>
      <c r="X33" t="s">
        <v>943</v>
      </c>
      <c r="Y33" t="s">
        <v>194</v>
      </c>
      <c r="Z33" t="s">
        <v>1822</v>
      </c>
      <c r="AA33" t="s">
        <v>1823</v>
      </c>
      <c r="AB33" t="s">
        <v>1824</v>
      </c>
      <c r="AC33" t="s">
        <v>892</v>
      </c>
      <c r="AE33">
        <v>5</v>
      </c>
      <c r="AF33" s="1" t="s">
        <v>123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FO33" s="1" t="s">
        <v>123</v>
      </c>
    </row>
    <row r="34" spans="1:214" x14ac:dyDescent="0.45">
      <c r="A34">
        <v>16</v>
      </c>
      <c r="B34">
        <f>_xlfn.IFNA(VLOOKUP(Analiza[[#This Row],[Zakończono wypełnianie]],Zakończone[],2,0),"BRAK")</f>
        <v>15</v>
      </c>
      <c r="C34">
        <f t="shared" si="0"/>
        <v>34</v>
      </c>
      <c r="D34" t="s">
        <v>347</v>
      </c>
      <c r="E34" t="s">
        <v>118</v>
      </c>
      <c r="J34" t="s">
        <v>119</v>
      </c>
      <c r="K34" t="s">
        <v>348</v>
      </c>
      <c r="L34" t="s">
        <v>349</v>
      </c>
      <c r="M34">
        <v>781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>
        <v>2010</v>
      </c>
      <c r="AI34" t="s">
        <v>126</v>
      </c>
      <c r="AJ34" t="s">
        <v>127</v>
      </c>
      <c r="AK34" t="s">
        <v>150</v>
      </c>
      <c r="AL34" t="s">
        <v>128</v>
      </c>
      <c r="AM34" t="s">
        <v>151</v>
      </c>
      <c r="AN34" t="s">
        <v>162</v>
      </c>
      <c r="AO34" t="s">
        <v>162</v>
      </c>
      <c r="AP34" t="s">
        <v>350</v>
      </c>
      <c r="AQ34" t="s">
        <v>302</v>
      </c>
      <c r="AR34" t="s">
        <v>302</v>
      </c>
      <c r="AS34" t="s">
        <v>351</v>
      </c>
      <c r="AT34" t="s">
        <v>352</v>
      </c>
      <c r="AU34" t="s">
        <v>353</v>
      </c>
      <c r="AV34" t="s">
        <v>157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EQ34" t="s">
        <v>132</v>
      </c>
      <c r="FO34" s="1" t="s">
        <v>123</v>
      </c>
      <c r="FP34" t="s">
        <v>132</v>
      </c>
      <c r="GW34" t="s">
        <v>354</v>
      </c>
      <c r="GX34" t="s">
        <v>355</v>
      </c>
      <c r="GY34" t="s">
        <v>356</v>
      </c>
      <c r="GZ34" t="s">
        <v>140</v>
      </c>
      <c r="HA34">
        <v>1986</v>
      </c>
      <c r="HB34" t="s">
        <v>141</v>
      </c>
      <c r="HD34" t="s">
        <v>357</v>
      </c>
    </row>
    <row r="35" spans="1:214" x14ac:dyDescent="0.45">
      <c r="A35">
        <v>70</v>
      </c>
      <c r="B35">
        <f>_xlfn.IFNA(VLOOKUP(Analiza[[#This Row],[Zakończono wypełnianie]],Zakończone[],2,0),"BRAK")</f>
        <v>39</v>
      </c>
      <c r="C35">
        <f t="shared" ref="C35:C66" si="1">COUNTA(O35:HF35)</f>
        <v>54</v>
      </c>
      <c r="D35" t="s">
        <v>714</v>
      </c>
      <c r="E35" t="s">
        <v>118</v>
      </c>
      <c r="J35" t="s">
        <v>119</v>
      </c>
      <c r="K35" t="s">
        <v>715</v>
      </c>
      <c r="L35" t="s">
        <v>716</v>
      </c>
      <c r="M35">
        <v>1868</v>
      </c>
      <c r="N35">
        <v>0</v>
      </c>
      <c r="O35" t="s">
        <v>122</v>
      </c>
      <c r="P35" s="1" t="s">
        <v>123</v>
      </c>
      <c r="AF35" s="1" t="s">
        <v>124</v>
      </c>
      <c r="AG35" t="s">
        <v>191</v>
      </c>
      <c r="AH35">
        <v>2008</v>
      </c>
      <c r="AI35" t="s">
        <v>126</v>
      </c>
      <c r="AJ35" t="s">
        <v>717</v>
      </c>
      <c r="AK35" t="s">
        <v>162</v>
      </c>
      <c r="AL35" t="s">
        <v>151</v>
      </c>
      <c r="AM35" t="s">
        <v>162</v>
      </c>
      <c r="AN35" t="s">
        <v>236</v>
      </c>
      <c r="AO35" t="s">
        <v>236</v>
      </c>
      <c r="AP35" t="s">
        <v>718</v>
      </c>
      <c r="AQ35" t="s">
        <v>131</v>
      </c>
      <c r="AR35" t="s">
        <v>302</v>
      </c>
      <c r="AS35" t="s">
        <v>719</v>
      </c>
      <c r="AT35" t="s">
        <v>720</v>
      </c>
      <c r="AU35" t="s">
        <v>721</v>
      </c>
      <c r="AV35" t="s">
        <v>172</v>
      </c>
      <c r="AX35" s="1" t="s">
        <v>123</v>
      </c>
      <c r="CR35" s="1" t="s">
        <v>123</v>
      </c>
      <c r="DB35" s="1" t="s">
        <v>214</v>
      </c>
      <c r="DC35" t="s">
        <v>2275</v>
      </c>
      <c r="DD35" t="s">
        <v>2276</v>
      </c>
      <c r="DE35" t="s">
        <v>150</v>
      </c>
      <c r="DF35" t="s">
        <v>162</v>
      </c>
      <c r="DG35" t="s">
        <v>151</v>
      </c>
      <c r="DH35" t="s">
        <v>162</v>
      </c>
      <c r="DI35" t="s">
        <v>128</v>
      </c>
      <c r="DJ35" t="s">
        <v>128</v>
      </c>
      <c r="DK35" t="s">
        <v>724</v>
      </c>
      <c r="DL35" s="1" t="s">
        <v>123</v>
      </c>
      <c r="EO35" s="1" t="s">
        <v>177</v>
      </c>
      <c r="EP35" t="s">
        <v>180</v>
      </c>
      <c r="EQ35">
        <v>1</v>
      </c>
      <c r="ER35" t="s">
        <v>722</v>
      </c>
      <c r="ES35" t="s">
        <v>162</v>
      </c>
      <c r="ET35" t="s">
        <v>150</v>
      </c>
      <c r="EU35" t="s">
        <v>236</v>
      </c>
      <c r="EV35" t="s">
        <v>178</v>
      </c>
      <c r="EW35" t="s">
        <v>725</v>
      </c>
      <c r="EX35" t="s">
        <v>726</v>
      </c>
      <c r="EY35" t="s">
        <v>173</v>
      </c>
      <c r="FO35" s="1" t="s">
        <v>123</v>
      </c>
      <c r="FP35" t="s">
        <v>132</v>
      </c>
      <c r="FR35" t="s">
        <v>132</v>
      </c>
      <c r="GW35" t="s">
        <v>727</v>
      </c>
      <c r="GX35" t="s">
        <v>728</v>
      </c>
      <c r="GY35" t="s">
        <v>729</v>
      </c>
      <c r="GZ35" t="s">
        <v>186</v>
      </c>
      <c r="HA35">
        <v>1983</v>
      </c>
      <c r="HB35" t="s">
        <v>141</v>
      </c>
      <c r="HD35" t="s">
        <v>730</v>
      </c>
      <c r="HF35" t="s">
        <v>731</v>
      </c>
    </row>
    <row r="36" spans="1:214" x14ac:dyDescent="0.45">
      <c r="A36">
        <v>232</v>
      </c>
      <c r="B36" t="str">
        <f>_xlfn.IFNA(VLOOKUP(Analiza[[#This Row],[Zakończono wypełnianie]],Zakończone[],2,0),"BRAK")</f>
        <v>BRAK</v>
      </c>
      <c r="C36">
        <f t="shared" si="1"/>
        <v>22</v>
      </c>
      <c r="D36" t="s">
        <v>1874</v>
      </c>
      <c r="E36" t="s">
        <v>118</v>
      </c>
      <c r="J36" t="s">
        <v>286</v>
      </c>
      <c r="K36" t="s">
        <v>1875</v>
      </c>
      <c r="L36" t="s">
        <v>1875</v>
      </c>
      <c r="M36">
        <v>0</v>
      </c>
      <c r="N36">
        <v>0</v>
      </c>
      <c r="O36" t="s">
        <v>122</v>
      </c>
      <c r="P36" s="1" t="s">
        <v>416</v>
      </c>
      <c r="Q36" t="s">
        <v>223</v>
      </c>
      <c r="R36" t="s">
        <v>148</v>
      </c>
      <c r="S36" t="s">
        <v>1876</v>
      </c>
      <c r="T36" t="s">
        <v>129</v>
      </c>
      <c r="U36" t="s">
        <v>236</v>
      </c>
      <c r="V36" t="s">
        <v>151</v>
      </c>
      <c r="W36" t="s">
        <v>1877</v>
      </c>
      <c r="X36" t="s">
        <v>302</v>
      </c>
      <c r="Y36" t="s">
        <v>153</v>
      </c>
      <c r="AA36" t="s">
        <v>1878</v>
      </c>
      <c r="AB36" t="s">
        <v>1879</v>
      </c>
      <c r="AC36" t="s">
        <v>157</v>
      </c>
      <c r="AE36">
        <v>3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</row>
    <row r="37" spans="1:214" x14ac:dyDescent="0.45">
      <c r="A37">
        <v>86</v>
      </c>
      <c r="B37">
        <f>_xlfn.IFNA(VLOOKUP(Analiza[[#This Row],[Zakończono wypełnianie]],Zakończone[],2,0),"BRAK")</f>
        <v>51</v>
      </c>
      <c r="C37">
        <f t="shared" si="1"/>
        <v>43</v>
      </c>
      <c r="D37" t="s">
        <v>873</v>
      </c>
      <c r="E37" t="s">
        <v>118</v>
      </c>
      <c r="F37" t="s">
        <v>797</v>
      </c>
      <c r="J37" t="s">
        <v>119</v>
      </c>
      <c r="K37" t="s">
        <v>880</v>
      </c>
      <c r="L37" t="s">
        <v>881</v>
      </c>
      <c r="M37">
        <v>2138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>
        <v>2005</v>
      </c>
      <c r="AI37" t="s">
        <v>126</v>
      </c>
      <c r="AJ37" t="s">
        <v>882</v>
      </c>
      <c r="AK37" t="s">
        <v>162</v>
      </c>
      <c r="AL37" t="s">
        <v>162</v>
      </c>
      <c r="AM37" t="s">
        <v>162</v>
      </c>
      <c r="AN37" t="s">
        <v>236</v>
      </c>
      <c r="AO37" t="s">
        <v>128</v>
      </c>
      <c r="AP37" t="s">
        <v>883</v>
      </c>
      <c r="AQ37" t="s">
        <v>131</v>
      </c>
      <c r="AR37" t="s">
        <v>302</v>
      </c>
      <c r="AS37" t="s">
        <v>884</v>
      </c>
      <c r="AT37" t="s">
        <v>532</v>
      </c>
      <c r="AU37" t="s">
        <v>532</v>
      </c>
      <c r="AV37" t="s">
        <v>157</v>
      </c>
      <c r="AW37" t="s">
        <v>878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177</v>
      </c>
      <c r="EP37" t="s">
        <v>178</v>
      </c>
      <c r="EQ37">
        <v>1</v>
      </c>
      <c r="ER37" t="s">
        <v>747</v>
      </c>
      <c r="ES37" t="s">
        <v>162</v>
      </c>
      <c r="ET37" t="s">
        <v>162</v>
      </c>
      <c r="EU37" t="s">
        <v>151</v>
      </c>
      <c r="EV37" t="s">
        <v>178</v>
      </c>
      <c r="EW37" t="s">
        <v>885</v>
      </c>
      <c r="EX37" t="s">
        <v>886</v>
      </c>
      <c r="EY37" t="s">
        <v>173</v>
      </c>
      <c r="FO37" s="1" t="s">
        <v>123</v>
      </c>
      <c r="FP37" t="s">
        <v>132</v>
      </c>
      <c r="GW37" t="s">
        <v>887</v>
      </c>
      <c r="GX37" t="s">
        <v>532</v>
      </c>
      <c r="GY37" t="s">
        <v>532</v>
      </c>
      <c r="GZ37" t="s">
        <v>140</v>
      </c>
      <c r="HA37">
        <v>1981</v>
      </c>
      <c r="HB37" t="s">
        <v>141</v>
      </c>
    </row>
    <row r="38" spans="1:214" x14ac:dyDescent="0.45">
      <c r="A38">
        <v>57</v>
      </c>
      <c r="B38" t="str">
        <f>_xlfn.IFNA(VLOOKUP(Analiza[[#This Row],[Zakończono wypełnianie]],Zakończone[],2,0),"BRAK")</f>
        <v>BRAK</v>
      </c>
      <c r="C38">
        <f t="shared" si="1"/>
        <v>24</v>
      </c>
      <c r="D38" t="s">
        <v>637</v>
      </c>
      <c r="E38" t="s">
        <v>118</v>
      </c>
      <c r="F38" t="s">
        <v>548</v>
      </c>
      <c r="J38" t="s">
        <v>286</v>
      </c>
      <c r="K38" t="s">
        <v>638</v>
      </c>
      <c r="L38" t="s">
        <v>638</v>
      </c>
      <c r="M38">
        <v>0</v>
      </c>
      <c r="N38">
        <v>0</v>
      </c>
      <c r="O38" t="s">
        <v>122</v>
      </c>
      <c r="P38" s="1" t="s">
        <v>416</v>
      </c>
      <c r="Q38" t="s">
        <v>445</v>
      </c>
      <c r="R38" t="s">
        <v>148</v>
      </c>
      <c r="S38" t="s">
        <v>640</v>
      </c>
      <c r="T38" t="s">
        <v>169</v>
      </c>
      <c r="U38" t="s">
        <v>169</v>
      </c>
      <c r="V38" t="s">
        <v>151</v>
      </c>
      <c r="W38" t="s">
        <v>641</v>
      </c>
      <c r="X38" t="s">
        <v>302</v>
      </c>
      <c r="Y38" t="s">
        <v>302</v>
      </c>
      <c r="Z38" t="s">
        <v>642</v>
      </c>
      <c r="AA38" t="s">
        <v>643</v>
      </c>
      <c r="AB38" t="s">
        <v>644</v>
      </c>
      <c r="AC38" t="s">
        <v>172</v>
      </c>
      <c r="AE38">
        <v>6</v>
      </c>
      <c r="AF38" s="1" t="s">
        <v>123</v>
      </c>
      <c r="AX38" s="1" t="s">
        <v>123</v>
      </c>
      <c r="CR38" s="1" t="s">
        <v>123</v>
      </c>
      <c r="DB38" s="1" t="s">
        <v>123</v>
      </c>
      <c r="DL38" s="1" t="s">
        <v>123</v>
      </c>
      <c r="EO38" s="1" t="s">
        <v>123</v>
      </c>
      <c r="FO38" s="1" t="s">
        <v>123</v>
      </c>
      <c r="FP38" t="s">
        <v>132</v>
      </c>
    </row>
    <row r="39" spans="1:214" x14ac:dyDescent="0.45">
      <c r="A39">
        <v>260</v>
      </c>
      <c r="B39">
        <f>_xlfn.IFNA(VLOOKUP(Analiza[[#This Row],[Zakończono wypełnianie]],Zakończone[],2,0),"BRAK")</f>
        <v>137</v>
      </c>
      <c r="C39">
        <f t="shared" si="1"/>
        <v>66</v>
      </c>
      <c r="D39" t="s">
        <v>2014</v>
      </c>
      <c r="E39" t="s">
        <v>118</v>
      </c>
      <c r="J39" t="s">
        <v>119</v>
      </c>
      <c r="K39" t="s">
        <v>2046</v>
      </c>
      <c r="L39" t="s">
        <v>2047</v>
      </c>
      <c r="M39">
        <v>707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>
        <v>1985</v>
      </c>
      <c r="AI39" t="s">
        <v>126</v>
      </c>
      <c r="AJ39" t="s">
        <v>2017</v>
      </c>
      <c r="AK39" t="s">
        <v>150</v>
      </c>
      <c r="AL39" t="s">
        <v>150</v>
      </c>
      <c r="AM39" t="s">
        <v>151</v>
      </c>
      <c r="AN39" t="s">
        <v>236</v>
      </c>
      <c r="AO39" t="s">
        <v>150</v>
      </c>
      <c r="AP39" t="s">
        <v>237</v>
      </c>
      <c r="AQ39" t="s">
        <v>152</v>
      </c>
      <c r="AR39" t="s">
        <v>759</v>
      </c>
      <c r="AS39" t="s">
        <v>2048</v>
      </c>
      <c r="AT39" t="s">
        <v>1229</v>
      </c>
      <c r="AU39" t="s">
        <v>1229</v>
      </c>
      <c r="AV39" t="s">
        <v>157</v>
      </c>
      <c r="AW39" t="s">
        <v>2032</v>
      </c>
      <c r="AX39" s="1" t="s">
        <v>159</v>
      </c>
      <c r="AY39">
        <v>1</v>
      </c>
      <c r="AZ39" t="s">
        <v>191</v>
      </c>
      <c r="BA39">
        <v>2018</v>
      </c>
      <c r="BB39" t="s">
        <v>126</v>
      </c>
      <c r="BC39" t="s">
        <v>2049</v>
      </c>
      <c r="BD39" t="s">
        <v>151</v>
      </c>
      <c r="BE39" t="s">
        <v>151</v>
      </c>
      <c r="BF39" t="s">
        <v>128</v>
      </c>
      <c r="BG39" t="s">
        <v>162</v>
      </c>
      <c r="BH39" t="s">
        <v>132</v>
      </c>
      <c r="BI39">
        <v>12</v>
      </c>
      <c r="BJ39" t="s">
        <v>2050</v>
      </c>
      <c r="BK39" t="s">
        <v>157</v>
      </c>
      <c r="BN39" t="s">
        <v>173</v>
      </c>
      <c r="CR39" s="1" t="s">
        <v>123</v>
      </c>
      <c r="DB39" s="1" t="s">
        <v>123</v>
      </c>
      <c r="DL39" s="1" t="s">
        <v>123</v>
      </c>
      <c r="EO39" s="1" t="s">
        <v>177</v>
      </c>
      <c r="EP39" t="s">
        <v>178</v>
      </c>
      <c r="EQ39">
        <v>2</v>
      </c>
      <c r="ER39" t="s">
        <v>191</v>
      </c>
      <c r="ES39" t="s">
        <v>151</v>
      </c>
      <c r="ET39" t="s">
        <v>162</v>
      </c>
      <c r="EU39" t="s">
        <v>151</v>
      </c>
      <c r="EV39" t="s">
        <v>178</v>
      </c>
      <c r="EW39" t="s">
        <v>2051</v>
      </c>
      <c r="EX39" t="s">
        <v>2052</v>
      </c>
      <c r="EY39" t="s">
        <v>1206</v>
      </c>
      <c r="EZ39" t="s">
        <v>223</v>
      </c>
      <c r="FA39" t="s">
        <v>162</v>
      </c>
      <c r="FB39" t="s">
        <v>162</v>
      </c>
      <c r="FC39" t="s">
        <v>151</v>
      </c>
      <c r="FD39" t="s">
        <v>178</v>
      </c>
      <c r="FE39" t="s">
        <v>2053</v>
      </c>
      <c r="FF39" t="s">
        <v>2054</v>
      </c>
      <c r="FG39" t="s">
        <v>173</v>
      </c>
      <c r="FO39" s="1" t="s">
        <v>123</v>
      </c>
      <c r="GW39" t="s">
        <v>1229</v>
      </c>
      <c r="GX39" t="s">
        <v>1229</v>
      </c>
      <c r="GY39" t="s">
        <v>1229</v>
      </c>
      <c r="GZ39" t="s">
        <v>186</v>
      </c>
      <c r="HA39">
        <v>1959</v>
      </c>
      <c r="HB39" t="s">
        <v>141</v>
      </c>
      <c r="HD39" t="s">
        <v>2055</v>
      </c>
      <c r="HF39" t="s">
        <v>2056</v>
      </c>
    </row>
    <row r="40" spans="1:214" x14ac:dyDescent="0.45">
      <c r="A40">
        <v>32</v>
      </c>
      <c r="B40">
        <f>_xlfn.IFNA(VLOOKUP(Analiza[[#This Row],[Zakończono wypełnianie]],Zakończone[],2,0),"BRAK")</f>
        <v>22</v>
      </c>
      <c r="C40">
        <f t="shared" si="1"/>
        <v>36</v>
      </c>
      <c r="D40" t="s">
        <v>458</v>
      </c>
      <c r="E40" t="s">
        <v>118</v>
      </c>
      <c r="F40" t="s">
        <v>359</v>
      </c>
      <c r="J40" t="s">
        <v>119</v>
      </c>
      <c r="K40" t="s">
        <v>459</v>
      </c>
      <c r="L40" t="s">
        <v>460</v>
      </c>
      <c r="M40">
        <v>490</v>
      </c>
      <c r="N40">
        <v>0</v>
      </c>
      <c r="O40" t="s">
        <v>122</v>
      </c>
      <c r="P40" s="1" t="s">
        <v>416</v>
      </c>
      <c r="Q40" t="s">
        <v>445</v>
      </c>
      <c r="R40" t="s">
        <v>148</v>
      </c>
      <c r="S40" t="s">
        <v>461</v>
      </c>
      <c r="T40" t="s">
        <v>169</v>
      </c>
      <c r="U40" t="s">
        <v>169</v>
      </c>
      <c r="V40" t="s">
        <v>169</v>
      </c>
      <c r="W40" t="s">
        <v>462</v>
      </c>
      <c r="X40" t="s">
        <v>302</v>
      </c>
      <c r="Y40" t="s">
        <v>302</v>
      </c>
      <c r="Z40" t="s">
        <v>463</v>
      </c>
      <c r="AA40" t="s">
        <v>464</v>
      </c>
      <c r="AB40" t="s">
        <v>465</v>
      </c>
      <c r="AC40" t="s">
        <v>157</v>
      </c>
      <c r="AD40" t="s">
        <v>466</v>
      </c>
      <c r="AE40">
        <v>10</v>
      </c>
      <c r="AF40" s="1" t="s">
        <v>123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468</v>
      </c>
      <c r="GX40" t="s">
        <v>469</v>
      </c>
      <c r="GY40" t="s">
        <v>142</v>
      </c>
      <c r="GZ40" t="s">
        <v>140</v>
      </c>
      <c r="HA40">
        <v>1996</v>
      </c>
      <c r="HB40" t="s">
        <v>141</v>
      </c>
      <c r="HD40" t="s">
        <v>470</v>
      </c>
      <c r="HE40" t="s">
        <v>471</v>
      </c>
    </row>
    <row r="41" spans="1:214" x14ac:dyDescent="0.45">
      <c r="A41">
        <v>5</v>
      </c>
      <c r="B41">
        <f>_xlfn.IFNA(VLOOKUP(Analiza[[#This Row],[Zakończono wypełnianie]],Zakończone[],2,0),"BRAK")</f>
        <v>5</v>
      </c>
      <c r="C41">
        <f t="shared" si="1"/>
        <v>83</v>
      </c>
      <c r="D41" t="s">
        <v>202</v>
      </c>
      <c r="E41" t="s">
        <v>118</v>
      </c>
      <c r="J41" t="s">
        <v>119</v>
      </c>
      <c r="K41" t="s">
        <v>221</v>
      </c>
      <c r="L41" t="s">
        <v>222</v>
      </c>
      <c r="M41">
        <v>1659</v>
      </c>
      <c r="N41">
        <v>0</v>
      </c>
      <c r="O41" t="s">
        <v>122</v>
      </c>
      <c r="P41" s="1" t="s">
        <v>123</v>
      </c>
      <c r="AF41" s="1" t="s">
        <v>124</v>
      </c>
      <c r="AG41" t="s">
        <v>223</v>
      </c>
      <c r="AH41">
        <v>1999</v>
      </c>
      <c r="AI41" t="s">
        <v>148</v>
      </c>
      <c r="AJ41" t="s">
        <v>224</v>
      </c>
      <c r="AK41" t="s">
        <v>162</v>
      </c>
      <c r="AL41" t="s">
        <v>162</v>
      </c>
      <c r="AM41" t="s">
        <v>150</v>
      </c>
      <c r="AN41" t="s">
        <v>150</v>
      </c>
      <c r="AO41" t="s">
        <v>169</v>
      </c>
      <c r="AP41" t="s">
        <v>225</v>
      </c>
      <c r="AQ41" t="s">
        <v>153</v>
      </c>
      <c r="AR41" t="s">
        <v>226</v>
      </c>
      <c r="AS41" t="s">
        <v>227</v>
      </c>
      <c r="AT41" t="s">
        <v>228</v>
      </c>
      <c r="AU41" t="s">
        <v>229</v>
      </c>
      <c r="AV41" t="s">
        <v>230</v>
      </c>
      <c r="AX41" s="1" t="s">
        <v>159</v>
      </c>
      <c r="AY41">
        <v>3</v>
      </c>
      <c r="AZ41" t="s">
        <v>191</v>
      </c>
      <c r="BA41">
        <v>2011</v>
      </c>
      <c r="BB41" t="s">
        <v>126</v>
      </c>
      <c r="BC41" t="s">
        <v>2273</v>
      </c>
      <c r="BD41" t="s">
        <v>169</v>
      </c>
      <c r="BE41" t="s">
        <v>169</v>
      </c>
      <c r="BF41" t="s">
        <v>150</v>
      </c>
      <c r="BG41" t="s">
        <v>162</v>
      </c>
      <c r="BH41" t="s">
        <v>150</v>
      </c>
      <c r="BI41">
        <v>1</v>
      </c>
      <c r="BJ41" t="s">
        <v>232</v>
      </c>
      <c r="BK41" t="s">
        <v>157</v>
      </c>
      <c r="BM41" t="s">
        <v>233</v>
      </c>
      <c r="BN41" t="s">
        <v>166</v>
      </c>
      <c r="BO41" t="s">
        <v>234</v>
      </c>
      <c r="BP41">
        <v>2011</v>
      </c>
      <c r="BQ41" t="s">
        <v>148</v>
      </c>
      <c r="BR41" t="s">
        <v>235</v>
      </c>
      <c r="BS41" t="s">
        <v>151</v>
      </c>
      <c r="BT41" t="s">
        <v>128</v>
      </c>
      <c r="BU41" t="s">
        <v>236</v>
      </c>
      <c r="BV41" t="s">
        <v>128</v>
      </c>
      <c r="BW41" t="s">
        <v>162</v>
      </c>
      <c r="BX41" t="s">
        <v>237</v>
      </c>
      <c r="BZ41" t="s">
        <v>172</v>
      </c>
      <c r="CB41" t="s">
        <v>233</v>
      </c>
      <c r="CC41" t="s">
        <v>238</v>
      </c>
      <c r="CD41" t="s">
        <v>223</v>
      </c>
      <c r="CE41">
        <v>2016</v>
      </c>
      <c r="CF41" t="s">
        <v>148</v>
      </c>
      <c r="CG41" t="s">
        <v>239</v>
      </c>
      <c r="CH41" t="s">
        <v>169</v>
      </c>
      <c r="CI41" t="s">
        <v>169</v>
      </c>
      <c r="CJ41" t="s">
        <v>169</v>
      </c>
      <c r="CK41" t="s">
        <v>150</v>
      </c>
      <c r="CL41" t="s">
        <v>150</v>
      </c>
      <c r="CM41">
        <v>1</v>
      </c>
      <c r="CN41" t="s">
        <v>240</v>
      </c>
      <c r="CO41" t="s">
        <v>157</v>
      </c>
      <c r="CQ41" t="s">
        <v>233</v>
      </c>
      <c r="CR41" s="1" t="s">
        <v>123</v>
      </c>
      <c r="DB41" s="1" t="s">
        <v>214</v>
      </c>
      <c r="DC41" t="s">
        <v>234</v>
      </c>
      <c r="DD41" t="s">
        <v>241</v>
      </c>
      <c r="DE41" t="s">
        <v>162</v>
      </c>
      <c r="DF41" t="s">
        <v>169</v>
      </c>
      <c r="DG41" t="s">
        <v>169</v>
      </c>
      <c r="DH41" t="s">
        <v>151</v>
      </c>
      <c r="DI41" t="s">
        <v>151</v>
      </c>
      <c r="DJ41" t="s">
        <v>151</v>
      </c>
      <c r="DK41" t="s">
        <v>242</v>
      </c>
      <c r="DL41" s="1" t="s">
        <v>123</v>
      </c>
      <c r="EO41" s="1" t="s">
        <v>123</v>
      </c>
      <c r="FO41" s="1" t="s">
        <v>123</v>
      </c>
      <c r="FP41" t="s">
        <v>132</v>
      </c>
      <c r="GW41" t="s">
        <v>243</v>
      </c>
      <c r="GX41" t="s">
        <v>244</v>
      </c>
      <c r="GY41" t="s">
        <v>245</v>
      </c>
      <c r="GZ41" t="s">
        <v>186</v>
      </c>
      <c r="HA41">
        <v>1961</v>
      </c>
      <c r="HB41" t="s">
        <v>246</v>
      </c>
      <c r="HD41" t="s">
        <v>247</v>
      </c>
    </row>
    <row r="42" spans="1:214" x14ac:dyDescent="0.45">
      <c r="A42">
        <v>89</v>
      </c>
      <c r="B42">
        <f>_xlfn.IFNA(VLOOKUP(Analiza[[#This Row],[Zakończono wypełnianie]],Zakończone[],2,0),"BRAK")</f>
        <v>54</v>
      </c>
      <c r="C42">
        <f t="shared" si="1"/>
        <v>35</v>
      </c>
      <c r="D42" t="s">
        <v>902</v>
      </c>
      <c r="E42" t="s">
        <v>118</v>
      </c>
      <c r="J42" t="s">
        <v>119</v>
      </c>
      <c r="K42" t="s">
        <v>903</v>
      </c>
      <c r="L42" t="s">
        <v>904</v>
      </c>
      <c r="M42">
        <v>255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>
        <v>2009</v>
      </c>
      <c r="AI42" t="s">
        <v>126</v>
      </c>
      <c r="AJ42" t="s">
        <v>906</v>
      </c>
      <c r="AK42" t="s">
        <v>151</v>
      </c>
      <c r="AL42" t="s">
        <v>151</v>
      </c>
      <c r="AM42" t="s">
        <v>150</v>
      </c>
      <c r="AN42" t="s">
        <v>128</v>
      </c>
      <c r="AO42" t="s">
        <v>162</v>
      </c>
      <c r="AP42" t="s">
        <v>907</v>
      </c>
      <c r="AQ42" t="s">
        <v>131</v>
      </c>
      <c r="AR42" t="s">
        <v>759</v>
      </c>
      <c r="AS42" t="s">
        <v>908</v>
      </c>
      <c r="AT42" t="s">
        <v>908</v>
      </c>
      <c r="AU42" t="s">
        <v>909</v>
      </c>
      <c r="AV42" t="s">
        <v>172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910</v>
      </c>
      <c r="GX42" t="s">
        <v>911</v>
      </c>
      <c r="GY42" t="s">
        <v>912</v>
      </c>
      <c r="GZ42" t="s">
        <v>186</v>
      </c>
      <c r="HA42">
        <v>1983</v>
      </c>
      <c r="HB42" t="s">
        <v>141</v>
      </c>
    </row>
    <row r="43" spans="1:214" x14ac:dyDescent="0.45">
      <c r="A43">
        <v>96</v>
      </c>
      <c r="B43">
        <f>_xlfn.IFNA(VLOOKUP(Analiza[[#This Row],[Zakończono wypełnianie]],Zakończone[],2,0),"BRAK")</f>
        <v>59</v>
      </c>
      <c r="C43">
        <f t="shared" si="1"/>
        <v>36</v>
      </c>
      <c r="D43" t="s">
        <v>370</v>
      </c>
      <c r="E43" t="s">
        <v>118</v>
      </c>
      <c r="F43" t="s">
        <v>774</v>
      </c>
      <c r="J43" t="s">
        <v>119</v>
      </c>
      <c r="K43" t="s">
        <v>967</v>
      </c>
      <c r="L43" t="s">
        <v>968</v>
      </c>
      <c r="M43">
        <v>5160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2000</v>
      </c>
      <c r="AI43" t="s">
        <v>148</v>
      </c>
      <c r="AJ43" t="s">
        <v>969</v>
      </c>
      <c r="AK43" t="s">
        <v>151</v>
      </c>
      <c r="AL43" t="s">
        <v>151</v>
      </c>
      <c r="AM43" t="s">
        <v>162</v>
      </c>
      <c r="AN43" t="s">
        <v>162</v>
      </c>
      <c r="AO43" t="s">
        <v>150</v>
      </c>
      <c r="AP43">
        <v>0</v>
      </c>
      <c r="AQ43" t="s">
        <v>153</v>
      </c>
      <c r="AR43" t="s">
        <v>226</v>
      </c>
      <c r="AS43" t="s">
        <v>802</v>
      </c>
      <c r="AT43" t="s">
        <v>824</v>
      </c>
      <c r="AU43" t="s">
        <v>780</v>
      </c>
      <c r="AV43" t="s">
        <v>230</v>
      </c>
      <c r="AW43" t="s">
        <v>970</v>
      </c>
      <c r="AX43" s="1" t="s">
        <v>123</v>
      </c>
      <c r="CR43" s="1" t="s">
        <v>123</v>
      </c>
      <c r="DB43" s="1" t="s">
        <v>123</v>
      </c>
      <c r="DL43" s="1" t="s">
        <v>123</v>
      </c>
      <c r="EO43" s="1" t="s">
        <v>123</v>
      </c>
      <c r="FO43" s="1" t="s">
        <v>123</v>
      </c>
      <c r="FP43" t="s">
        <v>132</v>
      </c>
      <c r="FR43" t="s">
        <v>132</v>
      </c>
      <c r="GW43" t="s">
        <v>786</v>
      </c>
      <c r="GX43" t="s">
        <v>787</v>
      </c>
      <c r="GY43" t="s">
        <v>807</v>
      </c>
      <c r="GZ43" t="s">
        <v>186</v>
      </c>
      <c r="HA43">
        <v>1968</v>
      </c>
      <c r="HB43" t="s">
        <v>398</v>
      </c>
      <c r="HC43" t="s">
        <v>971</v>
      </c>
      <c r="HD43" t="s">
        <v>972</v>
      </c>
    </row>
    <row r="44" spans="1:214" x14ac:dyDescent="0.45">
      <c r="A44">
        <v>41</v>
      </c>
      <c r="B44">
        <f>_xlfn.IFNA(VLOOKUP(Analiza[[#This Row],[Zakończono wypełnianie]],Zakończone[],2,0),"BRAK")</f>
        <v>27</v>
      </c>
      <c r="C44">
        <f t="shared" si="1"/>
        <v>31</v>
      </c>
      <c r="D44" t="s">
        <v>527</v>
      </c>
      <c r="E44" t="s">
        <v>118</v>
      </c>
      <c r="J44" t="s">
        <v>119</v>
      </c>
      <c r="K44" t="s">
        <v>528</v>
      </c>
      <c r="L44" t="s">
        <v>529</v>
      </c>
      <c r="M44">
        <v>283</v>
      </c>
      <c r="N44">
        <v>0</v>
      </c>
      <c r="O44" t="s">
        <v>122</v>
      </c>
      <c r="P44" s="1" t="s">
        <v>416</v>
      </c>
      <c r="Q44" t="s">
        <v>445</v>
      </c>
      <c r="R44" t="s">
        <v>148</v>
      </c>
      <c r="S44" t="s">
        <v>461</v>
      </c>
      <c r="T44" t="s">
        <v>169</v>
      </c>
      <c r="U44" t="s">
        <v>162</v>
      </c>
      <c r="V44" t="s">
        <v>162</v>
      </c>
      <c r="W44" t="s">
        <v>530</v>
      </c>
      <c r="X44" t="s">
        <v>131</v>
      </c>
      <c r="Y44" t="s">
        <v>153</v>
      </c>
      <c r="AA44" t="s">
        <v>531</v>
      </c>
      <c r="AB44" t="s">
        <v>532</v>
      </c>
      <c r="AC44" t="s">
        <v>172</v>
      </c>
      <c r="AE44">
        <v>6</v>
      </c>
      <c r="AF44" s="1" t="s">
        <v>123</v>
      </c>
      <c r="AX44" s="1" t="s">
        <v>123</v>
      </c>
      <c r="CR44" s="1" t="s">
        <v>123</v>
      </c>
      <c r="DB44" s="1" t="s">
        <v>123</v>
      </c>
      <c r="DL44" s="1" t="s">
        <v>123</v>
      </c>
      <c r="EO44" s="1" t="s">
        <v>123</v>
      </c>
      <c r="FO44" s="1" t="s">
        <v>123</v>
      </c>
      <c r="FP44" t="s">
        <v>132</v>
      </c>
      <c r="GW44" t="s">
        <v>534</v>
      </c>
      <c r="GX44" t="s">
        <v>535</v>
      </c>
      <c r="GY44" t="s">
        <v>532</v>
      </c>
      <c r="GZ44" t="s">
        <v>140</v>
      </c>
      <c r="HA44">
        <v>1996</v>
      </c>
      <c r="HB44" t="s">
        <v>483</v>
      </c>
      <c r="HD44" t="s">
        <v>536</v>
      </c>
      <c r="HE44" t="s">
        <v>537</v>
      </c>
    </row>
    <row r="45" spans="1:214" x14ac:dyDescent="0.45">
      <c r="A45">
        <v>43</v>
      </c>
      <c r="B45" t="str">
        <f>_xlfn.IFNA(VLOOKUP(Analiza[[#This Row],[Zakończono wypełnianie]],Zakończone[],2,0),"BRAK")</f>
        <v>BRAK</v>
      </c>
      <c r="C45">
        <f t="shared" si="1"/>
        <v>27</v>
      </c>
      <c r="D45" t="s">
        <v>540</v>
      </c>
      <c r="E45" t="s">
        <v>118</v>
      </c>
      <c r="F45" t="s">
        <v>375</v>
      </c>
      <c r="J45" t="s">
        <v>286</v>
      </c>
      <c r="K45" t="s">
        <v>541</v>
      </c>
      <c r="L45" t="s">
        <v>541</v>
      </c>
      <c r="M45">
        <v>0</v>
      </c>
      <c r="N45">
        <v>0</v>
      </c>
      <c r="O45" t="s">
        <v>122</v>
      </c>
      <c r="P45" s="1" t="s">
        <v>416</v>
      </c>
      <c r="Q45" t="s">
        <v>445</v>
      </c>
      <c r="R45" t="s">
        <v>148</v>
      </c>
      <c r="S45" t="s">
        <v>446</v>
      </c>
      <c r="T45" t="s">
        <v>162</v>
      </c>
      <c r="U45" t="s">
        <v>151</v>
      </c>
      <c r="V45" t="s">
        <v>162</v>
      </c>
      <c r="W45" t="s">
        <v>542</v>
      </c>
      <c r="X45" t="s">
        <v>131</v>
      </c>
      <c r="Y45" t="s">
        <v>131</v>
      </c>
      <c r="Z45" t="s">
        <v>543</v>
      </c>
      <c r="AA45" t="s">
        <v>544</v>
      </c>
      <c r="AB45" t="s">
        <v>545</v>
      </c>
      <c r="AC45" t="s">
        <v>172</v>
      </c>
      <c r="AE45">
        <v>6</v>
      </c>
      <c r="AF45" s="1" t="s">
        <v>123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</row>
    <row r="46" spans="1:214" x14ac:dyDescent="0.45">
      <c r="A46">
        <v>33</v>
      </c>
      <c r="B46">
        <f>_xlfn.IFNA(VLOOKUP(Analiza[[#This Row],[Zakończono wypełnianie]],Zakończone[],2,0),"BRAK")</f>
        <v>23</v>
      </c>
      <c r="C46">
        <f t="shared" si="1"/>
        <v>29</v>
      </c>
      <c r="D46" t="s">
        <v>472</v>
      </c>
      <c r="E46" t="s">
        <v>118</v>
      </c>
      <c r="F46" t="s">
        <v>375</v>
      </c>
      <c r="J46" t="s">
        <v>119</v>
      </c>
      <c r="K46" t="s">
        <v>473</v>
      </c>
      <c r="L46" t="s">
        <v>474</v>
      </c>
      <c r="M46">
        <v>2507</v>
      </c>
      <c r="N46">
        <v>0</v>
      </c>
      <c r="O46" t="s">
        <v>122</v>
      </c>
      <c r="P46" s="1" t="s">
        <v>416</v>
      </c>
      <c r="Q46" t="s">
        <v>445</v>
      </c>
      <c r="R46" t="s">
        <v>148</v>
      </c>
      <c r="S46" t="s">
        <v>475</v>
      </c>
      <c r="T46" t="s">
        <v>169</v>
      </c>
      <c r="U46" t="s">
        <v>169</v>
      </c>
      <c r="V46" t="s">
        <v>151</v>
      </c>
      <c r="W46" t="s">
        <v>476</v>
      </c>
      <c r="X46" t="s">
        <v>302</v>
      </c>
      <c r="Y46" t="s">
        <v>302</v>
      </c>
      <c r="AA46" t="s">
        <v>477</v>
      </c>
      <c r="AB46" t="s">
        <v>478</v>
      </c>
      <c r="AC46" t="s">
        <v>157</v>
      </c>
      <c r="AE46">
        <v>10</v>
      </c>
      <c r="AF46" s="1" t="s">
        <v>123</v>
      </c>
      <c r="AX46" s="1" t="s">
        <v>123</v>
      </c>
      <c r="CR46" s="1" t="s">
        <v>123</v>
      </c>
      <c r="DB46" s="1" t="s">
        <v>123</v>
      </c>
      <c r="DL46" s="1" t="s">
        <v>123</v>
      </c>
      <c r="EO46" s="1" t="s">
        <v>123</v>
      </c>
      <c r="FO46" s="1" t="s">
        <v>123</v>
      </c>
      <c r="FP46" t="s">
        <v>132</v>
      </c>
      <c r="GW46" t="s">
        <v>480</v>
      </c>
      <c r="GX46" t="s">
        <v>481</v>
      </c>
      <c r="GY46" t="s">
        <v>482</v>
      </c>
      <c r="GZ46" t="s">
        <v>140</v>
      </c>
      <c r="HA46">
        <v>1996</v>
      </c>
      <c r="HB46" t="s">
        <v>483</v>
      </c>
    </row>
    <row r="47" spans="1:214" x14ac:dyDescent="0.45">
      <c r="A47">
        <v>122</v>
      </c>
      <c r="B47">
        <f>_xlfn.IFNA(VLOOKUP(Analiza[[#This Row],[Zakończono wypełnianie]],Zakończone[],2,0),"BRAK")</f>
        <v>71</v>
      </c>
      <c r="C47">
        <f t="shared" si="1"/>
        <v>32</v>
      </c>
      <c r="D47" t="s">
        <v>1131</v>
      </c>
      <c r="E47" t="s">
        <v>118</v>
      </c>
      <c r="J47" t="s">
        <v>119</v>
      </c>
      <c r="K47" t="s">
        <v>1132</v>
      </c>
      <c r="L47" t="s">
        <v>1133</v>
      </c>
      <c r="M47">
        <v>3215</v>
      </c>
      <c r="N47">
        <v>0</v>
      </c>
      <c r="O47" t="s">
        <v>122</v>
      </c>
      <c r="P47" s="1" t="s">
        <v>123</v>
      </c>
      <c r="AF47" s="1" t="s">
        <v>124</v>
      </c>
      <c r="AG47" t="s">
        <v>191</v>
      </c>
      <c r="AH47">
        <v>2015</v>
      </c>
      <c r="AI47" t="s">
        <v>126</v>
      </c>
      <c r="AJ47" t="s">
        <v>1134</v>
      </c>
      <c r="AK47" t="s">
        <v>128</v>
      </c>
      <c r="AL47" t="s">
        <v>151</v>
      </c>
      <c r="AM47" t="s">
        <v>169</v>
      </c>
      <c r="AN47" t="s">
        <v>162</v>
      </c>
      <c r="AO47" t="s">
        <v>150</v>
      </c>
      <c r="AP47">
        <v>1</v>
      </c>
      <c r="AQ47" t="s">
        <v>302</v>
      </c>
      <c r="AR47" t="s">
        <v>226</v>
      </c>
      <c r="AS47" t="s">
        <v>1135</v>
      </c>
      <c r="AT47" t="s">
        <v>1136</v>
      </c>
      <c r="AU47" t="s">
        <v>1137</v>
      </c>
      <c r="AV47" t="s">
        <v>172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GW47" t="s">
        <v>1138</v>
      </c>
      <c r="GX47" t="s">
        <v>1139</v>
      </c>
      <c r="GY47" t="s">
        <v>1140</v>
      </c>
      <c r="GZ47" t="s">
        <v>186</v>
      </c>
      <c r="HA47">
        <v>1991</v>
      </c>
      <c r="HB47" t="s">
        <v>141</v>
      </c>
      <c r="HD47" t="s">
        <v>1141</v>
      </c>
    </row>
    <row r="48" spans="1:214" x14ac:dyDescent="0.45">
      <c r="A48">
        <v>47</v>
      </c>
      <c r="B48">
        <f>_xlfn.IFNA(VLOOKUP(Analiza[[#This Row],[Zakończono wypełnianie]],Zakończone[],2,0),"BRAK")</f>
        <v>29</v>
      </c>
      <c r="C48">
        <f t="shared" si="1"/>
        <v>32</v>
      </c>
      <c r="D48" t="s">
        <v>570</v>
      </c>
      <c r="E48" t="s">
        <v>118</v>
      </c>
      <c r="F48" t="s">
        <v>548</v>
      </c>
      <c r="J48" t="s">
        <v>119</v>
      </c>
      <c r="K48" t="s">
        <v>571</v>
      </c>
      <c r="L48" t="s">
        <v>572</v>
      </c>
      <c r="M48">
        <v>751</v>
      </c>
      <c r="N48">
        <v>0</v>
      </c>
      <c r="O48" t="s">
        <v>122</v>
      </c>
      <c r="P48" s="1" t="s">
        <v>416</v>
      </c>
      <c r="Q48" t="s">
        <v>445</v>
      </c>
      <c r="R48" t="s">
        <v>148</v>
      </c>
      <c r="S48" t="s">
        <v>573</v>
      </c>
      <c r="T48" t="s">
        <v>162</v>
      </c>
      <c r="U48" t="s">
        <v>128</v>
      </c>
      <c r="V48" t="s">
        <v>151</v>
      </c>
      <c r="W48" t="s">
        <v>237</v>
      </c>
      <c r="X48" t="s">
        <v>302</v>
      </c>
      <c r="Y48" t="s">
        <v>153</v>
      </c>
      <c r="Z48" t="s">
        <v>574</v>
      </c>
      <c r="AA48" t="s">
        <v>575</v>
      </c>
      <c r="AB48" t="s">
        <v>576</v>
      </c>
      <c r="AC48" t="s">
        <v>172</v>
      </c>
      <c r="AE48">
        <v>6</v>
      </c>
      <c r="AF48" s="1" t="s">
        <v>123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FR48" t="s">
        <v>132</v>
      </c>
      <c r="GW48" t="s">
        <v>578</v>
      </c>
      <c r="GX48" t="s">
        <v>579</v>
      </c>
      <c r="GY48" t="s">
        <v>580</v>
      </c>
      <c r="GZ48" t="s">
        <v>186</v>
      </c>
      <c r="HA48">
        <v>1997</v>
      </c>
      <c r="HB48" t="s">
        <v>483</v>
      </c>
      <c r="HD48" t="s">
        <v>532</v>
      </c>
    </row>
    <row r="49" spans="1:214" x14ac:dyDescent="0.45">
      <c r="A49">
        <v>50</v>
      </c>
      <c r="B49">
        <f>_xlfn.IFNA(VLOOKUP(Analiza[[#This Row],[Zakończono wypełnianie]],Zakończone[],2,0),"BRAK")</f>
        <v>30</v>
      </c>
      <c r="C49">
        <f t="shared" si="1"/>
        <v>30</v>
      </c>
      <c r="D49" t="s">
        <v>585</v>
      </c>
      <c r="E49" t="s">
        <v>118</v>
      </c>
      <c r="F49" t="s">
        <v>375</v>
      </c>
      <c r="J49" t="s">
        <v>119</v>
      </c>
      <c r="K49" t="s">
        <v>586</v>
      </c>
      <c r="L49" t="s">
        <v>587</v>
      </c>
      <c r="M49">
        <v>387</v>
      </c>
      <c r="N49">
        <v>0</v>
      </c>
      <c r="O49" t="s">
        <v>122</v>
      </c>
      <c r="P49" s="1" t="s">
        <v>416</v>
      </c>
      <c r="Q49" t="s">
        <v>445</v>
      </c>
      <c r="R49" t="s">
        <v>148</v>
      </c>
      <c r="S49" t="s">
        <v>588</v>
      </c>
      <c r="T49" t="s">
        <v>162</v>
      </c>
      <c r="U49" t="s">
        <v>150</v>
      </c>
      <c r="V49" t="s">
        <v>162</v>
      </c>
      <c r="W49" t="s">
        <v>589</v>
      </c>
      <c r="X49" t="s">
        <v>302</v>
      </c>
      <c r="Y49" t="s">
        <v>153</v>
      </c>
      <c r="AA49" t="s">
        <v>590</v>
      </c>
      <c r="AB49" t="s">
        <v>591</v>
      </c>
      <c r="AC49" t="s">
        <v>172</v>
      </c>
      <c r="AE49">
        <v>6</v>
      </c>
      <c r="AF49" s="1" t="s">
        <v>123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FO49" s="1" t="s">
        <v>123</v>
      </c>
      <c r="FP49" t="s">
        <v>132</v>
      </c>
      <c r="GW49" t="s">
        <v>592</v>
      </c>
      <c r="GX49" t="s">
        <v>593</v>
      </c>
      <c r="GY49" t="s">
        <v>594</v>
      </c>
      <c r="GZ49" t="s">
        <v>140</v>
      </c>
      <c r="HA49">
        <v>1997</v>
      </c>
      <c r="HB49" t="s">
        <v>141</v>
      </c>
      <c r="HD49" t="s">
        <v>595</v>
      </c>
    </row>
    <row r="50" spans="1:214" x14ac:dyDescent="0.45">
      <c r="A50">
        <v>53</v>
      </c>
      <c r="B50">
        <f>_xlfn.IFNA(VLOOKUP(Analiza[[#This Row],[Zakończono wypełnianie]],Zakończone[],2,0),"BRAK")</f>
        <v>32</v>
      </c>
      <c r="C50">
        <f t="shared" si="1"/>
        <v>31</v>
      </c>
      <c r="D50" t="s">
        <v>610</v>
      </c>
      <c r="E50" t="s">
        <v>118</v>
      </c>
      <c r="F50" t="s">
        <v>548</v>
      </c>
      <c r="J50" t="s">
        <v>119</v>
      </c>
      <c r="K50" t="s">
        <v>611</v>
      </c>
      <c r="L50" t="s">
        <v>612</v>
      </c>
      <c r="M50">
        <v>551</v>
      </c>
      <c r="N50">
        <v>0</v>
      </c>
      <c r="O50" t="s">
        <v>122</v>
      </c>
      <c r="P50" s="1" t="s">
        <v>416</v>
      </c>
      <c r="Q50" t="s">
        <v>445</v>
      </c>
      <c r="R50" t="s">
        <v>148</v>
      </c>
      <c r="S50" t="s">
        <v>613</v>
      </c>
      <c r="T50" t="s">
        <v>150</v>
      </c>
      <c r="U50" t="s">
        <v>150</v>
      </c>
      <c r="V50" t="s">
        <v>151</v>
      </c>
      <c r="W50" t="s">
        <v>530</v>
      </c>
      <c r="X50" t="s">
        <v>131</v>
      </c>
      <c r="Y50" t="s">
        <v>302</v>
      </c>
      <c r="Z50" t="s">
        <v>614</v>
      </c>
      <c r="AA50" t="s">
        <v>615</v>
      </c>
      <c r="AB50" t="s">
        <v>616</v>
      </c>
      <c r="AC50" t="s">
        <v>172</v>
      </c>
      <c r="AE50">
        <v>6</v>
      </c>
      <c r="AF50" s="1" t="s">
        <v>123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617</v>
      </c>
      <c r="GX50" t="s">
        <v>618</v>
      </c>
      <c r="GY50" t="s">
        <v>619</v>
      </c>
      <c r="GZ50" t="s">
        <v>140</v>
      </c>
      <c r="HA50">
        <v>1998</v>
      </c>
      <c r="HB50" t="s">
        <v>398</v>
      </c>
      <c r="HD50" t="s">
        <v>620</v>
      </c>
    </row>
    <row r="51" spans="1:214" x14ac:dyDescent="0.45">
      <c r="A51">
        <v>54</v>
      </c>
      <c r="B51">
        <f>_xlfn.IFNA(VLOOKUP(Analiza[[#This Row],[Zakończono wypełnianie]],Zakończone[],2,0),"BRAK")</f>
        <v>33</v>
      </c>
      <c r="C51">
        <f t="shared" si="1"/>
        <v>31</v>
      </c>
      <c r="D51" t="s">
        <v>621</v>
      </c>
      <c r="E51" t="s">
        <v>118</v>
      </c>
      <c r="F51" t="s">
        <v>359</v>
      </c>
      <c r="J51" t="s">
        <v>119</v>
      </c>
      <c r="K51" t="s">
        <v>622</v>
      </c>
      <c r="L51" t="s">
        <v>623</v>
      </c>
      <c r="M51">
        <v>595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624</v>
      </c>
      <c r="T51" t="s">
        <v>150</v>
      </c>
      <c r="U51" t="s">
        <v>150</v>
      </c>
      <c r="V51" t="s">
        <v>169</v>
      </c>
      <c r="W51">
        <v>12</v>
      </c>
      <c r="X51" t="s">
        <v>302</v>
      </c>
      <c r="Y51" t="s">
        <v>226</v>
      </c>
      <c r="AA51" t="s">
        <v>625</v>
      </c>
      <c r="AB51" t="s">
        <v>626</v>
      </c>
      <c r="AC51" t="s">
        <v>172</v>
      </c>
      <c r="AE51">
        <v>4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123</v>
      </c>
      <c r="FO51" s="1" t="s">
        <v>123</v>
      </c>
      <c r="FP51" t="s">
        <v>132</v>
      </c>
      <c r="GW51" t="s">
        <v>627</v>
      </c>
      <c r="GX51" t="s">
        <v>628</v>
      </c>
      <c r="GY51" t="s">
        <v>629</v>
      </c>
      <c r="GZ51" t="s">
        <v>186</v>
      </c>
      <c r="HA51" t="s">
        <v>630</v>
      </c>
      <c r="HB51" t="s">
        <v>398</v>
      </c>
      <c r="HD51" t="s">
        <v>631</v>
      </c>
      <c r="HE51" t="s">
        <v>632</v>
      </c>
    </row>
    <row r="52" spans="1:214" x14ac:dyDescent="0.45">
      <c r="A52">
        <v>248</v>
      </c>
      <c r="B52">
        <f>_xlfn.IFNA(VLOOKUP(Analiza[[#This Row],[Zakończono wypełnianie]],Zakończone[],2,0),"BRAK")</f>
        <v>133</v>
      </c>
      <c r="C52">
        <f t="shared" si="1"/>
        <v>30</v>
      </c>
      <c r="D52" t="s">
        <v>1142</v>
      </c>
      <c r="E52" t="s">
        <v>118</v>
      </c>
      <c r="J52" t="s">
        <v>119</v>
      </c>
      <c r="K52" t="s">
        <v>1979</v>
      </c>
      <c r="L52" t="s">
        <v>1980</v>
      </c>
      <c r="M52">
        <v>1026</v>
      </c>
      <c r="N52">
        <v>0</v>
      </c>
      <c r="O52" t="s">
        <v>122</v>
      </c>
      <c r="P52" s="1" t="s">
        <v>416</v>
      </c>
      <c r="Q52" t="s">
        <v>813</v>
      </c>
      <c r="R52" t="s">
        <v>148</v>
      </c>
      <c r="S52" t="s">
        <v>1982</v>
      </c>
      <c r="T52" t="s">
        <v>162</v>
      </c>
      <c r="U52" t="s">
        <v>162</v>
      </c>
      <c r="V52" t="s">
        <v>150</v>
      </c>
      <c r="W52" t="s">
        <v>1983</v>
      </c>
      <c r="X52" t="s">
        <v>1984</v>
      </c>
      <c r="Y52" t="s">
        <v>194</v>
      </c>
      <c r="Z52" t="s">
        <v>1985</v>
      </c>
      <c r="AA52" t="s">
        <v>1986</v>
      </c>
      <c r="AB52" t="s">
        <v>1987</v>
      </c>
      <c r="AC52" t="s">
        <v>157</v>
      </c>
      <c r="AE52">
        <v>4</v>
      </c>
      <c r="AF52" s="1" t="s">
        <v>123</v>
      </c>
      <c r="AX52" s="1" t="s">
        <v>123</v>
      </c>
      <c r="CR52" s="1" t="s">
        <v>123</v>
      </c>
      <c r="DB52" s="1" t="s">
        <v>123</v>
      </c>
      <c r="DL52" s="1" t="s">
        <v>123</v>
      </c>
      <c r="EO52" s="1" t="s">
        <v>123</v>
      </c>
      <c r="FO52" s="1" t="s">
        <v>123</v>
      </c>
      <c r="GW52" t="s">
        <v>1988</v>
      </c>
      <c r="GX52" t="s">
        <v>1989</v>
      </c>
      <c r="GY52" t="s">
        <v>1990</v>
      </c>
      <c r="GZ52" t="s">
        <v>186</v>
      </c>
      <c r="HA52">
        <v>1992</v>
      </c>
      <c r="HB52" t="s">
        <v>246</v>
      </c>
      <c r="HD52" t="s">
        <v>1991</v>
      </c>
    </row>
    <row r="53" spans="1:214" x14ac:dyDescent="0.45">
      <c r="A53">
        <v>124</v>
      </c>
      <c r="B53">
        <f>_xlfn.IFNA(VLOOKUP(Analiza[[#This Row],[Zakończono wypełnianie]],Zakończone[],2,0),"BRAK")</f>
        <v>73</v>
      </c>
      <c r="C53">
        <f t="shared" si="1"/>
        <v>34</v>
      </c>
      <c r="D53" t="s">
        <v>1151</v>
      </c>
      <c r="E53" t="s">
        <v>118</v>
      </c>
      <c r="F53" t="s">
        <v>1152</v>
      </c>
      <c r="J53" t="s">
        <v>119</v>
      </c>
      <c r="K53" t="s">
        <v>1153</v>
      </c>
      <c r="L53" t="s">
        <v>1154</v>
      </c>
      <c r="M53">
        <v>1159</v>
      </c>
      <c r="N53">
        <v>0</v>
      </c>
      <c r="O53" t="s">
        <v>122</v>
      </c>
      <c r="P53" s="1" t="s">
        <v>123</v>
      </c>
      <c r="AF53" s="1" t="s">
        <v>124</v>
      </c>
      <c r="AG53" t="s">
        <v>191</v>
      </c>
      <c r="AH53">
        <v>2018</v>
      </c>
      <c r="AI53" t="s">
        <v>126</v>
      </c>
      <c r="AJ53" t="s">
        <v>969</v>
      </c>
      <c r="AK53" t="s">
        <v>150</v>
      </c>
      <c r="AL53" t="s">
        <v>150</v>
      </c>
      <c r="AM53" t="s">
        <v>162</v>
      </c>
      <c r="AN53" t="s">
        <v>128</v>
      </c>
      <c r="AO53" t="s">
        <v>151</v>
      </c>
      <c r="AP53" t="s">
        <v>530</v>
      </c>
      <c r="AQ53" t="s">
        <v>131</v>
      </c>
      <c r="AR53" t="s">
        <v>302</v>
      </c>
      <c r="AS53" t="s">
        <v>1155</v>
      </c>
      <c r="AT53" t="s">
        <v>1156</v>
      </c>
      <c r="AU53" t="s">
        <v>1157</v>
      </c>
      <c r="AV53" t="s">
        <v>230</v>
      </c>
      <c r="AW53" t="s">
        <v>1158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GW53" t="s">
        <v>1159</v>
      </c>
      <c r="GX53" t="s">
        <v>1160</v>
      </c>
      <c r="GY53" t="s">
        <v>1161</v>
      </c>
      <c r="GZ53" t="s">
        <v>140</v>
      </c>
      <c r="HA53">
        <v>1991</v>
      </c>
      <c r="HB53" t="s">
        <v>483</v>
      </c>
      <c r="HD53" t="s">
        <v>1162</v>
      </c>
      <c r="HE53" t="s">
        <v>142</v>
      </c>
    </row>
    <row r="54" spans="1:214" x14ac:dyDescent="0.45">
      <c r="A54">
        <v>58</v>
      </c>
      <c r="B54">
        <f>_xlfn.IFNA(VLOOKUP(Analiza[[#This Row],[Zakończono wypełnianie]],Zakończone[],2,0),"BRAK")</f>
        <v>34</v>
      </c>
      <c r="C54">
        <f t="shared" si="1"/>
        <v>29</v>
      </c>
      <c r="D54" t="s">
        <v>645</v>
      </c>
      <c r="E54" t="s">
        <v>118</v>
      </c>
      <c r="F54" t="s">
        <v>375</v>
      </c>
      <c r="J54" t="s">
        <v>119</v>
      </c>
      <c r="K54" t="s">
        <v>646</v>
      </c>
      <c r="L54" t="s">
        <v>647</v>
      </c>
      <c r="M54">
        <v>551</v>
      </c>
      <c r="N54">
        <v>0</v>
      </c>
      <c r="O54" t="s">
        <v>122</v>
      </c>
      <c r="P54" s="1" t="s">
        <v>416</v>
      </c>
      <c r="Q54" t="s">
        <v>160</v>
      </c>
      <c r="R54" t="s">
        <v>148</v>
      </c>
      <c r="S54" t="s">
        <v>648</v>
      </c>
      <c r="T54" t="s">
        <v>128</v>
      </c>
      <c r="U54" t="s">
        <v>162</v>
      </c>
      <c r="V54" t="s">
        <v>162</v>
      </c>
      <c r="W54" t="s">
        <v>237</v>
      </c>
      <c r="X54" t="s">
        <v>302</v>
      </c>
      <c r="Y54" t="s">
        <v>153</v>
      </c>
      <c r="AA54" t="s">
        <v>649</v>
      </c>
      <c r="AB54" t="s">
        <v>650</v>
      </c>
      <c r="AC54" t="s">
        <v>157</v>
      </c>
      <c r="AE54">
        <v>8</v>
      </c>
      <c r="AF54" s="1" t="s">
        <v>123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651</v>
      </c>
      <c r="GX54" t="s">
        <v>652</v>
      </c>
      <c r="GY54" t="s">
        <v>653</v>
      </c>
      <c r="GZ54" t="s">
        <v>140</v>
      </c>
      <c r="HA54">
        <v>1998</v>
      </c>
      <c r="HB54" t="s">
        <v>141</v>
      </c>
    </row>
    <row r="55" spans="1:214" x14ac:dyDescent="0.45">
      <c r="A55">
        <v>181</v>
      </c>
      <c r="B55">
        <f>_xlfn.IFNA(VLOOKUP(Analiza[[#This Row],[Zakończono wypełnianie]],Zakończone[],2,0),"BRAK")</f>
        <v>102</v>
      </c>
      <c r="C55">
        <f t="shared" si="1"/>
        <v>33</v>
      </c>
      <c r="D55" t="s">
        <v>1336</v>
      </c>
      <c r="E55" t="s">
        <v>118</v>
      </c>
      <c r="J55" t="s">
        <v>119</v>
      </c>
      <c r="K55" t="s">
        <v>1528</v>
      </c>
      <c r="L55" t="s">
        <v>1529</v>
      </c>
      <c r="M55">
        <v>426</v>
      </c>
      <c r="N55">
        <v>0</v>
      </c>
      <c r="O55" t="s">
        <v>122</v>
      </c>
      <c r="P55" s="1" t="s">
        <v>416</v>
      </c>
      <c r="Q55" t="s">
        <v>1439</v>
      </c>
      <c r="R55" t="s">
        <v>126</v>
      </c>
      <c r="S55" t="s">
        <v>192</v>
      </c>
      <c r="T55" t="s">
        <v>151</v>
      </c>
      <c r="U55" t="s">
        <v>162</v>
      </c>
      <c r="V55" t="s">
        <v>128</v>
      </c>
      <c r="W55" t="s">
        <v>1531</v>
      </c>
      <c r="X55" t="s">
        <v>194</v>
      </c>
      <c r="Y55" t="s">
        <v>194</v>
      </c>
      <c r="Z55" t="s">
        <v>1532</v>
      </c>
      <c r="AA55" t="s">
        <v>1533</v>
      </c>
      <c r="AB55" t="s">
        <v>1534</v>
      </c>
      <c r="AC55" t="s">
        <v>892</v>
      </c>
      <c r="AE55">
        <v>7</v>
      </c>
      <c r="AF55" s="1" t="s">
        <v>123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123</v>
      </c>
      <c r="EP55" t="s">
        <v>178</v>
      </c>
      <c r="EQ55" t="s">
        <v>132</v>
      </c>
      <c r="FO55" s="1" t="s">
        <v>123</v>
      </c>
      <c r="GW55" t="s">
        <v>1535</v>
      </c>
      <c r="GX55" t="s">
        <v>1536</v>
      </c>
      <c r="GY55" t="s">
        <v>1537</v>
      </c>
      <c r="GZ55" t="s">
        <v>140</v>
      </c>
      <c r="HA55">
        <v>1991</v>
      </c>
      <c r="HB55" t="s">
        <v>141</v>
      </c>
      <c r="HD55" t="s">
        <v>1538</v>
      </c>
      <c r="HE55" t="s">
        <v>1539</v>
      </c>
    </row>
    <row r="56" spans="1:214" x14ac:dyDescent="0.45">
      <c r="A56">
        <v>259</v>
      </c>
      <c r="B56">
        <f>_xlfn.IFNA(VLOOKUP(Analiza[[#This Row],[Zakończono wypełnianie]],Zakończone[],2,0),"BRAK")</f>
        <v>136</v>
      </c>
      <c r="C56">
        <f t="shared" si="1"/>
        <v>72</v>
      </c>
      <c r="D56" t="s">
        <v>2014</v>
      </c>
      <c r="E56" t="s">
        <v>118</v>
      </c>
      <c r="J56" t="s">
        <v>119</v>
      </c>
      <c r="K56" t="s">
        <v>2034</v>
      </c>
      <c r="L56" t="s">
        <v>2035</v>
      </c>
      <c r="M56">
        <v>1151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>
        <v>1987</v>
      </c>
      <c r="AI56" t="s">
        <v>148</v>
      </c>
      <c r="AJ56" t="s">
        <v>554</v>
      </c>
      <c r="AK56" t="s">
        <v>132</v>
      </c>
      <c r="AL56" t="s">
        <v>132</v>
      </c>
      <c r="AM56" t="s">
        <v>132</v>
      </c>
      <c r="AN56" t="s">
        <v>132</v>
      </c>
      <c r="AO56" t="s">
        <v>132</v>
      </c>
      <c r="AP56" t="s">
        <v>2036</v>
      </c>
      <c r="AQ56" t="s">
        <v>132</v>
      </c>
      <c r="AR56" t="s">
        <v>132</v>
      </c>
      <c r="AT56" t="s">
        <v>1229</v>
      </c>
      <c r="AU56" t="s">
        <v>1229</v>
      </c>
      <c r="AV56" t="s">
        <v>157</v>
      </c>
      <c r="AW56" t="s">
        <v>2037</v>
      </c>
      <c r="AX56" s="1" t="s">
        <v>159</v>
      </c>
      <c r="AY56">
        <v>3</v>
      </c>
      <c r="AZ56" t="s">
        <v>191</v>
      </c>
      <c r="BA56">
        <v>2020</v>
      </c>
      <c r="BB56" t="s">
        <v>126</v>
      </c>
      <c r="BC56" t="s">
        <v>2038</v>
      </c>
      <c r="BD56" t="s">
        <v>150</v>
      </c>
      <c r="BE56" t="s">
        <v>162</v>
      </c>
      <c r="BF56" t="s">
        <v>169</v>
      </c>
      <c r="BG56" t="s">
        <v>150</v>
      </c>
      <c r="BH56" t="s">
        <v>132</v>
      </c>
      <c r="BI56" t="s">
        <v>2039</v>
      </c>
      <c r="BJ56" t="s">
        <v>2040</v>
      </c>
      <c r="BK56" t="s">
        <v>157</v>
      </c>
      <c r="BN56" t="s">
        <v>166</v>
      </c>
      <c r="BO56" t="s">
        <v>191</v>
      </c>
      <c r="BP56">
        <v>2013</v>
      </c>
      <c r="BQ56" t="s">
        <v>126</v>
      </c>
      <c r="BR56" t="s">
        <v>1867</v>
      </c>
      <c r="BS56" t="s">
        <v>162</v>
      </c>
      <c r="BT56" t="s">
        <v>150</v>
      </c>
      <c r="BU56" t="s">
        <v>162</v>
      </c>
      <c r="BV56" t="s">
        <v>162</v>
      </c>
      <c r="BW56" t="s">
        <v>162</v>
      </c>
      <c r="BX56" t="s">
        <v>237</v>
      </c>
      <c r="BZ56" t="s">
        <v>157</v>
      </c>
      <c r="CB56" t="s">
        <v>2041</v>
      </c>
      <c r="CC56" t="s">
        <v>238</v>
      </c>
      <c r="CD56" t="s">
        <v>191</v>
      </c>
      <c r="CE56">
        <v>2016</v>
      </c>
      <c r="CF56" t="s">
        <v>126</v>
      </c>
      <c r="CG56" t="s">
        <v>2042</v>
      </c>
      <c r="CH56" t="s">
        <v>151</v>
      </c>
      <c r="CI56" t="s">
        <v>162</v>
      </c>
      <c r="CJ56" t="s">
        <v>150</v>
      </c>
      <c r="CK56" t="s">
        <v>169</v>
      </c>
      <c r="CL56" t="s">
        <v>150</v>
      </c>
      <c r="CM56" t="s">
        <v>237</v>
      </c>
      <c r="CN56" t="s">
        <v>2043</v>
      </c>
      <c r="CO56" t="s">
        <v>157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GW56" t="s">
        <v>1229</v>
      </c>
      <c r="GX56" t="s">
        <v>1229</v>
      </c>
      <c r="GY56" t="s">
        <v>1229</v>
      </c>
      <c r="GZ56" t="s">
        <v>186</v>
      </c>
      <c r="HA56">
        <v>1962</v>
      </c>
      <c r="HB56" t="s">
        <v>141</v>
      </c>
      <c r="HE56" t="s">
        <v>2044</v>
      </c>
      <c r="HF56" t="s">
        <v>2045</v>
      </c>
    </row>
    <row r="57" spans="1:214" x14ac:dyDescent="0.45">
      <c r="A57">
        <v>126</v>
      </c>
      <c r="B57">
        <f>_xlfn.IFNA(VLOOKUP(Analiza[[#This Row],[Zakończono wypełnianie]],Zakończone[],2,0),"BRAK")</f>
        <v>75</v>
      </c>
      <c r="C57">
        <f t="shared" si="1"/>
        <v>31</v>
      </c>
      <c r="D57" t="s">
        <v>1151</v>
      </c>
      <c r="E57" t="s">
        <v>118</v>
      </c>
      <c r="F57" t="s">
        <v>359</v>
      </c>
      <c r="J57" t="s">
        <v>119</v>
      </c>
      <c r="K57" t="s">
        <v>1184</v>
      </c>
      <c r="L57" t="s">
        <v>1185</v>
      </c>
      <c r="M57">
        <v>739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2018</v>
      </c>
      <c r="AI57" t="s">
        <v>126</v>
      </c>
      <c r="AJ57" t="s">
        <v>1186</v>
      </c>
      <c r="AK57" t="s">
        <v>151</v>
      </c>
      <c r="AL57" t="s">
        <v>162</v>
      </c>
      <c r="AM57" t="s">
        <v>169</v>
      </c>
      <c r="AN57" t="s">
        <v>150</v>
      </c>
      <c r="AO57" t="s">
        <v>132</v>
      </c>
      <c r="AP57" t="s">
        <v>959</v>
      </c>
      <c r="AQ57" t="s">
        <v>302</v>
      </c>
      <c r="AR57" t="s">
        <v>226</v>
      </c>
      <c r="AS57" t="s">
        <v>1187</v>
      </c>
      <c r="AT57" t="s">
        <v>1188</v>
      </c>
      <c r="AU57" t="s">
        <v>1189</v>
      </c>
      <c r="AV57" t="s">
        <v>172</v>
      </c>
      <c r="AX57" s="1" t="s">
        <v>123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GW57" t="s">
        <v>276</v>
      </c>
      <c r="GX57" t="s">
        <v>1190</v>
      </c>
      <c r="GY57" t="s">
        <v>1191</v>
      </c>
      <c r="GZ57" t="s">
        <v>186</v>
      </c>
      <c r="HA57">
        <v>1991</v>
      </c>
      <c r="HB57" t="s">
        <v>141</v>
      </c>
    </row>
    <row r="58" spans="1:214" x14ac:dyDescent="0.45">
      <c r="A58">
        <v>141</v>
      </c>
      <c r="B58">
        <f>_xlfn.IFNA(VLOOKUP(Analiza[[#This Row],[Zakończono wypełnianie]],Zakończone[],2,0),"BRAK")</f>
        <v>85</v>
      </c>
      <c r="C58">
        <f t="shared" si="1"/>
        <v>34</v>
      </c>
      <c r="D58" t="s">
        <v>1322</v>
      </c>
      <c r="E58" t="s">
        <v>118</v>
      </c>
      <c r="J58" t="s">
        <v>119</v>
      </c>
      <c r="K58" t="s">
        <v>1323</v>
      </c>
      <c r="L58" t="s">
        <v>1324</v>
      </c>
      <c r="M58">
        <v>767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2018</v>
      </c>
      <c r="AI58" t="s">
        <v>126</v>
      </c>
      <c r="AJ58" t="s">
        <v>1325</v>
      </c>
      <c r="AK58" t="s">
        <v>150</v>
      </c>
      <c r="AL58" t="s">
        <v>150</v>
      </c>
      <c r="AM58" t="s">
        <v>128</v>
      </c>
      <c r="AN58" t="s">
        <v>236</v>
      </c>
      <c r="AO58" t="s">
        <v>128</v>
      </c>
      <c r="AP58">
        <v>1</v>
      </c>
      <c r="AQ58" t="s">
        <v>302</v>
      </c>
      <c r="AR58" t="s">
        <v>226</v>
      </c>
      <c r="AS58" t="s">
        <v>1326</v>
      </c>
      <c r="AT58" t="s">
        <v>1327</v>
      </c>
      <c r="AU58" t="s">
        <v>1328</v>
      </c>
      <c r="AV58" t="s">
        <v>157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FO58" s="1" t="s">
        <v>123</v>
      </c>
      <c r="GW58" t="s">
        <v>1329</v>
      </c>
      <c r="GX58" t="s">
        <v>1329</v>
      </c>
      <c r="GY58" t="s">
        <v>132</v>
      </c>
      <c r="GZ58" t="s">
        <v>186</v>
      </c>
      <c r="HA58">
        <v>1991</v>
      </c>
      <c r="HB58" t="s">
        <v>220</v>
      </c>
      <c r="HD58" t="s">
        <v>1330</v>
      </c>
      <c r="HE58" t="s">
        <v>532</v>
      </c>
    </row>
    <row r="59" spans="1:214" x14ac:dyDescent="0.45">
      <c r="A59">
        <v>145</v>
      </c>
      <c r="B59">
        <f>_xlfn.IFNA(VLOOKUP(Analiza[[#This Row],[Zakończono wypełnianie]],Zakończone[],2,0),"BRAK")</f>
        <v>86</v>
      </c>
      <c r="C59">
        <f t="shared" si="1"/>
        <v>43</v>
      </c>
      <c r="D59" t="s">
        <v>1336</v>
      </c>
      <c r="E59" t="s">
        <v>118</v>
      </c>
      <c r="J59" t="s">
        <v>119</v>
      </c>
      <c r="K59" t="s">
        <v>1337</v>
      </c>
      <c r="L59" t="s">
        <v>1338</v>
      </c>
      <c r="M59">
        <v>516</v>
      </c>
      <c r="N59">
        <v>0</v>
      </c>
      <c r="O59" t="s">
        <v>122</v>
      </c>
      <c r="P59" s="1" t="s">
        <v>123</v>
      </c>
      <c r="AF59" s="1" t="s">
        <v>124</v>
      </c>
      <c r="AG59" t="s">
        <v>191</v>
      </c>
      <c r="AH59">
        <v>2007</v>
      </c>
      <c r="AI59" t="s">
        <v>126</v>
      </c>
      <c r="AJ59" t="s">
        <v>1339</v>
      </c>
      <c r="AK59" t="s">
        <v>162</v>
      </c>
      <c r="AL59" t="s">
        <v>162</v>
      </c>
      <c r="AM59" t="s">
        <v>150</v>
      </c>
      <c r="AN59" t="s">
        <v>169</v>
      </c>
      <c r="AO59" t="s">
        <v>169</v>
      </c>
      <c r="AP59" t="s">
        <v>1340</v>
      </c>
      <c r="AQ59" t="s">
        <v>131</v>
      </c>
      <c r="AR59" t="s">
        <v>759</v>
      </c>
      <c r="AS59" t="s">
        <v>1341</v>
      </c>
      <c r="AT59" t="s">
        <v>1342</v>
      </c>
      <c r="AU59" t="s">
        <v>1343</v>
      </c>
      <c r="AV59" t="s">
        <v>157</v>
      </c>
      <c r="AW59" t="s">
        <v>1344</v>
      </c>
      <c r="AX59" s="1" t="s">
        <v>123</v>
      </c>
      <c r="CR59" s="1" t="s">
        <v>123</v>
      </c>
      <c r="DB59" s="1" t="s">
        <v>123</v>
      </c>
      <c r="DL59" s="1" t="s">
        <v>123</v>
      </c>
      <c r="EO59" s="1" t="s">
        <v>177</v>
      </c>
      <c r="EP59" t="s">
        <v>178</v>
      </c>
      <c r="EQ59" t="s">
        <v>132</v>
      </c>
      <c r="ER59" t="s">
        <v>191</v>
      </c>
      <c r="ES59" t="s">
        <v>236</v>
      </c>
      <c r="ET59" t="s">
        <v>236</v>
      </c>
      <c r="EU59" t="s">
        <v>151</v>
      </c>
      <c r="EV59" t="s">
        <v>178</v>
      </c>
      <c r="EW59" t="s">
        <v>1345</v>
      </c>
      <c r="EX59" t="s">
        <v>1346</v>
      </c>
      <c r="EY59" t="s">
        <v>173</v>
      </c>
      <c r="FO59" s="1" t="s">
        <v>123</v>
      </c>
      <c r="GW59" t="s">
        <v>1347</v>
      </c>
      <c r="GX59" t="s">
        <v>1348</v>
      </c>
      <c r="GY59" t="s">
        <v>1349</v>
      </c>
      <c r="GZ59" t="s">
        <v>186</v>
      </c>
      <c r="HA59">
        <v>1982</v>
      </c>
      <c r="HB59" t="s">
        <v>141</v>
      </c>
      <c r="HD59" t="s">
        <v>1350</v>
      </c>
    </row>
    <row r="60" spans="1:214" x14ac:dyDescent="0.45">
      <c r="A60">
        <v>156</v>
      </c>
      <c r="B60">
        <f>_xlfn.IFNA(VLOOKUP(Analiza[[#This Row],[Zakończono wypełnianie]],Zakończone[],2,0),"BRAK")</f>
        <v>90</v>
      </c>
      <c r="C60">
        <f t="shared" si="1"/>
        <v>32</v>
      </c>
      <c r="D60" t="s">
        <v>1142</v>
      </c>
      <c r="E60" t="s">
        <v>118</v>
      </c>
      <c r="J60" t="s">
        <v>119</v>
      </c>
      <c r="K60" t="s">
        <v>1391</v>
      </c>
      <c r="L60" t="s">
        <v>1392</v>
      </c>
      <c r="M60">
        <v>415</v>
      </c>
      <c r="N60">
        <v>0</v>
      </c>
      <c r="O60" t="s">
        <v>122</v>
      </c>
      <c r="P60" s="1" t="s">
        <v>123</v>
      </c>
      <c r="AF60" s="1" t="s">
        <v>124</v>
      </c>
      <c r="AG60" t="s">
        <v>191</v>
      </c>
      <c r="AH60">
        <v>2012</v>
      </c>
      <c r="AI60" t="s">
        <v>126</v>
      </c>
      <c r="AJ60" t="s">
        <v>1393</v>
      </c>
      <c r="AK60" t="s">
        <v>162</v>
      </c>
      <c r="AL60" t="s">
        <v>150</v>
      </c>
      <c r="AM60" t="s">
        <v>150</v>
      </c>
      <c r="AN60" t="s">
        <v>236</v>
      </c>
      <c r="AO60" t="s">
        <v>236</v>
      </c>
      <c r="AP60" t="s">
        <v>1340</v>
      </c>
      <c r="AQ60" t="s">
        <v>302</v>
      </c>
      <c r="AR60" t="s">
        <v>153</v>
      </c>
      <c r="AS60" t="s">
        <v>1394</v>
      </c>
      <c r="AT60" t="s">
        <v>1395</v>
      </c>
      <c r="AU60" t="s">
        <v>1396</v>
      </c>
      <c r="AW60" t="s">
        <v>1397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123</v>
      </c>
      <c r="FO60" s="1" t="s">
        <v>123</v>
      </c>
      <c r="GW60" t="s">
        <v>1398</v>
      </c>
      <c r="GX60" t="s">
        <v>1399</v>
      </c>
      <c r="GY60" t="s">
        <v>1400</v>
      </c>
      <c r="GZ60" t="s">
        <v>140</v>
      </c>
      <c r="HA60">
        <v>1985</v>
      </c>
      <c r="HB60" t="s">
        <v>141</v>
      </c>
      <c r="HD60" t="s">
        <v>1401</v>
      </c>
    </row>
    <row r="61" spans="1:214" x14ac:dyDescent="0.45">
      <c r="A61">
        <v>187</v>
      </c>
      <c r="B61">
        <f>_xlfn.IFNA(VLOOKUP(Analiza[[#This Row],[Zakończono wypełnianie]],Zakończone[],2,0),"BRAK")</f>
        <v>106</v>
      </c>
      <c r="C61">
        <f t="shared" si="1"/>
        <v>33</v>
      </c>
      <c r="D61" t="s">
        <v>1574</v>
      </c>
      <c r="E61" t="s">
        <v>118</v>
      </c>
      <c r="J61" t="s">
        <v>119</v>
      </c>
      <c r="K61" t="s">
        <v>1575</v>
      </c>
      <c r="L61" t="s">
        <v>1576</v>
      </c>
      <c r="M61">
        <v>701</v>
      </c>
      <c r="N61">
        <v>0</v>
      </c>
      <c r="O61" t="s">
        <v>122</v>
      </c>
      <c r="P61" s="1" t="s">
        <v>123</v>
      </c>
      <c r="AF61" s="1" t="s">
        <v>124</v>
      </c>
      <c r="AG61" t="s">
        <v>191</v>
      </c>
      <c r="AH61" t="s">
        <v>1577</v>
      </c>
      <c r="AI61" t="s">
        <v>126</v>
      </c>
      <c r="AJ61" t="s">
        <v>1578</v>
      </c>
      <c r="AK61" t="s">
        <v>162</v>
      </c>
      <c r="AL61" t="s">
        <v>162</v>
      </c>
      <c r="AM61" t="s">
        <v>151</v>
      </c>
      <c r="AN61" t="s">
        <v>162</v>
      </c>
      <c r="AO61" t="s">
        <v>151</v>
      </c>
      <c r="AP61" t="s">
        <v>530</v>
      </c>
      <c r="AQ61" t="s">
        <v>302</v>
      </c>
      <c r="AR61" t="s">
        <v>302</v>
      </c>
      <c r="AT61" t="s">
        <v>1579</v>
      </c>
      <c r="AU61" t="s">
        <v>1580</v>
      </c>
      <c r="AV61" t="s">
        <v>157</v>
      </c>
      <c r="AW61" t="s">
        <v>1581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FO61" s="1" t="s">
        <v>123</v>
      </c>
      <c r="GW61" t="s">
        <v>1582</v>
      </c>
      <c r="GX61" t="s">
        <v>1583</v>
      </c>
      <c r="GY61" t="s">
        <v>1584</v>
      </c>
      <c r="GZ61" t="s">
        <v>140</v>
      </c>
      <c r="HA61">
        <v>1985</v>
      </c>
      <c r="HB61" t="s">
        <v>220</v>
      </c>
      <c r="HD61" t="s">
        <v>1585</v>
      </c>
      <c r="HE61" t="s">
        <v>1586</v>
      </c>
    </row>
    <row r="62" spans="1:214" x14ac:dyDescent="0.45">
      <c r="A62">
        <v>184</v>
      </c>
      <c r="B62">
        <f>_xlfn.IFNA(VLOOKUP(Analiza[[#This Row],[Zakończono wypełnianie]],Zakończone[],2,0),"BRAK")</f>
        <v>105</v>
      </c>
      <c r="C62">
        <f t="shared" si="1"/>
        <v>33</v>
      </c>
      <c r="D62" t="s">
        <v>1555</v>
      </c>
      <c r="E62" t="s">
        <v>118</v>
      </c>
      <c r="J62" t="s">
        <v>119</v>
      </c>
      <c r="K62" t="s">
        <v>1556</v>
      </c>
      <c r="L62" t="s">
        <v>1557</v>
      </c>
      <c r="M62">
        <v>1119</v>
      </c>
      <c r="N62">
        <v>0</v>
      </c>
      <c r="O62" t="s">
        <v>122</v>
      </c>
      <c r="P62" s="1" t="s">
        <v>123</v>
      </c>
      <c r="AF62" s="1" t="s">
        <v>124</v>
      </c>
      <c r="AG62" t="s">
        <v>191</v>
      </c>
      <c r="AH62">
        <v>1997</v>
      </c>
      <c r="AI62" t="s">
        <v>126</v>
      </c>
      <c r="AJ62" t="s">
        <v>1558</v>
      </c>
      <c r="AK62" t="s">
        <v>150</v>
      </c>
      <c r="AL62" t="s">
        <v>150</v>
      </c>
      <c r="AM62" t="s">
        <v>150</v>
      </c>
      <c r="AN62" t="s">
        <v>150</v>
      </c>
      <c r="AO62" t="s">
        <v>150</v>
      </c>
      <c r="AP62" t="s">
        <v>1559</v>
      </c>
      <c r="AQ62" t="s">
        <v>132</v>
      </c>
      <c r="AR62" t="s">
        <v>132</v>
      </c>
      <c r="AS62" t="s">
        <v>1560</v>
      </c>
      <c r="AT62" t="s">
        <v>1561</v>
      </c>
      <c r="AU62" t="s">
        <v>1562</v>
      </c>
      <c r="AV62" t="s">
        <v>172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FO62" s="1" t="s">
        <v>123</v>
      </c>
      <c r="GW62" t="s">
        <v>1563</v>
      </c>
      <c r="GX62" t="s">
        <v>1564</v>
      </c>
      <c r="GY62" t="s">
        <v>1565</v>
      </c>
      <c r="GZ62" t="s">
        <v>186</v>
      </c>
      <c r="HA62">
        <v>1972</v>
      </c>
      <c r="HB62" t="s">
        <v>483</v>
      </c>
      <c r="HD62" t="s">
        <v>1566</v>
      </c>
      <c r="HE62" t="s">
        <v>142</v>
      </c>
    </row>
    <row r="63" spans="1:214" x14ac:dyDescent="0.45">
      <c r="A63">
        <v>183</v>
      </c>
      <c r="B63">
        <f>_xlfn.IFNA(VLOOKUP(Analiza[[#This Row],[Zakończono wypełnianie]],Zakończone[],2,0),"BRAK")</f>
        <v>104</v>
      </c>
      <c r="C63">
        <f t="shared" si="1"/>
        <v>32</v>
      </c>
      <c r="D63" t="s">
        <v>1545</v>
      </c>
      <c r="E63" t="s">
        <v>118</v>
      </c>
      <c r="J63" t="s">
        <v>119</v>
      </c>
      <c r="K63" t="s">
        <v>1546</v>
      </c>
      <c r="L63" t="s">
        <v>1547</v>
      </c>
      <c r="M63">
        <v>1556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2018</v>
      </c>
      <c r="AI63" t="s">
        <v>126</v>
      </c>
      <c r="AJ63" t="s">
        <v>192</v>
      </c>
      <c r="AK63" t="s">
        <v>150</v>
      </c>
      <c r="AL63" t="s">
        <v>162</v>
      </c>
      <c r="AM63" t="s">
        <v>150</v>
      </c>
      <c r="AN63" t="s">
        <v>162</v>
      </c>
      <c r="AO63" t="s">
        <v>169</v>
      </c>
      <c r="AP63" t="s">
        <v>237</v>
      </c>
      <c r="AQ63" t="s">
        <v>153</v>
      </c>
      <c r="AR63" t="s">
        <v>209</v>
      </c>
      <c r="AS63" t="s">
        <v>1548</v>
      </c>
      <c r="AT63" t="s">
        <v>1549</v>
      </c>
      <c r="AU63" t="s">
        <v>1550</v>
      </c>
      <c r="AV63" t="s">
        <v>230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GW63" t="s">
        <v>1551</v>
      </c>
      <c r="GX63" t="s">
        <v>1552</v>
      </c>
      <c r="GY63" t="s">
        <v>1553</v>
      </c>
      <c r="GZ63" t="s">
        <v>186</v>
      </c>
      <c r="HA63">
        <v>1994</v>
      </c>
      <c r="HB63" t="s">
        <v>483</v>
      </c>
      <c r="HD63" t="s">
        <v>1554</v>
      </c>
    </row>
    <row r="64" spans="1:214" x14ac:dyDescent="0.45">
      <c r="A64">
        <v>195</v>
      </c>
      <c r="B64">
        <f>_xlfn.IFNA(VLOOKUP(Analiza[[#This Row],[Zakończono wypełnianie]],Zakończone[],2,0),"BRAK")</f>
        <v>111</v>
      </c>
      <c r="C64">
        <f t="shared" si="1"/>
        <v>32</v>
      </c>
      <c r="D64" t="s">
        <v>1649</v>
      </c>
      <c r="E64" t="s">
        <v>118</v>
      </c>
      <c r="F64" t="s">
        <v>359</v>
      </c>
      <c r="J64" t="s">
        <v>119</v>
      </c>
      <c r="K64" t="s">
        <v>1650</v>
      </c>
      <c r="L64" t="s">
        <v>1651</v>
      </c>
      <c r="M64">
        <v>386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>
        <v>2016</v>
      </c>
      <c r="AI64" t="s">
        <v>126</v>
      </c>
      <c r="AJ64" t="s">
        <v>1652</v>
      </c>
      <c r="AK64" t="s">
        <v>162</v>
      </c>
      <c r="AL64" t="s">
        <v>151</v>
      </c>
      <c r="AM64" t="s">
        <v>162</v>
      </c>
      <c r="AN64" t="s">
        <v>150</v>
      </c>
      <c r="AO64" t="s">
        <v>236</v>
      </c>
      <c r="AP64" t="s">
        <v>530</v>
      </c>
      <c r="AQ64" t="s">
        <v>153</v>
      </c>
      <c r="AR64" t="s">
        <v>153</v>
      </c>
      <c r="AS64" t="s">
        <v>1653</v>
      </c>
      <c r="AT64" t="s">
        <v>1654</v>
      </c>
      <c r="AU64" t="s">
        <v>1655</v>
      </c>
      <c r="AV64" t="s">
        <v>172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FO64" s="1" t="s">
        <v>123</v>
      </c>
      <c r="GW64" t="s">
        <v>1656</v>
      </c>
      <c r="GX64" t="s">
        <v>1657</v>
      </c>
      <c r="GY64" t="s">
        <v>1658</v>
      </c>
      <c r="GZ64" t="s">
        <v>140</v>
      </c>
      <c r="HA64">
        <v>1993</v>
      </c>
      <c r="HB64" t="s">
        <v>220</v>
      </c>
    </row>
    <row r="65" spans="1:214" x14ac:dyDescent="0.45">
      <c r="A65">
        <v>135</v>
      </c>
      <c r="B65">
        <f>_xlfn.IFNA(VLOOKUP(Analiza[[#This Row],[Zakończono wypełnianie]],Zakończone[],2,0),"BRAK")</f>
        <v>82</v>
      </c>
      <c r="C65">
        <f t="shared" si="1"/>
        <v>67</v>
      </c>
      <c r="D65" t="s">
        <v>1264</v>
      </c>
      <c r="E65" t="s">
        <v>118</v>
      </c>
      <c r="F65" t="s">
        <v>1265</v>
      </c>
      <c r="J65" t="s">
        <v>119</v>
      </c>
      <c r="K65" t="s">
        <v>1266</v>
      </c>
      <c r="L65" t="s">
        <v>1267</v>
      </c>
      <c r="M65">
        <v>2127</v>
      </c>
      <c r="N65">
        <v>0</v>
      </c>
      <c r="O65" t="s">
        <v>122</v>
      </c>
      <c r="P65" s="1" t="s">
        <v>123</v>
      </c>
      <c r="AF65" s="1" t="s">
        <v>124</v>
      </c>
      <c r="AG65" t="s">
        <v>191</v>
      </c>
      <c r="AH65">
        <v>1982</v>
      </c>
      <c r="AI65" t="s">
        <v>126</v>
      </c>
      <c r="AJ65" t="s">
        <v>1268</v>
      </c>
      <c r="AK65" t="s">
        <v>169</v>
      </c>
      <c r="AL65" t="s">
        <v>169</v>
      </c>
      <c r="AM65" t="s">
        <v>169</v>
      </c>
      <c r="AN65" t="s">
        <v>169</v>
      </c>
      <c r="AO65" t="s">
        <v>169</v>
      </c>
      <c r="AP65">
        <v>0</v>
      </c>
      <c r="AQ65" t="s">
        <v>153</v>
      </c>
      <c r="AR65" t="s">
        <v>759</v>
      </c>
      <c r="AS65" t="s">
        <v>1269</v>
      </c>
      <c r="AT65" t="s">
        <v>1270</v>
      </c>
      <c r="AU65" t="s">
        <v>386</v>
      </c>
      <c r="AW65" t="s">
        <v>1271</v>
      </c>
      <c r="AX65" s="1" t="s">
        <v>159</v>
      </c>
      <c r="AY65">
        <v>1</v>
      </c>
      <c r="AZ65" t="s">
        <v>1290</v>
      </c>
      <c r="BA65">
        <v>2011</v>
      </c>
      <c r="BB65" t="s">
        <v>148</v>
      </c>
      <c r="BC65" t="s">
        <v>1050</v>
      </c>
      <c r="BD65" t="s">
        <v>169</v>
      </c>
      <c r="BE65" t="s">
        <v>169</v>
      </c>
      <c r="BF65" t="s">
        <v>169</v>
      </c>
      <c r="BG65" t="s">
        <v>169</v>
      </c>
      <c r="BH65" t="s">
        <v>169</v>
      </c>
      <c r="BI65" t="s">
        <v>1273</v>
      </c>
      <c r="BJ65" t="s">
        <v>1274</v>
      </c>
      <c r="BK65" t="s">
        <v>157</v>
      </c>
      <c r="BM65" t="s">
        <v>1275</v>
      </c>
      <c r="BN65" t="s">
        <v>173</v>
      </c>
      <c r="CR65" s="1" t="s">
        <v>123</v>
      </c>
      <c r="DB65" s="1" t="s">
        <v>214</v>
      </c>
      <c r="DC65" t="s">
        <v>191</v>
      </c>
      <c r="DD65" t="s">
        <v>1276</v>
      </c>
      <c r="DE65" t="s">
        <v>169</v>
      </c>
      <c r="DF65" t="s">
        <v>169</v>
      </c>
      <c r="DG65" t="s">
        <v>169</v>
      </c>
      <c r="DH65" t="s">
        <v>150</v>
      </c>
      <c r="DI65" t="s">
        <v>169</v>
      </c>
      <c r="DJ65" t="s">
        <v>169</v>
      </c>
      <c r="DK65" t="s">
        <v>1277</v>
      </c>
      <c r="DL65" s="1" t="s">
        <v>123</v>
      </c>
      <c r="EO65" s="1" t="s">
        <v>177</v>
      </c>
      <c r="EP65" t="s">
        <v>178</v>
      </c>
      <c r="EQ65">
        <v>1</v>
      </c>
      <c r="ER65" t="s">
        <v>747</v>
      </c>
      <c r="ES65" t="s">
        <v>169</v>
      </c>
      <c r="ET65" t="s">
        <v>169</v>
      </c>
      <c r="EU65" t="s">
        <v>151</v>
      </c>
      <c r="EV65" t="s">
        <v>178</v>
      </c>
      <c r="EW65" t="s">
        <v>1278</v>
      </c>
      <c r="EX65" t="s">
        <v>1279</v>
      </c>
      <c r="EY65" t="s">
        <v>173</v>
      </c>
      <c r="FO65" s="1" t="s">
        <v>123</v>
      </c>
      <c r="GW65" t="s">
        <v>1280</v>
      </c>
      <c r="GX65" t="s">
        <v>1281</v>
      </c>
      <c r="GY65" t="s">
        <v>1282</v>
      </c>
      <c r="GZ65" t="s">
        <v>186</v>
      </c>
      <c r="HA65" t="s">
        <v>1283</v>
      </c>
      <c r="HB65" t="s">
        <v>398</v>
      </c>
      <c r="HD65" t="s">
        <v>1284</v>
      </c>
      <c r="HE65" t="s">
        <v>1285</v>
      </c>
    </row>
    <row r="66" spans="1:214" x14ac:dyDescent="0.45">
      <c r="A66">
        <v>198</v>
      </c>
      <c r="B66">
        <f>_xlfn.IFNA(VLOOKUP(Analiza[[#This Row],[Zakończono wypełnianie]],Zakończone[],2,0),"BRAK")</f>
        <v>113</v>
      </c>
      <c r="C66">
        <f t="shared" si="1"/>
        <v>31</v>
      </c>
      <c r="D66" t="s">
        <v>1674</v>
      </c>
      <c r="E66" t="s">
        <v>118</v>
      </c>
      <c r="J66" t="s">
        <v>119</v>
      </c>
      <c r="K66" t="s">
        <v>1675</v>
      </c>
      <c r="L66" t="s">
        <v>1676</v>
      </c>
      <c r="M66">
        <v>445</v>
      </c>
      <c r="N66">
        <v>0</v>
      </c>
      <c r="O66" t="s">
        <v>122</v>
      </c>
      <c r="P66" s="1" t="s">
        <v>123</v>
      </c>
      <c r="AF66" s="1" t="s">
        <v>124</v>
      </c>
      <c r="AG66" t="s">
        <v>191</v>
      </c>
      <c r="AH66">
        <v>2014</v>
      </c>
      <c r="AI66" t="s">
        <v>126</v>
      </c>
      <c r="AJ66" t="s">
        <v>192</v>
      </c>
      <c r="AK66" t="s">
        <v>169</v>
      </c>
      <c r="AL66" t="s">
        <v>169</v>
      </c>
      <c r="AM66" t="s">
        <v>162</v>
      </c>
      <c r="AN66" t="s">
        <v>151</v>
      </c>
      <c r="AO66" t="s">
        <v>151</v>
      </c>
      <c r="AP66" t="s">
        <v>237</v>
      </c>
      <c r="AQ66" t="s">
        <v>226</v>
      </c>
      <c r="AR66" t="s">
        <v>1428</v>
      </c>
      <c r="AS66" t="s">
        <v>1677</v>
      </c>
      <c r="AT66" t="s">
        <v>1678</v>
      </c>
      <c r="AU66" t="s">
        <v>1679</v>
      </c>
      <c r="AV66" t="s">
        <v>157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FO66" s="1" t="s">
        <v>123</v>
      </c>
      <c r="GW66" t="s">
        <v>532</v>
      </c>
      <c r="GX66" t="s">
        <v>1680</v>
      </c>
      <c r="GY66" t="s">
        <v>1681</v>
      </c>
      <c r="GZ66" t="s">
        <v>186</v>
      </c>
      <c r="HA66">
        <v>1984</v>
      </c>
      <c r="HB66" t="s">
        <v>398</v>
      </c>
    </row>
    <row r="67" spans="1:214" x14ac:dyDescent="0.45">
      <c r="A67">
        <v>212</v>
      </c>
      <c r="B67">
        <f>_xlfn.IFNA(VLOOKUP(Analiza[[#This Row],[Zakończono wypełnianie]],Zakończone[],2,0),"BRAK")</f>
        <v>116</v>
      </c>
      <c r="C67">
        <f t="shared" ref="C67:C98" si="2">COUNTA(O67:HF67)</f>
        <v>30</v>
      </c>
      <c r="D67" t="s">
        <v>1751</v>
      </c>
      <c r="E67" t="s">
        <v>118</v>
      </c>
      <c r="J67" t="s">
        <v>119</v>
      </c>
      <c r="K67" t="s">
        <v>1752</v>
      </c>
      <c r="L67" t="s">
        <v>1753</v>
      </c>
      <c r="M67">
        <v>625</v>
      </c>
      <c r="N67">
        <v>0</v>
      </c>
      <c r="O67" t="s">
        <v>122</v>
      </c>
      <c r="P67" s="1" t="s">
        <v>123</v>
      </c>
      <c r="AF67" s="1" t="s">
        <v>124</v>
      </c>
      <c r="AG67" t="s">
        <v>191</v>
      </c>
      <c r="AH67">
        <v>2009</v>
      </c>
      <c r="AI67" t="s">
        <v>126</v>
      </c>
      <c r="AJ67" t="s">
        <v>192</v>
      </c>
      <c r="AK67" t="s">
        <v>162</v>
      </c>
      <c r="AL67" t="s">
        <v>150</v>
      </c>
      <c r="AM67" t="s">
        <v>169</v>
      </c>
      <c r="AN67" t="s">
        <v>169</v>
      </c>
      <c r="AO67" t="s">
        <v>169</v>
      </c>
      <c r="AP67" t="s">
        <v>530</v>
      </c>
      <c r="AQ67" t="s">
        <v>226</v>
      </c>
      <c r="AR67" t="s">
        <v>759</v>
      </c>
      <c r="AT67" t="s">
        <v>1754</v>
      </c>
      <c r="AU67" t="s">
        <v>1755</v>
      </c>
      <c r="AW67" t="s">
        <v>1756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123</v>
      </c>
      <c r="FO67" s="1" t="s">
        <v>123</v>
      </c>
      <c r="GW67" t="s">
        <v>1757</v>
      </c>
      <c r="GX67" t="s">
        <v>1758</v>
      </c>
      <c r="GY67" t="s">
        <v>1759</v>
      </c>
      <c r="GZ67" t="s">
        <v>186</v>
      </c>
      <c r="HA67">
        <v>1984</v>
      </c>
      <c r="HB67" t="s">
        <v>141</v>
      </c>
    </row>
    <row r="68" spans="1:214" x14ac:dyDescent="0.45">
      <c r="A68">
        <v>215</v>
      </c>
      <c r="B68">
        <f>_xlfn.IFNA(VLOOKUP(Analiza[[#This Row],[Zakończono wypełnianie]],Zakończone[],2,0),"BRAK")</f>
        <v>118</v>
      </c>
      <c r="C68">
        <f t="shared" si="2"/>
        <v>32</v>
      </c>
      <c r="D68" t="s">
        <v>1131</v>
      </c>
      <c r="E68" t="s">
        <v>118</v>
      </c>
      <c r="J68" t="s">
        <v>119</v>
      </c>
      <c r="K68" t="s">
        <v>1770</v>
      </c>
      <c r="L68" t="s">
        <v>1771</v>
      </c>
      <c r="M68">
        <v>1129</v>
      </c>
      <c r="N68">
        <v>0</v>
      </c>
      <c r="O68" t="s">
        <v>122</v>
      </c>
      <c r="P68" s="1" t="s">
        <v>123</v>
      </c>
      <c r="AF68" s="1" t="s">
        <v>124</v>
      </c>
      <c r="AG68" t="s">
        <v>191</v>
      </c>
      <c r="AH68">
        <v>2014</v>
      </c>
      <c r="AI68" t="s">
        <v>126</v>
      </c>
      <c r="AJ68" t="s">
        <v>1186</v>
      </c>
      <c r="AK68" t="s">
        <v>162</v>
      </c>
      <c r="AL68" t="s">
        <v>150</v>
      </c>
      <c r="AM68" t="s">
        <v>162</v>
      </c>
      <c r="AN68" t="s">
        <v>162</v>
      </c>
      <c r="AO68" t="s">
        <v>150</v>
      </c>
      <c r="AP68">
        <v>1</v>
      </c>
      <c r="AQ68" t="s">
        <v>131</v>
      </c>
      <c r="AR68" t="s">
        <v>153</v>
      </c>
      <c r="AT68" t="s">
        <v>766</v>
      </c>
      <c r="AU68" t="s">
        <v>1772</v>
      </c>
      <c r="AV68" t="s">
        <v>172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FO68" s="1" t="s">
        <v>123</v>
      </c>
      <c r="GW68" t="s">
        <v>1773</v>
      </c>
      <c r="GX68" t="s">
        <v>1774</v>
      </c>
      <c r="GY68" t="s">
        <v>1775</v>
      </c>
      <c r="GZ68" t="s">
        <v>140</v>
      </c>
      <c r="HA68">
        <v>1990</v>
      </c>
      <c r="HB68" t="s">
        <v>141</v>
      </c>
      <c r="HD68" t="s">
        <v>1776</v>
      </c>
      <c r="HE68" t="s">
        <v>1777</v>
      </c>
    </row>
    <row r="69" spans="1:214" x14ac:dyDescent="0.45">
      <c r="A69">
        <v>218</v>
      </c>
      <c r="B69">
        <f>_xlfn.IFNA(VLOOKUP(Analiza[[#This Row],[Zakończono wypełnianie]],Zakończone[],2,0),"BRAK")</f>
        <v>120</v>
      </c>
      <c r="C69">
        <f t="shared" si="2"/>
        <v>31</v>
      </c>
      <c r="D69" t="s">
        <v>1792</v>
      </c>
      <c r="E69" t="s">
        <v>118</v>
      </c>
      <c r="F69" t="s">
        <v>359</v>
      </c>
      <c r="J69" t="s">
        <v>119</v>
      </c>
      <c r="K69" t="s">
        <v>1793</v>
      </c>
      <c r="L69" t="s">
        <v>1794</v>
      </c>
      <c r="M69">
        <v>465</v>
      </c>
      <c r="N69">
        <v>0</v>
      </c>
      <c r="O69" t="s">
        <v>122</v>
      </c>
      <c r="P69" s="1" t="s">
        <v>123</v>
      </c>
      <c r="AF69" s="1" t="s">
        <v>124</v>
      </c>
      <c r="AG69" t="s">
        <v>191</v>
      </c>
      <c r="AH69">
        <v>2016</v>
      </c>
      <c r="AI69" t="s">
        <v>126</v>
      </c>
      <c r="AJ69" t="s">
        <v>1795</v>
      </c>
      <c r="AK69" t="s">
        <v>236</v>
      </c>
      <c r="AL69" t="s">
        <v>236</v>
      </c>
      <c r="AM69" t="s">
        <v>129</v>
      </c>
      <c r="AN69" t="s">
        <v>129</v>
      </c>
      <c r="AO69" t="s">
        <v>129</v>
      </c>
      <c r="AP69">
        <v>34</v>
      </c>
      <c r="AQ69" t="s">
        <v>152</v>
      </c>
      <c r="AR69" t="s">
        <v>152</v>
      </c>
      <c r="AS69" t="s">
        <v>1796</v>
      </c>
      <c r="AT69" t="s">
        <v>1797</v>
      </c>
      <c r="AU69" t="s">
        <v>1798</v>
      </c>
      <c r="AV69" t="s">
        <v>157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FO69" s="1" t="s">
        <v>123</v>
      </c>
      <c r="GW69" t="s">
        <v>1799</v>
      </c>
      <c r="GX69" t="s">
        <v>1800</v>
      </c>
      <c r="GY69" t="s">
        <v>1801</v>
      </c>
      <c r="GZ69" t="s">
        <v>140</v>
      </c>
      <c r="HA69">
        <v>2006</v>
      </c>
      <c r="HB69" t="s">
        <v>483</v>
      </c>
    </row>
    <row r="70" spans="1:214" x14ac:dyDescent="0.45">
      <c r="A70">
        <v>125</v>
      </c>
      <c r="B70">
        <f>_xlfn.IFNA(VLOOKUP(Analiza[[#This Row],[Zakończono wypełnianie]],Zakończone[],2,0),"BRAK")</f>
        <v>74</v>
      </c>
      <c r="C70">
        <f t="shared" si="2"/>
        <v>79</v>
      </c>
      <c r="D70" t="s">
        <v>1163</v>
      </c>
      <c r="E70" t="s">
        <v>118</v>
      </c>
      <c r="J70" t="s">
        <v>119</v>
      </c>
      <c r="K70" t="s">
        <v>1164</v>
      </c>
      <c r="L70" t="s">
        <v>1165</v>
      </c>
      <c r="M70">
        <v>982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>
        <v>1978</v>
      </c>
      <c r="AI70" t="s">
        <v>148</v>
      </c>
      <c r="AJ70" t="s">
        <v>1167</v>
      </c>
      <c r="AK70" t="s">
        <v>169</v>
      </c>
      <c r="AL70" t="s">
        <v>169</v>
      </c>
      <c r="AM70" t="s">
        <v>169</v>
      </c>
      <c r="AN70" t="s">
        <v>150</v>
      </c>
      <c r="AO70" t="s">
        <v>150</v>
      </c>
      <c r="AP70" t="s">
        <v>1168</v>
      </c>
      <c r="AQ70" t="s">
        <v>132</v>
      </c>
      <c r="AR70" t="s">
        <v>132</v>
      </c>
      <c r="AS70" t="s">
        <v>1169</v>
      </c>
      <c r="AT70" t="s">
        <v>1170</v>
      </c>
      <c r="AU70" t="s">
        <v>132</v>
      </c>
      <c r="AW70" t="s">
        <v>1171</v>
      </c>
      <c r="AX70" s="1" t="s">
        <v>159</v>
      </c>
      <c r="AY70">
        <v>1</v>
      </c>
      <c r="AZ70" t="s">
        <v>1290</v>
      </c>
      <c r="BA70">
        <v>2020</v>
      </c>
      <c r="BB70" t="s">
        <v>148</v>
      </c>
      <c r="BC70" t="s">
        <v>1050</v>
      </c>
      <c r="BD70" t="s">
        <v>132</v>
      </c>
      <c r="BE70" t="s">
        <v>132</v>
      </c>
      <c r="BF70" t="s">
        <v>132</v>
      </c>
      <c r="BG70" t="s">
        <v>132</v>
      </c>
      <c r="BH70" t="s">
        <v>132</v>
      </c>
      <c r="BI70" t="s">
        <v>1173</v>
      </c>
      <c r="BJ70" t="s">
        <v>1174</v>
      </c>
      <c r="BK70" t="s">
        <v>230</v>
      </c>
      <c r="BM70" t="s">
        <v>1175</v>
      </c>
      <c r="BN70" t="s">
        <v>173</v>
      </c>
      <c r="CR70" s="1" t="s">
        <v>123</v>
      </c>
      <c r="DB70" s="1" t="s">
        <v>214</v>
      </c>
      <c r="DC70" t="s">
        <v>191</v>
      </c>
      <c r="DD70" t="s">
        <v>308</v>
      </c>
      <c r="DE70" t="s">
        <v>169</v>
      </c>
      <c r="DF70" t="s">
        <v>162</v>
      </c>
      <c r="DG70" t="s">
        <v>150</v>
      </c>
      <c r="DH70" t="s">
        <v>169</v>
      </c>
      <c r="DI70" t="s">
        <v>150</v>
      </c>
      <c r="DJ70" t="s">
        <v>150</v>
      </c>
      <c r="DK70" t="s">
        <v>1177</v>
      </c>
      <c r="DL70" s="1" t="s">
        <v>174</v>
      </c>
      <c r="DO70" t="s">
        <v>1178</v>
      </c>
      <c r="DQ70" t="s">
        <v>747</v>
      </c>
      <c r="DR70" t="s">
        <v>150</v>
      </c>
      <c r="DS70" t="s">
        <v>150</v>
      </c>
      <c r="DT70" t="s">
        <v>150</v>
      </c>
      <c r="DU70" t="s">
        <v>150</v>
      </c>
      <c r="DV70" t="s">
        <v>162</v>
      </c>
      <c r="DW70" t="s">
        <v>162</v>
      </c>
      <c r="DX70" t="s">
        <v>162</v>
      </c>
      <c r="DY70">
        <v>25</v>
      </c>
      <c r="DZ70">
        <v>10</v>
      </c>
      <c r="EA70">
        <v>0</v>
      </c>
      <c r="EB70">
        <v>10</v>
      </c>
      <c r="EC70">
        <v>25</v>
      </c>
      <c r="ED70">
        <v>15</v>
      </c>
      <c r="EE70">
        <v>15</v>
      </c>
      <c r="EG70">
        <v>10</v>
      </c>
      <c r="EH70">
        <v>10</v>
      </c>
      <c r="EI70">
        <v>0</v>
      </c>
      <c r="EJ70">
        <v>10</v>
      </c>
      <c r="EK70">
        <v>50</v>
      </c>
      <c r="EL70">
        <v>10</v>
      </c>
      <c r="EM70">
        <v>10</v>
      </c>
      <c r="EO70" s="1" t="s">
        <v>123</v>
      </c>
      <c r="FO70" s="1" t="s">
        <v>123</v>
      </c>
      <c r="GW70" t="s">
        <v>1179</v>
      </c>
      <c r="GX70" t="s">
        <v>1180</v>
      </c>
      <c r="GY70" t="s">
        <v>1181</v>
      </c>
      <c r="GZ70" t="s">
        <v>186</v>
      </c>
      <c r="HA70" t="s">
        <v>1182</v>
      </c>
      <c r="HB70" t="s">
        <v>141</v>
      </c>
      <c r="HD70" t="s">
        <v>1183</v>
      </c>
    </row>
    <row r="71" spans="1:214" x14ac:dyDescent="0.45">
      <c r="A71">
        <v>231</v>
      </c>
      <c r="B71">
        <f>_xlfn.IFNA(VLOOKUP(Analiza[[#This Row],[Zakończono wypełnianie]],Zakończone[],2,0),"BRAK")</f>
        <v>124</v>
      </c>
      <c r="C71">
        <f t="shared" si="2"/>
        <v>31</v>
      </c>
      <c r="D71" t="s">
        <v>1864</v>
      </c>
      <c r="E71" t="s">
        <v>118</v>
      </c>
      <c r="F71" t="s">
        <v>359</v>
      </c>
      <c r="J71" t="s">
        <v>119</v>
      </c>
      <c r="K71" t="s">
        <v>1865</v>
      </c>
      <c r="L71" t="s">
        <v>1866</v>
      </c>
      <c r="M71">
        <v>607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>
        <v>2015</v>
      </c>
      <c r="AI71" t="s">
        <v>148</v>
      </c>
      <c r="AJ71" t="s">
        <v>1867</v>
      </c>
      <c r="AK71" t="s">
        <v>162</v>
      </c>
      <c r="AL71" t="s">
        <v>150</v>
      </c>
      <c r="AM71" t="s">
        <v>169</v>
      </c>
      <c r="AN71" t="s">
        <v>151</v>
      </c>
      <c r="AO71" t="s">
        <v>162</v>
      </c>
      <c r="AP71" t="s">
        <v>1868</v>
      </c>
      <c r="AQ71" t="s">
        <v>153</v>
      </c>
      <c r="AR71" t="s">
        <v>226</v>
      </c>
      <c r="AS71" t="s">
        <v>1869</v>
      </c>
      <c r="AT71" t="s">
        <v>1870</v>
      </c>
      <c r="AU71" t="s">
        <v>1871</v>
      </c>
      <c r="AV71" t="s">
        <v>172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GW71" t="s">
        <v>276</v>
      </c>
      <c r="GX71" t="s">
        <v>1872</v>
      </c>
      <c r="GY71" t="s">
        <v>1873</v>
      </c>
      <c r="GZ71" t="s">
        <v>186</v>
      </c>
      <c r="HA71">
        <v>1991</v>
      </c>
      <c r="HB71" t="s">
        <v>398</v>
      </c>
    </row>
    <row r="72" spans="1:214" x14ac:dyDescent="0.45">
      <c r="A72">
        <v>234</v>
      </c>
      <c r="B72">
        <f>_xlfn.IFNA(VLOOKUP(Analiza[[#This Row],[Zakończono wypełnianie]],Zakończone[],2,0),"BRAK")</f>
        <v>126</v>
      </c>
      <c r="C72">
        <f t="shared" si="2"/>
        <v>30</v>
      </c>
      <c r="D72" t="s">
        <v>1890</v>
      </c>
      <c r="E72" t="s">
        <v>118</v>
      </c>
      <c r="J72" t="s">
        <v>119</v>
      </c>
      <c r="K72" t="s">
        <v>1891</v>
      </c>
      <c r="L72" t="s">
        <v>1892</v>
      </c>
      <c r="M72">
        <v>680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>
        <v>2016</v>
      </c>
      <c r="AI72" t="s">
        <v>126</v>
      </c>
      <c r="AJ72" t="s">
        <v>1893</v>
      </c>
      <c r="AK72" t="s">
        <v>150</v>
      </c>
      <c r="AL72" t="s">
        <v>150</v>
      </c>
      <c r="AM72" t="s">
        <v>150</v>
      </c>
      <c r="AN72" t="s">
        <v>128</v>
      </c>
      <c r="AO72" t="s">
        <v>150</v>
      </c>
      <c r="AP72" t="s">
        <v>530</v>
      </c>
      <c r="AQ72" t="s">
        <v>302</v>
      </c>
      <c r="AR72" t="s">
        <v>226</v>
      </c>
      <c r="AT72" t="s">
        <v>1894</v>
      </c>
      <c r="AU72" t="s">
        <v>1895</v>
      </c>
      <c r="AV72" t="s">
        <v>157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GW72" t="s">
        <v>1896</v>
      </c>
      <c r="GX72" t="s">
        <v>1897</v>
      </c>
      <c r="GY72" t="s">
        <v>1898</v>
      </c>
      <c r="GZ72" t="s">
        <v>140</v>
      </c>
      <c r="HA72">
        <v>1991</v>
      </c>
      <c r="HB72" t="s">
        <v>398</v>
      </c>
    </row>
    <row r="73" spans="1:214" x14ac:dyDescent="0.45">
      <c r="A73">
        <v>82</v>
      </c>
      <c r="B73">
        <f>_xlfn.IFNA(VLOOKUP(Analiza[[#This Row],[Zakończono wypełnianie]],Zakończone[],2,0),"BRAK")</f>
        <v>47</v>
      </c>
      <c r="C73">
        <f t="shared" si="2"/>
        <v>28</v>
      </c>
      <c r="D73" t="s">
        <v>828</v>
      </c>
      <c r="E73" t="s">
        <v>118</v>
      </c>
      <c r="J73" t="s">
        <v>119</v>
      </c>
      <c r="K73" t="s">
        <v>829</v>
      </c>
      <c r="L73" t="s">
        <v>830</v>
      </c>
      <c r="M73">
        <v>3349</v>
      </c>
      <c r="N73">
        <v>0</v>
      </c>
      <c r="O73" t="s">
        <v>122</v>
      </c>
      <c r="P73" s="1" t="s">
        <v>123</v>
      </c>
      <c r="AF73" s="1" t="s">
        <v>123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177</v>
      </c>
      <c r="EP73" t="s">
        <v>178</v>
      </c>
      <c r="EQ73">
        <v>1</v>
      </c>
      <c r="ER73" t="s">
        <v>191</v>
      </c>
      <c r="ES73" t="s">
        <v>162</v>
      </c>
      <c r="ET73" t="s">
        <v>162</v>
      </c>
      <c r="EU73" t="s">
        <v>128</v>
      </c>
      <c r="EV73" t="s">
        <v>178</v>
      </c>
      <c r="EW73" t="s">
        <v>831</v>
      </c>
      <c r="EX73" t="s">
        <v>832</v>
      </c>
      <c r="EY73" t="s">
        <v>173</v>
      </c>
      <c r="FO73" s="1" t="s">
        <v>123</v>
      </c>
      <c r="FP73" t="s">
        <v>132</v>
      </c>
      <c r="FR73" t="s">
        <v>132</v>
      </c>
      <c r="GW73" t="s">
        <v>833</v>
      </c>
      <c r="GX73" t="s">
        <v>834</v>
      </c>
      <c r="GY73" t="s">
        <v>835</v>
      </c>
      <c r="GZ73" t="s">
        <v>140</v>
      </c>
      <c r="HA73">
        <v>1977</v>
      </c>
      <c r="HB73" t="s">
        <v>398</v>
      </c>
      <c r="HD73" t="s">
        <v>836</v>
      </c>
    </row>
    <row r="74" spans="1:214" x14ac:dyDescent="0.45">
      <c r="A74">
        <v>236</v>
      </c>
      <c r="B74">
        <f>_xlfn.IFNA(VLOOKUP(Analiza[[#This Row],[Zakończono wypełnianie]],Zakończone[],2,0),"BRAK")</f>
        <v>128</v>
      </c>
      <c r="C74">
        <f t="shared" si="2"/>
        <v>34</v>
      </c>
      <c r="D74" t="s">
        <v>1910</v>
      </c>
      <c r="E74" t="s">
        <v>118</v>
      </c>
      <c r="F74" t="s">
        <v>1911</v>
      </c>
      <c r="J74" t="s">
        <v>119</v>
      </c>
      <c r="K74" t="s">
        <v>1912</v>
      </c>
      <c r="L74" t="s">
        <v>1913</v>
      </c>
      <c r="M74">
        <v>1026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>
        <v>2011</v>
      </c>
      <c r="AI74" t="s">
        <v>126</v>
      </c>
      <c r="AJ74" t="s">
        <v>1914</v>
      </c>
      <c r="AK74" t="s">
        <v>150</v>
      </c>
      <c r="AL74" t="s">
        <v>162</v>
      </c>
      <c r="AM74" t="s">
        <v>150</v>
      </c>
      <c r="AN74" t="s">
        <v>151</v>
      </c>
      <c r="AO74" t="s">
        <v>169</v>
      </c>
      <c r="AP74" t="s">
        <v>1362</v>
      </c>
      <c r="AQ74" t="s">
        <v>131</v>
      </c>
      <c r="AR74" t="s">
        <v>759</v>
      </c>
      <c r="AS74" t="s">
        <v>1915</v>
      </c>
      <c r="AT74" t="s">
        <v>1916</v>
      </c>
      <c r="AU74" t="s">
        <v>1917</v>
      </c>
      <c r="AW74" t="s">
        <v>1918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GW74" t="s">
        <v>1919</v>
      </c>
      <c r="GX74" t="s">
        <v>1920</v>
      </c>
      <c r="GY74" t="s">
        <v>1921</v>
      </c>
      <c r="GZ74" t="s">
        <v>140</v>
      </c>
      <c r="HA74">
        <v>1987</v>
      </c>
      <c r="HB74" t="s">
        <v>220</v>
      </c>
      <c r="HD74" t="s">
        <v>1922</v>
      </c>
      <c r="HE74" t="s">
        <v>1923</v>
      </c>
      <c r="HF74" t="s">
        <v>1924</v>
      </c>
    </row>
    <row r="75" spans="1:214" x14ac:dyDescent="0.45">
      <c r="A75">
        <v>11</v>
      </c>
      <c r="B75">
        <f>_xlfn.IFNA(VLOOKUP(Analiza[[#This Row],[Zakończono wypełnianie]],Zakończone[],2,0),"BRAK")</f>
        <v>10</v>
      </c>
      <c r="C75">
        <f t="shared" si="2"/>
        <v>62</v>
      </c>
      <c r="D75" t="s">
        <v>298</v>
      </c>
      <c r="E75" t="s">
        <v>118</v>
      </c>
      <c r="J75" t="s">
        <v>119</v>
      </c>
      <c r="K75" t="s">
        <v>299</v>
      </c>
      <c r="L75" t="s">
        <v>300</v>
      </c>
      <c r="M75">
        <v>1404</v>
      </c>
      <c r="N75">
        <v>0</v>
      </c>
      <c r="O75" t="s">
        <v>122</v>
      </c>
      <c r="P75" s="1" t="s">
        <v>123</v>
      </c>
      <c r="AF75" s="1" t="s">
        <v>124</v>
      </c>
      <c r="AG75" t="s">
        <v>191</v>
      </c>
      <c r="AH75">
        <v>1986</v>
      </c>
      <c r="AI75" t="s">
        <v>126</v>
      </c>
      <c r="AJ75" t="s">
        <v>301</v>
      </c>
      <c r="AK75" t="s">
        <v>150</v>
      </c>
      <c r="AL75" t="s">
        <v>150</v>
      </c>
      <c r="AM75" t="s">
        <v>162</v>
      </c>
      <c r="AN75" t="s">
        <v>151</v>
      </c>
      <c r="AO75" t="s">
        <v>151</v>
      </c>
      <c r="AP75">
        <v>2</v>
      </c>
      <c r="AQ75" t="s">
        <v>302</v>
      </c>
      <c r="AR75" t="s">
        <v>153</v>
      </c>
      <c r="AS75" t="s">
        <v>303</v>
      </c>
      <c r="AT75" t="s">
        <v>304</v>
      </c>
      <c r="AU75" t="s">
        <v>305</v>
      </c>
      <c r="AV75" t="s">
        <v>157</v>
      </c>
      <c r="AX75" s="1" t="s">
        <v>159</v>
      </c>
      <c r="AY75">
        <v>1</v>
      </c>
      <c r="AZ75" t="s">
        <v>223</v>
      </c>
      <c r="BA75">
        <v>2011</v>
      </c>
      <c r="BB75" t="s">
        <v>148</v>
      </c>
      <c r="BC75" t="s">
        <v>127</v>
      </c>
      <c r="BD75" t="s">
        <v>150</v>
      </c>
      <c r="BE75" t="s">
        <v>150</v>
      </c>
      <c r="BF75" t="s">
        <v>169</v>
      </c>
      <c r="BG75" t="s">
        <v>169</v>
      </c>
      <c r="BH75" t="s">
        <v>169</v>
      </c>
      <c r="BI75">
        <v>1</v>
      </c>
      <c r="BJ75" t="s">
        <v>306</v>
      </c>
      <c r="BK75" t="s">
        <v>157</v>
      </c>
      <c r="BM75" t="s">
        <v>307</v>
      </c>
      <c r="BN75" t="s">
        <v>173</v>
      </c>
      <c r="CR75" s="1" t="s">
        <v>123</v>
      </c>
      <c r="DB75" s="1" t="s">
        <v>214</v>
      </c>
      <c r="DC75" t="s">
        <v>191</v>
      </c>
      <c r="DD75" t="s">
        <v>308</v>
      </c>
      <c r="DE75" t="s">
        <v>150</v>
      </c>
      <c r="DF75" t="s">
        <v>150</v>
      </c>
      <c r="DG75" t="s">
        <v>162</v>
      </c>
      <c r="DH75" t="s">
        <v>150</v>
      </c>
      <c r="DI75" t="s">
        <v>150</v>
      </c>
      <c r="DJ75" t="s">
        <v>150</v>
      </c>
      <c r="DK75" t="s">
        <v>309</v>
      </c>
      <c r="DL75" s="1" t="s">
        <v>123</v>
      </c>
      <c r="EO75" s="1" t="s">
        <v>123</v>
      </c>
      <c r="EP75" t="s">
        <v>180</v>
      </c>
      <c r="EQ75" t="s">
        <v>132</v>
      </c>
      <c r="FO75" s="1" t="s">
        <v>123</v>
      </c>
      <c r="FP75" t="s">
        <v>132</v>
      </c>
      <c r="FR75" t="s">
        <v>132</v>
      </c>
      <c r="GW75" t="s">
        <v>310</v>
      </c>
      <c r="GX75" t="s">
        <v>311</v>
      </c>
      <c r="GY75" t="s">
        <v>312</v>
      </c>
      <c r="GZ75" t="s">
        <v>186</v>
      </c>
      <c r="HA75">
        <v>1963</v>
      </c>
      <c r="HB75" t="s">
        <v>141</v>
      </c>
      <c r="HC75" t="s">
        <v>313</v>
      </c>
      <c r="HD75" t="s">
        <v>314</v>
      </c>
      <c r="HE75" t="s">
        <v>315</v>
      </c>
    </row>
    <row r="76" spans="1:214" x14ac:dyDescent="0.45">
      <c r="A76">
        <v>245</v>
      </c>
      <c r="B76">
        <f>_xlfn.IFNA(VLOOKUP(Analiza[[#This Row],[Zakończono wypełnianie]],Zakończone[],2,0),"BRAK")</f>
        <v>131</v>
      </c>
      <c r="C76">
        <f t="shared" si="2"/>
        <v>32</v>
      </c>
      <c r="D76" t="s">
        <v>1965</v>
      </c>
      <c r="E76" t="s">
        <v>118</v>
      </c>
      <c r="F76" t="s">
        <v>1966</v>
      </c>
      <c r="J76" t="s">
        <v>119</v>
      </c>
      <c r="K76" t="s">
        <v>1967</v>
      </c>
      <c r="L76" t="s">
        <v>1968</v>
      </c>
      <c r="M76">
        <v>504</v>
      </c>
      <c r="N76">
        <v>0</v>
      </c>
      <c r="O76" t="s">
        <v>122</v>
      </c>
      <c r="P76" s="1" t="s">
        <v>123</v>
      </c>
      <c r="AF76" s="1" t="s">
        <v>124</v>
      </c>
      <c r="AG76" t="s">
        <v>191</v>
      </c>
      <c r="AH76">
        <v>2003</v>
      </c>
      <c r="AI76" t="s">
        <v>126</v>
      </c>
      <c r="AJ76" t="s">
        <v>127</v>
      </c>
      <c r="AK76" t="s">
        <v>150</v>
      </c>
      <c r="AL76" t="s">
        <v>150</v>
      </c>
      <c r="AM76" t="s">
        <v>162</v>
      </c>
      <c r="AN76" t="s">
        <v>151</v>
      </c>
      <c r="AO76" t="s">
        <v>151</v>
      </c>
      <c r="AP76" t="s">
        <v>237</v>
      </c>
      <c r="AQ76" t="s">
        <v>152</v>
      </c>
      <c r="AR76" t="s">
        <v>131</v>
      </c>
      <c r="AS76" t="s">
        <v>1969</v>
      </c>
      <c r="AT76" t="s">
        <v>1970</v>
      </c>
      <c r="AU76" t="s">
        <v>1971</v>
      </c>
      <c r="AV76" t="s">
        <v>157</v>
      </c>
      <c r="AW76" t="s">
        <v>1972</v>
      </c>
      <c r="AX76" s="1" t="s">
        <v>123</v>
      </c>
      <c r="CR76" s="1" t="s">
        <v>123</v>
      </c>
      <c r="DB76" s="1" t="s">
        <v>123</v>
      </c>
      <c r="DL76" s="1" t="s">
        <v>123</v>
      </c>
      <c r="EO76" s="1" t="s">
        <v>123</v>
      </c>
      <c r="FO76" s="1" t="s">
        <v>123</v>
      </c>
      <c r="GW76" t="s">
        <v>1973</v>
      </c>
      <c r="GX76" t="s">
        <v>1363</v>
      </c>
      <c r="GY76" t="s">
        <v>1974</v>
      </c>
      <c r="GZ76" t="s">
        <v>140</v>
      </c>
      <c r="HA76">
        <v>1979</v>
      </c>
      <c r="HB76" t="s">
        <v>141</v>
      </c>
    </row>
    <row r="77" spans="1:214" x14ac:dyDescent="0.45">
      <c r="A77">
        <v>74</v>
      </c>
      <c r="B77">
        <f>_xlfn.IFNA(VLOOKUP(Analiza[[#This Row],[Zakończono wypełnianie]],Zakończone[],2,0),"BRAK")</f>
        <v>40</v>
      </c>
      <c r="C77">
        <f t="shared" si="2"/>
        <v>46</v>
      </c>
      <c r="D77" t="s">
        <v>739</v>
      </c>
      <c r="E77" t="s">
        <v>118</v>
      </c>
      <c r="J77" t="s">
        <v>119</v>
      </c>
      <c r="K77" t="s">
        <v>740</v>
      </c>
      <c r="L77" t="s">
        <v>741</v>
      </c>
      <c r="M77">
        <v>341</v>
      </c>
      <c r="N77">
        <v>0</v>
      </c>
      <c r="O77" t="s">
        <v>122</v>
      </c>
      <c r="P77" s="1" t="s">
        <v>123</v>
      </c>
      <c r="AF77" s="1" t="s">
        <v>124</v>
      </c>
      <c r="AG77" t="s">
        <v>223</v>
      </c>
      <c r="AH77">
        <v>2007</v>
      </c>
      <c r="AI77" t="s">
        <v>148</v>
      </c>
      <c r="AJ77" t="s">
        <v>743</v>
      </c>
      <c r="AK77" t="s">
        <v>236</v>
      </c>
      <c r="AL77" t="s">
        <v>129</v>
      </c>
      <c r="AM77" t="s">
        <v>128</v>
      </c>
      <c r="AN77" t="s">
        <v>162</v>
      </c>
      <c r="AO77" t="s">
        <v>150</v>
      </c>
      <c r="AP77" t="s">
        <v>237</v>
      </c>
      <c r="AQ77" t="s">
        <v>302</v>
      </c>
      <c r="AR77" t="s">
        <v>153</v>
      </c>
      <c r="AS77" t="s">
        <v>744</v>
      </c>
      <c r="AT77" t="s">
        <v>745</v>
      </c>
      <c r="AU77" t="s">
        <v>746</v>
      </c>
      <c r="AV77" t="s">
        <v>172</v>
      </c>
      <c r="AX77" s="1" t="s">
        <v>123</v>
      </c>
      <c r="CR77" s="1" t="s">
        <v>387</v>
      </c>
      <c r="CS77" t="s">
        <v>191</v>
      </c>
      <c r="CT77" t="s">
        <v>748</v>
      </c>
      <c r="CU77" t="s">
        <v>150</v>
      </c>
      <c r="CV77" t="s">
        <v>150</v>
      </c>
      <c r="CW77" t="s">
        <v>169</v>
      </c>
      <c r="CX77" t="s">
        <v>169</v>
      </c>
      <c r="CY77" t="s">
        <v>150</v>
      </c>
      <c r="CZ77" t="s">
        <v>150</v>
      </c>
      <c r="DA77" t="s">
        <v>749</v>
      </c>
      <c r="DB77" s="1" t="s">
        <v>123</v>
      </c>
      <c r="DL77" s="1" t="s">
        <v>123</v>
      </c>
      <c r="EO77" s="1" t="s">
        <v>123</v>
      </c>
      <c r="EP77" t="s">
        <v>178</v>
      </c>
      <c r="EQ77" t="s">
        <v>132</v>
      </c>
      <c r="FO77" s="1" t="s">
        <v>123</v>
      </c>
      <c r="FP77" t="s">
        <v>132</v>
      </c>
      <c r="FR77" t="s">
        <v>132</v>
      </c>
      <c r="GW77" t="s">
        <v>750</v>
      </c>
      <c r="GX77" t="s">
        <v>751</v>
      </c>
      <c r="GY77" t="s">
        <v>752</v>
      </c>
      <c r="GZ77" t="s">
        <v>186</v>
      </c>
      <c r="HA77">
        <v>1983</v>
      </c>
      <c r="HB77" t="s">
        <v>398</v>
      </c>
      <c r="HD77" t="s">
        <v>753</v>
      </c>
      <c r="HE77" t="s">
        <v>532</v>
      </c>
    </row>
    <row r="78" spans="1:214" x14ac:dyDescent="0.45">
      <c r="A78">
        <v>261</v>
      </c>
      <c r="B78">
        <f>_xlfn.IFNA(VLOOKUP(Analiza[[#This Row],[Zakończono wypełnianie]],Zakończone[],2,0),"BRAK")</f>
        <v>138</v>
      </c>
      <c r="C78">
        <f t="shared" si="2"/>
        <v>61</v>
      </c>
      <c r="D78" t="s">
        <v>2014</v>
      </c>
      <c r="E78" t="s">
        <v>118</v>
      </c>
      <c r="J78" t="s">
        <v>119</v>
      </c>
      <c r="K78" t="s">
        <v>2057</v>
      </c>
      <c r="L78" t="s">
        <v>2058</v>
      </c>
      <c r="M78">
        <v>616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>
        <v>1992</v>
      </c>
      <c r="AI78" t="s">
        <v>148</v>
      </c>
      <c r="AJ78" t="s">
        <v>2059</v>
      </c>
      <c r="AK78" t="s">
        <v>150</v>
      </c>
      <c r="AL78" t="s">
        <v>169</v>
      </c>
      <c r="AM78" t="s">
        <v>150</v>
      </c>
      <c r="AN78" t="s">
        <v>151</v>
      </c>
      <c r="AO78" t="s">
        <v>162</v>
      </c>
      <c r="AP78">
        <v>0</v>
      </c>
      <c r="AQ78" t="s">
        <v>131</v>
      </c>
      <c r="AR78" t="s">
        <v>302</v>
      </c>
      <c r="AS78" t="s">
        <v>2060</v>
      </c>
      <c r="AT78" t="s">
        <v>1229</v>
      </c>
      <c r="AU78" t="s">
        <v>1229</v>
      </c>
      <c r="AV78" t="s">
        <v>157</v>
      </c>
      <c r="AW78" t="s">
        <v>2032</v>
      </c>
      <c r="AX78" s="1" t="s">
        <v>159</v>
      </c>
      <c r="AY78">
        <v>1</v>
      </c>
      <c r="AZ78" t="s">
        <v>445</v>
      </c>
      <c r="BA78">
        <v>2019</v>
      </c>
      <c r="BB78" t="s">
        <v>148</v>
      </c>
      <c r="BC78" t="s">
        <v>461</v>
      </c>
      <c r="BD78" t="s">
        <v>169</v>
      </c>
      <c r="BE78" t="s">
        <v>169</v>
      </c>
      <c r="BF78" t="s">
        <v>169</v>
      </c>
      <c r="BG78" t="s">
        <v>169</v>
      </c>
      <c r="BH78" t="s">
        <v>132</v>
      </c>
      <c r="BI78" t="s">
        <v>2020</v>
      </c>
      <c r="BJ78" t="s">
        <v>2061</v>
      </c>
      <c r="BK78" t="s">
        <v>157</v>
      </c>
      <c r="BM78" t="s">
        <v>2062</v>
      </c>
      <c r="BN78" t="s">
        <v>173</v>
      </c>
      <c r="CR78" s="1" t="s">
        <v>123</v>
      </c>
      <c r="DB78" s="1" t="s">
        <v>123</v>
      </c>
      <c r="DL78" s="1" t="s">
        <v>123</v>
      </c>
      <c r="EO78" s="1" t="s">
        <v>123</v>
      </c>
      <c r="FO78" s="1" t="s">
        <v>2022</v>
      </c>
      <c r="FP78" t="s">
        <v>2023</v>
      </c>
      <c r="FQ78" t="s">
        <v>2063</v>
      </c>
      <c r="FR78">
        <v>1</v>
      </c>
      <c r="FS78" t="s">
        <v>191</v>
      </c>
      <c r="FT78" t="s">
        <v>150</v>
      </c>
      <c r="FU78" t="s">
        <v>150</v>
      </c>
      <c r="FV78" t="s">
        <v>169</v>
      </c>
      <c r="FW78" t="s">
        <v>169</v>
      </c>
      <c r="FX78" t="s">
        <v>132</v>
      </c>
      <c r="FY78" t="s">
        <v>132</v>
      </c>
      <c r="FZ78" t="s">
        <v>169</v>
      </c>
      <c r="GC78" t="s">
        <v>173</v>
      </c>
      <c r="GW78" t="s">
        <v>1229</v>
      </c>
      <c r="GX78" t="s">
        <v>1229</v>
      </c>
      <c r="GY78" t="s">
        <v>1229</v>
      </c>
      <c r="GZ78" t="s">
        <v>186</v>
      </c>
      <c r="HA78">
        <v>1968</v>
      </c>
      <c r="HB78" t="s">
        <v>220</v>
      </c>
      <c r="HD78" t="s">
        <v>2055</v>
      </c>
      <c r="HF78" t="s">
        <v>2064</v>
      </c>
    </row>
    <row r="79" spans="1:214" x14ac:dyDescent="0.45">
      <c r="A79">
        <v>1</v>
      </c>
      <c r="B79">
        <f>_xlfn.IFNA(VLOOKUP(Analiza[[#This Row],[Zakończono wypełnianie]],Zakończone[],2,0),"BRAK")</f>
        <v>1</v>
      </c>
      <c r="C79">
        <f t="shared" si="2"/>
        <v>34</v>
      </c>
      <c r="D79" t="s">
        <v>117</v>
      </c>
      <c r="E79" t="s">
        <v>118</v>
      </c>
      <c r="J79" t="s">
        <v>119</v>
      </c>
      <c r="K79" t="s">
        <v>120</v>
      </c>
      <c r="L79" t="s">
        <v>121</v>
      </c>
      <c r="M79">
        <v>65871</v>
      </c>
      <c r="N79">
        <v>0</v>
      </c>
      <c r="O79" t="s">
        <v>122</v>
      </c>
      <c r="P79" s="1" t="s">
        <v>123</v>
      </c>
      <c r="AF79" s="1" t="s">
        <v>124</v>
      </c>
      <c r="AG79" t="s">
        <v>125</v>
      </c>
      <c r="AI79" t="s">
        <v>126</v>
      </c>
      <c r="AJ79" t="s">
        <v>127</v>
      </c>
      <c r="AK79" t="s">
        <v>128</v>
      </c>
      <c r="AL79" t="s">
        <v>128</v>
      </c>
      <c r="AM79" t="s">
        <v>129</v>
      </c>
      <c r="AN79" t="s">
        <v>129</v>
      </c>
      <c r="AO79" t="s">
        <v>129</v>
      </c>
      <c r="AP79" t="s">
        <v>130</v>
      </c>
      <c r="AQ79" t="s">
        <v>131</v>
      </c>
      <c r="AR79" t="s">
        <v>132</v>
      </c>
      <c r="AS79" t="s">
        <v>133</v>
      </c>
      <c r="AT79" t="s">
        <v>134</v>
      </c>
      <c r="AU79" t="s">
        <v>135</v>
      </c>
      <c r="AW79" t="s">
        <v>136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FP79" t="s">
        <v>132</v>
      </c>
      <c r="GW79" t="s">
        <v>137</v>
      </c>
      <c r="GX79" t="s">
        <v>138</v>
      </c>
      <c r="GY79" t="s">
        <v>139</v>
      </c>
      <c r="GZ79" t="s">
        <v>140</v>
      </c>
      <c r="HA79">
        <v>1987</v>
      </c>
      <c r="HB79" t="s">
        <v>141</v>
      </c>
      <c r="HD79" t="s">
        <v>142</v>
      </c>
      <c r="HE79" t="s">
        <v>142</v>
      </c>
      <c r="HF79" t="s">
        <v>143</v>
      </c>
    </row>
    <row r="80" spans="1:214" x14ac:dyDescent="0.45">
      <c r="A80">
        <v>211</v>
      </c>
      <c r="B80">
        <f>_xlfn.IFNA(VLOOKUP(Analiza[[#This Row],[Zakończono wypełnianie]],Zakończone[],2,0),"BRAK")</f>
        <v>115</v>
      </c>
      <c r="C80">
        <f t="shared" si="2"/>
        <v>35</v>
      </c>
      <c r="D80" t="s">
        <v>1572</v>
      </c>
      <c r="E80" t="s">
        <v>118</v>
      </c>
      <c r="J80" t="s">
        <v>119</v>
      </c>
      <c r="K80" t="s">
        <v>1738</v>
      </c>
      <c r="L80" t="s">
        <v>1739</v>
      </c>
      <c r="M80">
        <v>1112</v>
      </c>
      <c r="N80">
        <v>0</v>
      </c>
      <c r="O80" t="s">
        <v>122</v>
      </c>
      <c r="P80" s="1" t="s">
        <v>123</v>
      </c>
      <c r="AF80" s="1" t="s">
        <v>124</v>
      </c>
      <c r="AG80" t="s">
        <v>125</v>
      </c>
      <c r="AH80">
        <v>2001</v>
      </c>
      <c r="AI80" t="s">
        <v>126</v>
      </c>
      <c r="AJ80" t="s">
        <v>1339</v>
      </c>
      <c r="AK80" t="s">
        <v>150</v>
      </c>
      <c r="AL80" t="s">
        <v>150</v>
      </c>
      <c r="AM80" t="s">
        <v>150</v>
      </c>
      <c r="AN80" t="s">
        <v>162</v>
      </c>
      <c r="AO80" t="s">
        <v>162</v>
      </c>
      <c r="AP80" t="s">
        <v>1740</v>
      </c>
      <c r="AQ80" t="s">
        <v>131</v>
      </c>
      <c r="AR80" t="s">
        <v>302</v>
      </c>
      <c r="AS80" t="s">
        <v>1741</v>
      </c>
      <c r="AT80" t="s">
        <v>1742</v>
      </c>
      <c r="AU80" t="s">
        <v>1743</v>
      </c>
      <c r="AV80" t="s">
        <v>157</v>
      </c>
      <c r="AW80" t="s">
        <v>1744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FO80" s="1" t="s">
        <v>123</v>
      </c>
      <c r="GW80" t="s">
        <v>1745</v>
      </c>
      <c r="GX80" t="s">
        <v>1746</v>
      </c>
      <c r="GY80" t="s">
        <v>1747</v>
      </c>
      <c r="GZ80" t="s">
        <v>186</v>
      </c>
      <c r="HA80">
        <v>1976</v>
      </c>
      <c r="HB80" t="s">
        <v>141</v>
      </c>
      <c r="HD80" t="s">
        <v>1748</v>
      </c>
      <c r="HE80" t="s">
        <v>1749</v>
      </c>
      <c r="HF80" t="s">
        <v>1750</v>
      </c>
    </row>
    <row r="81" spans="1:213" x14ac:dyDescent="0.45">
      <c r="A81">
        <v>233</v>
      </c>
      <c r="B81">
        <f>_xlfn.IFNA(VLOOKUP(Analiza[[#This Row],[Zakończono wypełnianie]],Zakończone[],2,0),"BRAK")</f>
        <v>125</v>
      </c>
      <c r="C81">
        <f t="shared" si="2"/>
        <v>44</v>
      </c>
      <c r="D81" t="s">
        <v>1880</v>
      </c>
      <c r="E81" t="s">
        <v>118</v>
      </c>
      <c r="F81" t="s">
        <v>359</v>
      </c>
      <c r="J81" t="s">
        <v>119</v>
      </c>
      <c r="K81" t="s">
        <v>1881</v>
      </c>
      <c r="L81" t="s">
        <v>1882</v>
      </c>
      <c r="M81">
        <v>627</v>
      </c>
      <c r="N81">
        <v>0</v>
      </c>
      <c r="O81" t="s">
        <v>122</v>
      </c>
      <c r="P81" s="1" t="s">
        <v>123</v>
      </c>
      <c r="AF81" s="1" t="s">
        <v>124</v>
      </c>
      <c r="AG81" t="s">
        <v>125</v>
      </c>
      <c r="AH81">
        <v>2011</v>
      </c>
      <c r="AI81" t="s">
        <v>126</v>
      </c>
      <c r="AJ81" t="s">
        <v>1883</v>
      </c>
      <c r="AK81" t="s">
        <v>169</v>
      </c>
      <c r="AL81" t="s">
        <v>169</v>
      </c>
      <c r="AM81" t="s">
        <v>169</v>
      </c>
      <c r="AN81" t="s">
        <v>151</v>
      </c>
      <c r="AO81" t="s">
        <v>150</v>
      </c>
      <c r="AP81" t="s">
        <v>1884</v>
      </c>
      <c r="AQ81" t="s">
        <v>131</v>
      </c>
      <c r="AR81" t="s">
        <v>153</v>
      </c>
      <c r="AS81" t="s">
        <v>1885</v>
      </c>
      <c r="AT81" t="s">
        <v>1886</v>
      </c>
      <c r="AU81" t="s">
        <v>1887</v>
      </c>
      <c r="AV81" t="s">
        <v>157</v>
      </c>
      <c r="AW81" t="s">
        <v>1888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177</v>
      </c>
      <c r="EP81" t="s">
        <v>180</v>
      </c>
      <c r="EQ81" t="s">
        <v>132</v>
      </c>
      <c r="ER81" t="s">
        <v>1889</v>
      </c>
      <c r="ES81" t="s">
        <v>132</v>
      </c>
      <c r="ET81" t="s">
        <v>132</v>
      </c>
      <c r="EU81" t="s">
        <v>132</v>
      </c>
      <c r="EV81" t="s">
        <v>180</v>
      </c>
      <c r="EW81" t="s">
        <v>1889</v>
      </c>
      <c r="EX81" t="s">
        <v>1889</v>
      </c>
      <c r="EY81" t="s">
        <v>173</v>
      </c>
      <c r="FO81" s="1" t="s">
        <v>123</v>
      </c>
      <c r="GW81" t="s">
        <v>1889</v>
      </c>
      <c r="GX81" t="s">
        <v>1889</v>
      </c>
      <c r="GY81" t="s">
        <v>1889</v>
      </c>
      <c r="GZ81" t="s">
        <v>140</v>
      </c>
      <c r="HA81">
        <v>1987</v>
      </c>
      <c r="HB81" t="s">
        <v>220</v>
      </c>
      <c r="HD81" t="s">
        <v>1889</v>
      </c>
      <c r="HE81" t="s">
        <v>1889</v>
      </c>
    </row>
    <row r="82" spans="1:213" x14ac:dyDescent="0.45">
      <c r="A82">
        <v>13</v>
      </c>
      <c r="B82">
        <f>_xlfn.IFNA(VLOOKUP(Analiza[[#This Row],[Zakończono wypełnianie]],Zakończone[],2,0),"BRAK")</f>
        <v>12</v>
      </c>
      <c r="C82">
        <f t="shared" si="2"/>
        <v>35</v>
      </c>
      <c r="D82" t="s">
        <v>326</v>
      </c>
      <c r="E82" t="s">
        <v>118</v>
      </c>
      <c r="J82" t="s">
        <v>119</v>
      </c>
      <c r="K82" t="s">
        <v>327</v>
      </c>
      <c r="L82" t="s">
        <v>328</v>
      </c>
      <c r="M82">
        <v>1387173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2011</v>
      </c>
      <c r="AI82" t="s">
        <v>126</v>
      </c>
      <c r="AJ82" t="s">
        <v>330</v>
      </c>
      <c r="AK82" t="s">
        <v>169</v>
      </c>
      <c r="AL82" t="s">
        <v>169</v>
      </c>
      <c r="AM82" t="s">
        <v>150</v>
      </c>
      <c r="AN82" t="s">
        <v>162</v>
      </c>
      <c r="AO82" t="s">
        <v>169</v>
      </c>
      <c r="AP82" t="s">
        <v>331</v>
      </c>
      <c r="AQ82" t="s">
        <v>302</v>
      </c>
      <c r="AR82" t="s">
        <v>226</v>
      </c>
      <c r="AS82" t="s">
        <v>332</v>
      </c>
      <c r="AT82" t="s">
        <v>333</v>
      </c>
      <c r="AU82" t="s">
        <v>334</v>
      </c>
      <c r="AV82" t="s">
        <v>157</v>
      </c>
      <c r="AW82" t="s">
        <v>335</v>
      </c>
      <c r="AX82" s="1" t="s">
        <v>123</v>
      </c>
      <c r="CR82" s="1" t="s">
        <v>123</v>
      </c>
      <c r="DB82" s="1" t="s">
        <v>123</v>
      </c>
      <c r="DL82" s="1" t="s">
        <v>123</v>
      </c>
      <c r="EO82" s="1" t="s">
        <v>123</v>
      </c>
      <c r="FO82" s="1" t="s">
        <v>123</v>
      </c>
      <c r="FP82" t="s">
        <v>132</v>
      </c>
      <c r="GW82" t="s">
        <v>336</v>
      </c>
      <c r="GX82" t="s">
        <v>337</v>
      </c>
      <c r="GY82" t="s">
        <v>338</v>
      </c>
      <c r="GZ82" t="s">
        <v>186</v>
      </c>
      <c r="HA82">
        <v>1987</v>
      </c>
      <c r="HB82" t="s">
        <v>246</v>
      </c>
      <c r="HD82" t="s">
        <v>339</v>
      </c>
      <c r="HE82" t="s">
        <v>340</v>
      </c>
    </row>
    <row r="83" spans="1:213" x14ac:dyDescent="0.45">
      <c r="A83">
        <v>91</v>
      </c>
      <c r="B83">
        <f>_xlfn.IFNA(VLOOKUP(Analiza[[#This Row],[Zakończono wypełnianie]],Zakończone[],2,0),"BRAK")</f>
        <v>55</v>
      </c>
      <c r="C83">
        <f t="shared" si="2"/>
        <v>77</v>
      </c>
      <c r="D83" t="s">
        <v>915</v>
      </c>
      <c r="E83" t="s">
        <v>118</v>
      </c>
      <c r="J83" t="s">
        <v>119</v>
      </c>
      <c r="K83" t="s">
        <v>916</v>
      </c>
      <c r="L83" t="s">
        <v>917</v>
      </c>
      <c r="M83">
        <v>76609</v>
      </c>
      <c r="N83">
        <v>0</v>
      </c>
      <c r="O83" t="s">
        <v>122</v>
      </c>
      <c r="P83" s="1" t="s">
        <v>123</v>
      </c>
      <c r="AF83" s="1" t="s">
        <v>124</v>
      </c>
      <c r="AG83" t="s">
        <v>223</v>
      </c>
      <c r="AH83">
        <v>1980</v>
      </c>
      <c r="AI83" t="s">
        <v>148</v>
      </c>
      <c r="AJ83" t="s">
        <v>919</v>
      </c>
      <c r="AK83" t="s">
        <v>169</v>
      </c>
      <c r="AL83" t="s">
        <v>169</v>
      </c>
      <c r="AM83" t="s">
        <v>150</v>
      </c>
      <c r="AN83" t="s">
        <v>128</v>
      </c>
      <c r="AO83" t="s">
        <v>128</v>
      </c>
      <c r="AP83" t="s">
        <v>920</v>
      </c>
      <c r="AQ83" t="s">
        <v>302</v>
      </c>
      <c r="AR83" t="s">
        <v>302</v>
      </c>
      <c r="AS83" t="s">
        <v>921</v>
      </c>
      <c r="AT83" t="s">
        <v>922</v>
      </c>
      <c r="AU83" t="s">
        <v>923</v>
      </c>
      <c r="AV83" t="s">
        <v>157</v>
      </c>
      <c r="AX83" s="1" t="s">
        <v>159</v>
      </c>
      <c r="AY83">
        <v>2</v>
      </c>
      <c r="AZ83" t="s">
        <v>223</v>
      </c>
      <c r="BA83">
        <v>2009</v>
      </c>
      <c r="BB83" t="s">
        <v>148</v>
      </c>
      <c r="BC83" t="s">
        <v>743</v>
      </c>
      <c r="BD83" t="s">
        <v>169</v>
      </c>
      <c r="BE83" t="s">
        <v>169</v>
      </c>
      <c r="BF83" t="s">
        <v>169</v>
      </c>
      <c r="BG83" t="s">
        <v>128</v>
      </c>
      <c r="BH83" t="s">
        <v>128</v>
      </c>
      <c r="BI83" t="s">
        <v>925</v>
      </c>
      <c r="BJ83" t="s">
        <v>926</v>
      </c>
      <c r="BK83" t="s">
        <v>157</v>
      </c>
      <c r="BM83" t="s">
        <v>927</v>
      </c>
      <c r="BN83" t="s">
        <v>173</v>
      </c>
      <c r="CR83" s="1" t="s">
        <v>387</v>
      </c>
      <c r="CS83" t="s">
        <v>223</v>
      </c>
      <c r="CT83" t="s">
        <v>928</v>
      </c>
      <c r="CU83" t="s">
        <v>169</v>
      </c>
      <c r="CV83" t="s">
        <v>162</v>
      </c>
      <c r="CW83" t="s">
        <v>128</v>
      </c>
      <c r="CX83" t="s">
        <v>169</v>
      </c>
      <c r="CY83" t="s">
        <v>169</v>
      </c>
      <c r="CZ83" t="s">
        <v>169</v>
      </c>
      <c r="DA83" t="s">
        <v>929</v>
      </c>
      <c r="DB83" s="1" t="s">
        <v>214</v>
      </c>
      <c r="DC83" t="s">
        <v>223</v>
      </c>
      <c r="DD83" t="s">
        <v>928</v>
      </c>
      <c r="DE83" t="s">
        <v>169</v>
      </c>
      <c r="DF83" t="s">
        <v>162</v>
      </c>
      <c r="DG83" t="s">
        <v>128</v>
      </c>
      <c r="DH83" t="s">
        <v>169</v>
      </c>
      <c r="DI83" t="s">
        <v>169</v>
      </c>
      <c r="DJ83" t="s">
        <v>150</v>
      </c>
      <c r="DK83" t="s">
        <v>930</v>
      </c>
      <c r="DL83" s="1" t="s">
        <v>123</v>
      </c>
      <c r="EO83" s="1" t="s">
        <v>177</v>
      </c>
      <c r="EP83" t="s">
        <v>180</v>
      </c>
      <c r="EQ83">
        <v>1</v>
      </c>
      <c r="ER83" t="s">
        <v>223</v>
      </c>
      <c r="ES83" t="s">
        <v>169</v>
      </c>
      <c r="ET83" t="s">
        <v>169</v>
      </c>
      <c r="EU83" t="s">
        <v>236</v>
      </c>
      <c r="EV83" t="s">
        <v>180</v>
      </c>
      <c r="EW83" t="s">
        <v>931</v>
      </c>
      <c r="EX83" t="s">
        <v>932</v>
      </c>
      <c r="EY83" t="s">
        <v>173</v>
      </c>
      <c r="FO83" s="1" t="s">
        <v>123</v>
      </c>
      <c r="FP83" t="s">
        <v>132</v>
      </c>
      <c r="FR83" t="s">
        <v>132</v>
      </c>
      <c r="GW83" t="s">
        <v>933</v>
      </c>
      <c r="GX83" t="s">
        <v>934</v>
      </c>
      <c r="GY83" t="s">
        <v>935</v>
      </c>
      <c r="GZ83" t="s">
        <v>140</v>
      </c>
      <c r="HA83">
        <v>1957</v>
      </c>
      <c r="HB83" t="s">
        <v>141</v>
      </c>
      <c r="HD83" t="s">
        <v>936</v>
      </c>
    </row>
    <row r="84" spans="1:213" x14ac:dyDescent="0.45">
      <c r="A84">
        <v>95</v>
      </c>
      <c r="B84">
        <f>_xlfn.IFNA(VLOOKUP(Analiza[[#This Row],[Zakończono wypełnianie]],Zakończone[],2,0),"BRAK")</f>
        <v>58</v>
      </c>
      <c r="C84">
        <f t="shared" si="2"/>
        <v>19</v>
      </c>
      <c r="D84" t="s">
        <v>955</v>
      </c>
      <c r="E84" t="s">
        <v>118</v>
      </c>
      <c r="F84" t="s">
        <v>774</v>
      </c>
      <c r="J84" t="s">
        <v>119</v>
      </c>
      <c r="K84" t="s">
        <v>963</v>
      </c>
      <c r="L84" t="s">
        <v>964</v>
      </c>
      <c r="M84">
        <v>456</v>
      </c>
      <c r="N84">
        <v>0</v>
      </c>
      <c r="O84" t="s">
        <v>122</v>
      </c>
      <c r="P84" s="1" t="s">
        <v>123</v>
      </c>
      <c r="AF84" s="1" t="s">
        <v>123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123</v>
      </c>
      <c r="EP84" t="s">
        <v>178</v>
      </c>
      <c r="FO84" s="1" t="s">
        <v>123</v>
      </c>
      <c r="FP84" t="s">
        <v>132</v>
      </c>
      <c r="GW84" t="s">
        <v>818</v>
      </c>
      <c r="GX84" t="s">
        <v>824</v>
      </c>
      <c r="GY84" t="s">
        <v>788</v>
      </c>
      <c r="GZ84" t="s">
        <v>186</v>
      </c>
      <c r="HA84">
        <v>1992</v>
      </c>
      <c r="HB84" t="s">
        <v>141</v>
      </c>
      <c r="HD84" t="s">
        <v>965</v>
      </c>
      <c r="HE84" t="s">
        <v>966</v>
      </c>
    </row>
    <row r="85" spans="1:213" x14ac:dyDescent="0.45">
      <c r="A85">
        <v>110</v>
      </c>
      <c r="B85">
        <f>_xlfn.IFNA(VLOOKUP(Analiza[[#This Row],[Zakończono wypełnianie]],Zakończone[],2,0),"BRAK")</f>
        <v>65</v>
      </c>
      <c r="C85">
        <f t="shared" si="2"/>
        <v>35</v>
      </c>
      <c r="D85" t="s">
        <v>1033</v>
      </c>
      <c r="E85" t="s">
        <v>118</v>
      </c>
      <c r="F85" t="s">
        <v>1034</v>
      </c>
      <c r="J85" t="s">
        <v>119</v>
      </c>
      <c r="K85" t="s">
        <v>1035</v>
      </c>
      <c r="L85" t="s">
        <v>1036</v>
      </c>
      <c r="M85">
        <v>1167</v>
      </c>
      <c r="N85">
        <v>0</v>
      </c>
      <c r="O85" t="s">
        <v>122</v>
      </c>
      <c r="P85" s="1" t="s">
        <v>123</v>
      </c>
      <c r="AF85" s="1" t="s">
        <v>124</v>
      </c>
      <c r="AG85" t="s">
        <v>1037</v>
      </c>
      <c r="AH85" t="s">
        <v>1038</v>
      </c>
      <c r="AI85" t="s">
        <v>126</v>
      </c>
      <c r="AJ85" t="s">
        <v>1039</v>
      </c>
      <c r="AK85" t="s">
        <v>128</v>
      </c>
      <c r="AL85" t="s">
        <v>151</v>
      </c>
      <c r="AM85" t="s">
        <v>236</v>
      </c>
      <c r="AN85" t="s">
        <v>129</v>
      </c>
      <c r="AO85" t="s">
        <v>129</v>
      </c>
      <c r="AP85">
        <v>5</v>
      </c>
      <c r="AQ85" t="s">
        <v>302</v>
      </c>
      <c r="AR85" t="s">
        <v>302</v>
      </c>
      <c r="AT85" t="s">
        <v>1040</v>
      </c>
      <c r="AU85" t="s">
        <v>1041</v>
      </c>
      <c r="AV85" t="s">
        <v>892</v>
      </c>
      <c r="AW85" t="s">
        <v>1042</v>
      </c>
      <c r="AX85" s="1" t="s">
        <v>123</v>
      </c>
      <c r="CR85" s="1" t="s">
        <v>123</v>
      </c>
      <c r="DB85" s="1" t="s">
        <v>123</v>
      </c>
      <c r="DL85" s="1" t="s">
        <v>123</v>
      </c>
      <c r="EO85" s="1" t="s">
        <v>123</v>
      </c>
      <c r="EP85" t="s">
        <v>180</v>
      </c>
      <c r="EQ85" t="s">
        <v>132</v>
      </c>
      <c r="FO85" s="1" t="s">
        <v>123</v>
      </c>
      <c r="FP85" t="s">
        <v>132</v>
      </c>
      <c r="FR85" t="s">
        <v>132</v>
      </c>
      <c r="GW85" t="s">
        <v>1043</v>
      </c>
      <c r="GX85" t="s">
        <v>1044</v>
      </c>
      <c r="GY85" t="s">
        <v>1045</v>
      </c>
      <c r="GZ85" t="s">
        <v>186</v>
      </c>
      <c r="HA85">
        <v>1982</v>
      </c>
      <c r="HB85" t="s">
        <v>246</v>
      </c>
    </row>
    <row r="86" spans="1:213" x14ac:dyDescent="0.45">
      <c r="A86">
        <v>159</v>
      </c>
      <c r="B86">
        <f>_xlfn.IFNA(VLOOKUP(Analiza[[#This Row],[Zakończono wypełnianie]],Zakończone[],2,0),"BRAK")</f>
        <v>92</v>
      </c>
      <c r="C86">
        <f t="shared" si="2"/>
        <v>33</v>
      </c>
      <c r="D86" t="s">
        <v>1412</v>
      </c>
      <c r="E86" t="s">
        <v>118</v>
      </c>
      <c r="J86" t="s">
        <v>119</v>
      </c>
      <c r="K86" t="s">
        <v>1413</v>
      </c>
      <c r="L86" t="s">
        <v>1414</v>
      </c>
      <c r="M86">
        <v>1007</v>
      </c>
      <c r="N86">
        <v>0</v>
      </c>
      <c r="O86" t="s">
        <v>122</v>
      </c>
      <c r="P86" s="1" t="s">
        <v>123</v>
      </c>
      <c r="AF86" s="1" t="s">
        <v>124</v>
      </c>
      <c r="AG86" t="s">
        <v>1415</v>
      </c>
      <c r="AH86">
        <v>2006</v>
      </c>
      <c r="AI86" t="s">
        <v>148</v>
      </c>
      <c r="AJ86" t="s">
        <v>263</v>
      </c>
      <c r="AK86" t="s">
        <v>169</v>
      </c>
      <c r="AL86" t="s">
        <v>169</v>
      </c>
      <c r="AM86" t="s">
        <v>169</v>
      </c>
      <c r="AN86" t="s">
        <v>150</v>
      </c>
      <c r="AO86" t="s">
        <v>169</v>
      </c>
      <c r="AP86" t="s">
        <v>1416</v>
      </c>
      <c r="AQ86" t="s">
        <v>131</v>
      </c>
      <c r="AR86" t="s">
        <v>153</v>
      </c>
      <c r="AS86" t="s">
        <v>1417</v>
      </c>
      <c r="AT86" t="s">
        <v>1418</v>
      </c>
      <c r="AU86" t="s">
        <v>1419</v>
      </c>
      <c r="AW86" t="s">
        <v>1420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1421</v>
      </c>
      <c r="GX86" t="s">
        <v>1422</v>
      </c>
      <c r="GY86" t="s">
        <v>142</v>
      </c>
      <c r="GZ86" t="s">
        <v>140</v>
      </c>
      <c r="HA86">
        <v>1983</v>
      </c>
      <c r="HB86" t="s">
        <v>141</v>
      </c>
      <c r="HD86" t="s">
        <v>1423</v>
      </c>
      <c r="HE86" t="s">
        <v>132</v>
      </c>
    </row>
    <row r="87" spans="1:213" x14ac:dyDescent="0.45">
      <c r="A87">
        <v>162</v>
      </c>
      <c r="B87">
        <f>_xlfn.IFNA(VLOOKUP(Analiza[[#This Row],[Zakończono wypełnianie]],Zakończone[],2,0),"BRAK")</f>
        <v>93</v>
      </c>
      <c r="C87">
        <f t="shared" si="2"/>
        <v>31</v>
      </c>
      <c r="D87" t="s">
        <v>1352</v>
      </c>
      <c r="E87" t="s">
        <v>118</v>
      </c>
      <c r="J87" t="s">
        <v>119</v>
      </c>
      <c r="K87" t="s">
        <v>1426</v>
      </c>
      <c r="L87" t="s">
        <v>1427</v>
      </c>
      <c r="M87">
        <v>490</v>
      </c>
      <c r="N87">
        <v>0</v>
      </c>
      <c r="O87" t="s">
        <v>122</v>
      </c>
      <c r="P87" s="1" t="s">
        <v>123</v>
      </c>
      <c r="AF87" s="1" t="s">
        <v>124</v>
      </c>
      <c r="AG87" t="s">
        <v>1415</v>
      </c>
      <c r="AH87">
        <v>2006</v>
      </c>
      <c r="AI87" t="s">
        <v>126</v>
      </c>
      <c r="AJ87" t="s">
        <v>192</v>
      </c>
      <c r="AK87" t="s">
        <v>150</v>
      </c>
      <c r="AL87" t="s">
        <v>150</v>
      </c>
      <c r="AM87" t="s">
        <v>169</v>
      </c>
      <c r="AN87" t="s">
        <v>150</v>
      </c>
      <c r="AO87" t="s">
        <v>150</v>
      </c>
      <c r="AP87" t="s">
        <v>237</v>
      </c>
      <c r="AQ87" t="s">
        <v>226</v>
      </c>
      <c r="AR87" t="s">
        <v>1428</v>
      </c>
      <c r="AS87" t="s">
        <v>1429</v>
      </c>
      <c r="AT87" t="s">
        <v>1430</v>
      </c>
      <c r="AU87" t="s">
        <v>1431</v>
      </c>
      <c r="AV87" t="s">
        <v>157</v>
      </c>
      <c r="AX87" s="1" t="s">
        <v>123</v>
      </c>
      <c r="CR87" s="1" t="s">
        <v>123</v>
      </c>
      <c r="DB87" s="1" t="s">
        <v>123</v>
      </c>
      <c r="DL87" s="1" t="s">
        <v>123</v>
      </c>
      <c r="EO87" s="1" t="s">
        <v>123</v>
      </c>
      <c r="FO87" s="1" t="s">
        <v>123</v>
      </c>
      <c r="GW87" t="s">
        <v>1432</v>
      </c>
      <c r="GX87" t="s">
        <v>1433</v>
      </c>
      <c r="GY87" t="s">
        <v>1434</v>
      </c>
      <c r="GZ87" t="s">
        <v>186</v>
      </c>
      <c r="HA87">
        <v>1982</v>
      </c>
      <c r="HB87" t="s">
        <v>141</v>
      </c>
    </row>
    <row r="88" spans="1:213" x14ac:dyDescent="0.45">
      <c r="A88">
        <v>115</v>
      </c>
      <c r="B88">
        <f>_xlfn.IFNA(VLOOKUP(Analiza[[#This Row],[Zakończono wypełnianie]],Zakończone[],2,0),"BRAK")</f>
        <v>69</v>
      </c>
      <c r="C88">
        <f t="shared" si="2"/>
        <v>32</v>
      </c>
      <c r="D88" t="s">
        <v>1087</v>
      </c>
      <c r="E88" t="s">
        <v>118</v>
      </c>
      <c r="J88" t="s">
        <v>119</v>
      </c>
      <c r="K88" t="s">
        <v>1088</v>
      </c>
      <c r="L88" t="s">
        <v>1089</v>
      </c>
      <c r="M88">
        <v>1206</v>
      </c>
      <c r="N88">
        <v>0</v>
      </c>
      <c r="O88" t="s">
        <v>122</v>
      </c>
      <c r="P88" s="1" t="s">
        <v>123</v>
      </c>
      <c r="AF88" s="1" t="s">
        <v>124</v>
      </c>
      <c r="AG88" t="s">
        <v>1090</v>
      </c>
      <c r="AH88">
        <v>2004</v>
      </c>
      <c r="AI88" t="s">
        <v>126</v>
      </c>
      <c r="AJ88" t="s">
        <v>844</v>
      </c>
      <c r="AK88" t="s">
        <v>162</v>
      </c>
      <c r="AL88" t="s">
        <v>162</v>
      </c>
      <c r="AM88" t="s">
        <v>150</v>
      </c>
      <c r="AN88" t="s">
        <v>151</v>
      </c>
      <c r="AO88" t="s">
        <v>150</v>
      </c>
      <c r="AP88" t="s">
        <v>237</v>
      </c>
      <c r="AQ88" t="s">
        <v>302</v>
      </c>
      <c r="AR88" t="s">
        <v>226</v>
      </c>
      <c r="AS88" t="s">
        <v>1091</v>
      </c>
      <c r="AT88" t="s">
        <v>1092</v>
      </c>
      <c r="AU88" t="s">
        <v>1093</v>
      </c>
      <c r="AV88" t="s">
        <v>157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FO88" s="1" t="s">
        <v>123</v>
      </c>
      <c r="FP88" t="s">
        <v>132</v>
      </c>
      <c r="GW88" t="s">
        <v>1094</v>
      </c>
      <c r="GX88" t="s">
        <v>1095</v>
      </c>
      <c r="GY88" t="s">
        <v>1096</v>
      </c>
      <c r="GZ88" t="s">
        <v>140</v>
      </c>
      <c r="HA88">
        <v>1976</v>
      </c>
      <c r="HB88" t="s">
        <v>141</v>
      </c>
    </row>
    <row r="89" spans="1:213" x14ac:dyDescent="0.45">
      <c r="A89">
        <v>117</v>
      </c>
      <c r="B89">
        <f>_xlfn.IFNA(VLOOKUP(Analiza[[#This Row],[Zakończono wypełnianie]],Zakończone[],2,0),"BRAK")</f>
        <v>70</v>
      </c>
      <c r="C89">
        <f t="shared" si="2"/>
        <v>30</v>
      </c>
      <c r="D89" t="s">
        <v>1098</v>
      </c>
      <c r="E89" t="s">
        <v>118</v>
      </c>
      <c r="J89" t="s">
        <v>119</v>
      </c>
      <c r="K89" t="s">
        <v>1099</v>
      </c>
      <c r="L89" t="s">
        <v>1100</v>
      </c>
      <c r="M89">
        <v>358</v>
      </c>
      <c r="N89">
        <v>0</v>
      </c>
      <c r="O89" t="s">
        <v>122</v>
      </c>
      <c r="P89" s="1" t="s">
        <v>123</v>
      </c>
      <c r="AF89" s="1" t="s">
        <v>124</v>
      </c>
      <c r="AG89" t="s">
        <v>1090</v>
      </c>
      <c r="AH89">
        <v>2018</v>
      </c>
      <c r="AI89" t="s">
        <v>126</v>
      </c>
      <c r="AJ89" t="s">
        <v>844</v>
      </c>
      <c r="AK89" t="s">
        <v>150</v>
      </c>
      <c r="AL89" t="s">
        <v>151</v>
      </c>
      <c r="AM89" t="s">
        <v>162</v>
      </c>
      <c r="AN89" t="s">
        <v>150</v>
      </c>
      <c r="AO89" t="s">
        <v>132</v>
      </c>
      <c r="AP89">
        <v>1</v>
      </c>
      <c r="AQ89" t="s">
        <v>153</v>
      </c>
      <c r="AR89" t="s">
        <v>132</v>
      </c>
      <c r="AT89" t="s">
        <v>1101</v>
      </c>
      <c r="AU89" t="s">
        <v>1102</v>
      </c>
      <c r="AV89" t="s">
        <v>157</v>
      </c>
      <c r="AX89" s="1" t="s">
        <v>123</v>
      </c>
      <c r="CR89" s="1" t="s">
        <v>123</v>
      </c>
      <c r="DB89" s="1" t="s">
        <v>123</v>
      </c>
      <c r="DL89" s="1" t="s">
        <v>123</v>
      </c>
      <c r="EO89" s="1" t="s">
        <v>123</v>
      </c>
      <c r="FO89" s="1" t="s">
        <v>123</v>
      </c>
      <c r="GW89" t="s">
        <v>1103</v>
      </c>
      <c r="GX89" t="s">
        <v>1104</v>
      </c>
      <c r="GY89" t="s">
        <v>1105</v>
      </c>
      <c r="GZ89" t="s">
        <v>140</v>
      </c>
      <c r="HA89">
        <v>1991</v>
      </c>
      <c r="HB89" t="s">
        <v>141</v>
      </c>
    </row>
    <row r="90" spans="1:213" x14ac:dyDescent="0.45">
      <c r="A90">
        <v>119</v>
      </c>
      <c r="B90" t="str">
        <f>_xlfn.IFNA(VLOOKUP(Analiza[[#This Row],[Zakończono wypełnianie]],Zakończone[],2,0),"BRAK")</f>
        <v>BRAK</v>
      </c>
      <c r="C90">
        <f t="shared" si="2"/>
        <v>16</v>
      </c>
      <c r="D90" t="s">
        <v>1098</v>
      </c>
      <c r="E90" t="s">
        <v>118</v>
      </c>
      <c r="J90" t="s">
        <v>286</v>
      </c>
      <c r="K90" t="s">
        <v>1111</v>
      </c>
      <c r="L90" t="s">
        <v>1111</v>
      </c>
      <c r="M90">
        <v>0</v>
      </c>
      <c r="N90">
        <v>0</v>
      </c>
      <c r="O90" t="s">
        <v>122</v>
      </c>
      <c r="P90" s="1" t="s">
        <v>123</v>
      </c>
      <c r="AF90" s="1" t="s">
        <v>124</v>
      </c>
      <c r="AG90" t="s">
        <v>1090</v>
      </c>
      <c r="AH90">
        <v>2001</v>
      </c>
      <c r="AI90" t="s">
        <v>126</v>
      </c>
      <c r="AJ90" t="s">
        <v>844</v>
      </c>
      <c r="AK90" t="s">
        <v>162</v>
      </c>
      <c r="AL90" t="s">
        <v>162</v>
      </c>
      <c r="AM90" t="s">
        <v>151</v>
      </c>
      <c r="AN90" t="s">
        <v>162</v>
      </c>
      <c r="AO90" t="s">
        <v>151</v>
      </c>
      <c r="AP90">
        <v>1</v>
      </c>
      <c r="AQ90" t="s">
        <v>302</v>
      </c>
      <c r="AR90" t="s">
        <v>153</v>
      </c>
      <c r="AV90" t="s">
        <v>172</v>
      </c>
      <c r="AX90" s="1"/>
      <c r="CR90" s="1"/>
      <c r="DB90" s="1"/>
      <c r="DL90" s="1"/>
      <c r="EO90" s="1"/>
      <c r="FO90" s="1"/>
    </row>
    <row r="91" spans="1:213" x14ac:dyDescent="0.45">
      <c r="A91">
        <v>2</v>
      </c>
      <c r="B91">
        <f>_xlfn.IFNA(VLOOKUP(Analiza[[#This Row],[Zakończono wypełnianie]],Zakończone[],2,0),"BRAK")</f>
        <v>2</v>
      </c>
      <c r="C91">
        <f t="shared" si="2"/>
        <v>95</v>
      </c>
      <c r="D91" t="s">
        <v>144</v>
      </c>
      <c r="E91" t="s">
        <v>118</v>
      </c>
      <c r="J91" t="s">
        <v>119</v>
      </c>
      <c r="K91" t="s">
        <v>145</v>
      </c>
      <c r="L91" t="s">
        <v>146</v>
      </c>
      <c r="M91">
        <v>1573</v>
      </c>
      <c r="N91">
        <v>0</v>
      </c>
      <c r="O91" t="s">
        <v>122</v>
      </c>
      <c r="P91" s="1" t="s">
        <v>123</v>
      </c>
      <c r="AF91" s="1" t="s">
        <v>124</v>
      </c>
      <c r="AG91" t="s">
        <v>234</v>
      </c>
      <c r="AH91">
        <v>1986</v>
      </c>
      <c r="AI91" t="s">
        <v>148</v>
      </c>
      <c r="AJ91" t="s">
        <v>149</v>
      </c>
      <c r="AK91" t="s">
        <v>150</v>
      </c>
      <c r="AL91" t="s">
        <v>150</v>
      </c>
      <c r="AM91" t="s">
        <v>150</v>
      </c>
      <c r="AN91" t="s">
        <v>151</v>
      </c>
      <c r="AO91" t="s">
        <v>150</v>
      </c>
      <c r="AP91">
        <v>3</v>
      </c>
      <c r="AQ91" t="s">
        <v>152</v>
      </c>
      <c r="AR91" t="s">
        <v>153</v>
      </c>
      <c r="AS91" t="s">
        <v>154</v>
      </c>
      <c r="AT91" t="s">
        <v>155</v>
      </c>
      <c r="AU91" t="s">
        <v>156</v>
      </c>
      <c r="AV91" t="s">
        <v>157</v>
      </c>
      <c r="AW91" t="s">
        <v>158</v>
      </c>
      <c r="AX91" s="1" t="s">
        <v>159</v>
      </c>
      <c r="AY91">
        <v>2</v>
      </c>
      <c r="AZ91" t="s">
        <v>160</v>
      </c>
      <c r="BA91">
        <v>2013</v>
      </c>
      <c r="BB91" t="s">
        <v>148</v>
      </c>
      <c r="BC91" t="s">
        <v>161</v>
      </c>
      <c r="BD91" t="s">
        <v>162</v>
      </c>
      <c r="BE91" t="s">
        <v>150</v>
      </c>
      <c r="BF91" t="s">
        <v>150</v>
      </c>
      <c r="BG91" t="s">
        <v>150</v>
      </c>
      <c r="BH91" t="s">
        <v>150</v>
      </c>
      <c r="BI91" t="s">
        <v>163</v>
      </c>
      <c r="BJ91" t="s">
        <v>164</v>
      </c>
      <c r="BK91" t="s">
        <v>157</v>
      </c>
      <c r="BM91" t="s">
        <v>165</v>
      </c>
      <c r="BN91" t="s">
        <v>166</v>
      </c>
      <c r="BO91" t="s">
        <v>167</v>
      </c>
      <c r="BP91">
        <v>2015</v>
      </c>
      <c r="BQ91" t="s">
        <v>148</v>
      </c>
      <c r="BR91" t="s">
        <v>168</v>
      </c>
      <c r="BS91" t="s">
        <v>150</v>
      </c>
      <c r="BT91" t="s">
        <v>169</v>
      </c>
      <c r="BU91" t="s">
        <v>150</v>
      </c>
      <c r="BV91" t="s">
        <v>150</v>
      </c>
      <c r="BW91" t="s">
        <v>150</v>
      </c>
      <c r="BX91" t="s">
        <v>170</v>
      </c>
      <c r="BY91" t="s">
        <v>171</v>
      </c>
      <c r="BZ91" t="s">
        <v>172</v>
      </c>
      <c r="CC91" t="s">
        <v>173</v>
      </c>
      <c r="CR91" s="1" t="s">
        <v>123</v>
      </c>
      <c r="DB91" s="1" t="s">
        <v>123</v>
      </c>
      <c r="DL91" s="1" t="s">
        <v>174</v>
      </c>
      <c r="DP91" t="s">
        <v>175</v>
      </c>
      <c r="DQ91" t="s">
        <v>176</v>
      </c>
      <c r="DR91" t="s">
        <v>162</v>
      </c>
      <c r="DS91" t="s">
        <v>150</v>
      </c>
      <c r="DT91" t="s">
        <v>151</v>
      </c>
      <c r="DU91" t="s">
        <v>151</v>
      </c>
      <c r="DV91" t="s">
        <v>162</v>
      </c>
      <c r="DW91" t="s">
        <v>162</v>
      </c>
      <c r="DX91" t="s">
        <v>150</v>
      </c>
      <c r="DY91">
        <v>25</v>
      </c>
      <c r="DZ91">
        <v>25</v>
      </c>
      <c r="EA91">
        <v>2</v>
      </c>
      <c r="EB91">
        <v>5</v>
      </c>
      <c r="EC91">
        <v>8</v>
      </c>
      <c r="ED91">
        <v>25</v>
      </c>
      <c r="EE91">
        <v>10</v>
      </c>
      <c r="EG91">
        <v>20</v>
      </c>
      <c r="EH91">
        <v>20</v>
      </c>
      <c r="EI91">
        <v>1</v>
      </c>
      <c r="EJ91">
        <v>4</v>
      </c>
      <c r="EK91">
        <v>25</v>
      </c>
      <c r="EL91">
        <v>25</v>
      </c>
      <c r="EM91">
        <v>5</v>
      </c>
      <c r="EO91" s="1" t="s">
        <v>177</v>
      </c>
      <c r="EP91" t="s">
        <v>178</v>
      </c>
      <c r="EQ91">
        <v>1</v>
      </c>
      <c r="ER91" t="s">
        <v>179</v>
      </c>
      <c r="ES91" t="s">
        <v>150</v>
      </c>
      <c r="ET91" t="s">
        <v>150</v>
      </c>
      <c r="EU91" t="s">
        <v>151</v>
      </c>
      <c r="EV91" t="s">
        <v>180</v>
      </c>
      <c r="EW91" t="s">
        <v>181</v>
      </c>
      <c r="EX91" t="s">
        <v>182</v>
      </c>
      <c r="EY91" t="s">
        <v>173</v>
      </c>
      <c r="FO91" s="1" t="s">
        <v>123</v>
      </c>
      <c r="FP91" t="s">
        <v>132</v>
      </c>
      <c r="GW91" t="s">
        <v>183</v>
      </c>
      <c r="GX91" t="s">
        <v>184</v>
      </c>
      <c r="GY91" t="s">
        <v>185</v>
      </c>
      <c r="GZ91" t="s">
        <v>186</v>
      </c>
      <c r="HA91">
        <v>1961</v>
      </c>
      <c r="HB91" t="s">
        <v>141</v>
      </c>
      <c r="HD91" t="s">
        <v>187</v>
      </c>
    </row>
    <row r="92" spans="1:213" x14ac:dyDescent="0.45">
      <c r="A92">
        <v>8</v>
      </c>
      <c r="B92">
        <f>_xlfn.IFNA(VLOOKUP(Analiza[[#This Row],[Zakończono wypełnianie]],Zakończone[],2,0),"BRAK")</f>
        <v>8</v>
      </c>
      <c r="C92">
        <f t="shared" si="2"/>
        <v>58</v>
      </c>
      <c r="D92" t="s">
        <v>269</v>
      </c>
      <c r="E92" t="s">
        <v>118</v>
      </c>
      <c r="J92" t="s">
        <v>119</v>
      </c>
      <c r="K92" t="s">
        <v>270</v>
      </c>
      <c r="L92" t="s">
        <v>271</v>
      </c>
      <c r="M92">
        <v>768</v>
      </c>
      <c r="N92">
        <v>0</v>
      </c>
      <c r="O92" t="s">
        <v>122</v>
      </c>
      <c r="P92" s="1" t="s">
        <v>123</v>
      </c>
      <c r="AF92" s="1" t="s">
        <v>124</v>
      </c>
      <c r="AG92" t="s">
        <v>160</v>
      </c>
      <c r="AH92">
        <v>1973</v>
      </c>
      <c r="AI92" t="s">
        <v>148</v>
      </c>
      <c r="AJ92" t="s">
        <v>272</v>
      </c>
      <c r="AK92" t="s">
        <v>169</v>
      </c>
      <c r="AL92" t="s">
        <v>169</v>
      </c>
      <c r="AM92" t="s">
        <v>150</v>
      </c>
      <c r="AN92" t="s">
        <v>129</v>
      </c>
      <c r="AO92" t="s">
        <v>129</v>
      </c>
      <c r="AP92">
        <v>0</v>
      </c>
      <c r="AQ92" t="s">
        <v>152</v>
      </c>
      <c r="AR92" t="s">
        <v>152</v>
      </c>
      <c r="AS92" t="s">
        <v>273</v>
      </c>
      <c r="AT92" t="s">
        <v>274</v>
      </c>
      <c r="AU92" t="s">
        <v>275</v>
      </c>
      <c r="AV92" t="s">
        <v>172</v>
      </c>
      <c r="AX92" s="1" t="s">
        <v>159</v>
      </c>
      <c r="AY92">
        <v>3</v>
      </c>
      <c r="AZ92" t="s">
        <v>160</v>
      </c>
      <c r="BA92" t="s">
        <v>276</v>
      </c>
      <c r="BB92" t="s">
        <v>148</v>
      </c>
      <c r="BC92" t="s">
        <v>277</v>
      </c>
      <c r="BD92" t="s">
        <v>169</v>
      </c>
      <c r="BE92" t="s">
        <v>169</v>
      </c>
      <c r="BF92" t="s">
        <v>236</v>
      </c>
      <c r="BG92" t="s">
        <v>236</v>
      </c>
      <c r="BH92" t="s">
        <v>236</v>
      </c>
      <c r="BI92">
        <v>0</v>
      </c>
      <c r="BJ92" t="s">
        <v>278</v>
      </c>
      <c r="BK92" t="s">
        <v>172</v>
      </c>
      <c r="BN92" t="s">
        <v>173</v>
      </c>
      <c r="CR92" s="1" t="s">
        <v>123</v>
      </c>
      <c r="DB92" s="1" t="s">
        <v>214</v>
      </c>
      <c r="DC92" t="s">
        <v>862</v>
      </c>
      <c r="DD92" t="s">
        <v>280</v>
      </c>
      <c r="DE92" t="s">
        <v>150</v>
      </c>
      <c r="DF92" t="s">
        <v>150</v>
      </c>
      <c r="DG92" t="s">
        <v>150</v>
      </c>
      <c r="DH92" t="s">
        <v>150</v>
      </c>
      <c r="DI92" t="s">
        <v>150</v>
      </c>
      <c r="DJ92" t="s">
        <v>150</v>
      </c>
      <c r="DK92" t="s">
        <v>281</v>
      </c>
      <c r="DL92" s="1" t="s">
        <v>123</v>
      </c>
      <c r="EO92" s="1" t="s">
        <v>123</v>
      </c>
      <c r="EP92" t="s">
        <v>180</v>
      </c>
      <c r="EQ92" t="s">
        <v>132</v>
      </c>
      <c r="FO92" s="1" t="s">
        <v>123</v>
      </c>
      <c r="FP92" t="s">
        <v>132</v>
      </c>
      <c r="FR92" t="s">
        <v>132</v>
      </c>
      <c r="GW92" t="s">
        <v>282</v>
      </c>
      <c r="GX92" t="s">
        <v>283</v>
      </c>
      <c r="GY92" t="s">
        <v>284</v>
      </c>
      <c r="GZ92" t="s">
        <v>186</v>
      </c>
      <c r="HA92">
        <v>1950</v>
      </c>
      <c r="HB92" t="s">
        <v>141</v>
      </c>
    </row>
    <row r="93" spans="1:213" x14ac:dyDescent="0.45">
      <c r="A93">
        <v>84</v>
      </c>
      <c r="B93">
        <f>_xlfn.IFNA(VLOOKUP(Analiza[[#This Row],[Zakończono wypełnianie]],Zakończone[],2,0),"BRAK")</f>
        <v>49</v>
      </c>
      <c r="C93">
        <f t="shared" si="2"/>
        <v>49</v>
      </c>
      <c r="D93" t="s">
        <v>854</v>
      </c>
      <c r="E93" t="s">
        <v>118</v>
      </c>
      <c r="J93" t="s">
        <v>119</v>
      </c>
      <c r="K93" t="s">
        <v>855</v>
      </c>
      <c r="L93" t="s">
        <v>856</v>
      </c>
      <c r="M93">
        <v>1349</v>
      </c>
      <c r="N93">
        <v>0</v>
      </c>
      <c r="O93" t="s">
        <v>122</v>
      </c>
      <c r="P93" s="1" t="s">
        <v>416</v>
      </c>
      <c r="Q93" t="s">
        <v>179</v>
      </c>
      <c r="R93" t="s">
        <v>148</v>
      </c>
      <c r="S93" t="s">
        <v>857</v>
      </c>
      <c r="T93" t="s">
        <v>162</v>
      </c>
      <c r="U93" t="s">
        <v>162</v>
      </c>
      <c r="V93" t="s">
        <v>151</v>
      </c>
      <c r="W93" t="s">
        <v>718</v>
      </c>
      <c r="X93" t="s">
        <v>152</v>
      </c>
      <c r="Y93" t="s">
        <v>759</v>
      </c>
      <c r="Z93" t="s">
        <v>858</v>
      </c>
      <c r="AA93" t="s">
        <v>859</v>
      </c>
      <c r="AB93" t="s">
        <v>860</v>
      </c>
      <c r="AD93" t="s">
        <v>861</v>
      </c>
      <c r="AE93">
        <v>2</v>
      </c>
      <c r="AF93" s="1" t="s">
        <v>124</v>
      </c>
      <c r="AG93" t="s">
        <v>862</v>
      </c>
      <c r="AH93">
        <v>2019</v>
      </c>
      <c r="AI93" t="s">
        <v>148</v>
      </c>
      <c r="AJ93" t="s">
        <v>863</v>
      </c>
      <c r="AK93" t="s">
        <v>150</v>
      </c>
      <c r="AL93" t="s">
        <v>150</v>
      </c>
      <c r="AM93" t="s">
        <v>169</v>
      </c>
      <c r="AN93" t="s">
        <v>151</v>
      </c>
      <c r="AO93" t="s">
        <v>150</v>
      </c>
      <c r="AP93" t="s">
        <v>864</v>
      </c>
      <c r="AQ93" t="s">
        <v>302</v>
      </c>
      <c r="AR93" t="s">
        <v>759</v>
      </c>
      <c r="AS93" t="s">
        <v>865</v>
      </c>
      <c r="AT93" t="s">
        <v>866</v>
      </c>
      <c r="AU93" t="s">
        <v>867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FO93" s="1" t="s">
        <v>123</v>
      </c>
      <c r="FP93" t="s">
        <v>132</v>
      </c>
      <c r="GW93" t="s">
        <v>868</v>
      </c>
      <c r="GX93" t="s">
        <v>869</v>
      </c>
      <c r="GY93" t="s">
        <v>870</v>
      </c>
      <c r="GZ93" t="s">
        <v>186</v>
      </c>
      <c r="HA93">
        <v>1991</v>
      </c>
      <c r="HB93" t="s">
        <v>220</v>
      </c>
      <c r="HC93" t="s">
        <v>871</v>
      </c>
      <c r="HD93" t="s">
        <v>872</v>
      </c>
      <c r="HE93" t="s">
        <v>386</v>
      </c>
    </row>
    <row r="94" spans="1:213" x14ac:dyDescent="0.45">
      <c r="A94">
        <v>137</v>
      </c>
      <c r="B94">
        <f>_xlfn.IFNA(VLOOKUP(Analiza[[#This Row],[Zakończono wypełnianie]],Zakończone[],2,0),"BRAK")</f>
        <v>83</v>
      </c>
      <c r="C94">
        <f t="shared" si="2"/>
        <v>43</v>
      </c>
      <c r="D94" t="s">
        <v>1142</v>
      </c>
      <c r="E94" t="s">
        <v>118</v>
      </c>
      <c r="J94" t="s">
        <v>119</v>
      </c>
      <c r="K94" t="s">
        <v>1288</v>
      </c>
      <c r="L94" t="s">
        <v>1289</v>
      </c>
      <c r="M94">
        <v>1208727</v>
      </c>
      <c r="N94">
        <v>0</v>
      </c>
      <c r="O94" t="s">
        <v>122</v>
      </c>
      <c r="P94" s="1" t="s">
        <v>123</v>
      </c>
      <c r="AF94" s="1" t="s">
        <v>124</v>
      </c>
      <c r="AG94" t="s">
        <v>1290</v>
      </c>
      <c r="AH94">
        <v>2012</v>
      </c>
      <c r="AI94" t="s">
        <v>148</v>
      </c>
      <c r="AJ94" t="s">
        <v>1050</v>
      </c>
      <c r="AK94" t="s">
        <v>162</v>
      </c>
      <c r="AL94" t="s">
        <v>151</v>
      </c>
      <c r="AM94" t="s">
        <v>162</v>
      </c>
      <c r="AN94" t="s">
        <v>151</v>
      </c>
      <c r="AO94" t="s">
        <v>128</v>
      </c>
      <c r="AP94" t="s">
        <v>237</v>
      </c>
      <c r="AQ94" t="s">
        <v>132</v>
      </c>
      <c r="AR94" t="s">
        <v>132</v>
      </c>
      <c r="AS94" t="s">
        <v>1291</v>
      </c>
      <c r="AT94" t="s">
        <v>1292</v>
      </c>
      <c r="AU94" t="s">
        <v>1293</v>
      </c>
      <c r="AV94" t="s">
        <v>892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162</v>
      </c>
      <c r="ET94" t="s">
        <v>151</v>
      </c>
      <c r="EU94" t="s">
        <v>128</v>
      </c>
      <c r="EV94" t="s">
        <v>178</v>
      </c>
      <c r="EW94" t="s">
        <v>1294</v>
      </c>
      <c r="EX94" t="s">
        <v>1295</v>
      </c>
      <c r="EY94" t="s">
        <v>173</v>
      </c>
      <c r="FO94" s="1" t="s">
        <v>123</v>
      </c>
      <c r="GW94" t="s">
        <v>1296</v>
      </c>
      <c r="GX94" t="s">
        <v>1297</v>
      </c>
      <c r="GY94" t="s">
        <v>1298</v>
      </c>
      <c r="GZ94" t="s">
        <v>186</v>
      </c>
      <c r="HA94">
        <v>1987</v>
      </c>
      <c r="HB94" t="s">
        <v>246</v>
      </c>
      <c r="HD94" t="s">
        <v>1299</v>
      </c>
      <c r="HE94" t="s">
        <v>1300</v>
      </c>
    </row>
    <row r="95" spans="1:213" x14ac:dyDescent="0.45">
      <c r="A95">
        <v>111</v>
      </c>
      <c r="B95">
        <f>_xlfn.IFNA(VLOOKUP(Analiza[[#This Row],[Zakończono wypełnianie]],Zakończone[],2,0),"BRAK")</f>
        <v>66</v>
      </c>
      <c r="C95">
        <f t="shared" si="2"/>
        <v>37</v>
      </c>
      <c r="D95" t="s">
        <v>1046</v>
      </c>
      <c r="E95" t="s">
        <v>118</v>
      </c>
      <c r="J95" t="s">
        <v>119</v>
      </c>
      <c r="K95" t="s">
        <v>1047</v>
      </c>
      <c r="L95" t="s">
        <v>1048</v>
      </c>
      <c r="M95">
        <v>1978</v>
      </c>
      <c r="N95">
        <v>0</v>
      </c>
      <c r="O95" t="s">
        <v>122</v>
      </c>
      <c r="P95" s="1" t="s">
        <v>123</v>
      </c>
      <c r="AF95" s="1" t="s">
        <v>124</v>
      </c>
      <c r="AG95" t="s">
        <v>1290</v>
      </c>
      <c r="AH95">
        <v>2009</v>
      </c>
      <c r="AI95" t="s">
        <v>148</v>
      </c>
      <c r="AJ95" t="s">
        <v>1050</v>
      </c>
      <c r="AK95" t="s">
        <v>150</v>
      </c>
      <c r="AL95" t="s">
        <v>162</v>
      </c>
      <c r="AM95" t="s">
        <v>169</v>
      </c>
      <c r="AN95" t="s">
        <v>162</v>
      </c>
      <c r="AO95" t="s">
        <v>150</v>
      </c>
      <c r="AP95" t="s">
        <v>1051</v>
      </c>
      <c r="AQ95" t="s">
        <v>302</v>
      </c>
      <c r="AR95" t="s">
        <v>153</v>
      </c>
      <c r="AS95" t="s">
        <v>1052</v>
      </c>
      <c r="AT95" t="s">
        <v>1053</v>
      </c>
      <c r="AU95" t="s">
        <v>1054</v>
      </c>
      <c r="AV95" t="s">
        <v>230</v>
      </c>
      <c r="AW95" t="s">
        <v>1050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123</v>
      </c>
      <c r="EP95" t="s">
        <v>180</v>
      </c>
      <c r="EQ95" t="s">
        <v>132</v>
      </c>
      <c r="FO95" s="1" t="s">
        <v>123</v>
      </c>
      <c r="FP95" t="s">
        <v>132</v>
      </c>
      <c r="FR95" t="s">
        <v>132</v>
      </c>
      <c r="GW95" t="s">
        <v>1055</v>
      </c>
      <c r="GX95" t="s">
        <v>1056</v>
      </c>
      <c r="GY95" t="s">
        <v>1057</v>
      </c>
      <c r="GZ95" t="s">
        <v>186</v>
      </c>
      <c r="HA95">
        <v>1978</v>
      </c>
      <c r="HB95" t="s">
        <v>141</v>
      </c>
      <c r="HD95" t="s">
        <v>1058</v>
      </c>
    </row>
    <row r="96" spans="1:213" x14ac:dyDescent="0.45">
      <c r="A96">
        <v>179</v>
      </c>
      <c r="B96">
        <f>_xlfn.IFNA(VLOOKUP(Analiza[[#This Row],[Zakończono wypełnianie]],Zakończone[],2,0),"BRAK")</f>
        <v>101</v>
      </c>
      <c r="C96">
        <f t="shared" si="2"/>
        <v>42</v>
      </c>
      <c r="D96" t="s">
        <v>1511</v>
      </c>
      <c r="E96" t="s">
        <v>118</v>
      </c>
      <c r="J96" t="s">
        <v>119</v>
      </c>
      <c r="K96" t="s">
        <v>1512</v>
      </c>
      <c r="L96" t="s">
        <v>1513</v>
      </c>
      <c r="M96">
        <v>2685</v>
      </c>
      <c r="N96">
        <v>0</v>
      </c>
      <c r="O96" t="s">
        <v>122</v>
      </c>
      <c r="P96" s="1" t="s">
        <v>123</v>
      </c>
      <c r="AF96" s="1" t="s">
        <v>124</v>
      </c>
      <c r="AG96" t="s">
        <v>1514</v>
      </c>
      <c r="AH96">
        <v>1996</v>
      </c>
      <c r="AI96" t="s">
        <v>148</v>
      </c>
      <c r="AJ96" t="s">
        <v>1515</v>
      </c>
      <c r="AK96" t="s">
        <v>162</v>
      </c>
      <c r="AL96" t="s">
        <v>151</v>
      </c>
      <c r="AM96" t="s">
        <v>162</v>
      </c>
      <c r="AN96" t="s">
        <v>162</v>
      </c>
      <c r="AO96" t="s">
        <v>151</v>
      </c>
      <c r="AP96" t="s">
        <v>1516</v>
      </c>
      <c r="AQ96" t="s">
        <v>194</v>
      </c>
      <c r="AR96" t="s">
        <v>194</v>
      </c>
      <c r="AS96" t="s">
        <v>1517</v>
      </c>
      <c r="AT96" t="s">
        <v>1518</v>
      </c>
      <c r="AU96" t="s">
        <v>1519</v>
      </c>
      <c r="AV96" t="s">
        <v>172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177</v>
      </c>
      <c r="EP96" t="s">
        <v>180</v>
      </c>
      <c r="EQ96">
        <v>1</v>
      </c>
      <c r="ER96" t="s">
        <v>1520</v>
      </c>
      <c r="ES96" t="s">
        <v>150</v>
      </c>
      <c r="ET96" t="s">
        <v>162</v>
      </c>
      <c r="EU96" t="s">
        <v>162</v>
      </c>
      <c r="EV96" t="s">
        <v>178</v>
      </c>
      <c r="EW96" t="s">
        <v>1521</v>
      </c>
      <c r="EX96" t="s">
        <v>1522</v>
      </c>
      <c r="EY96" t="s">
        <v>173</v>
      </c>
      <c r="FO96" s="1" t="s">
        <v>123</v>
      </c>
      <c r="GW96" t="s">
        <v>1523</v>
      </c>
      <c r="GX96" t="s">
        <v>1524</v>
      </c>
      <c r="GY96" t="s">
        <v>1525</v>
      </c>
      <c r="GZ96" t="s">
        <v>186</v>
      </c>
      <c r="HA96">
        <v>1974</v>
      </c>
      <c r="HB96" t="s">
        <v>398</v>
      </c>
      <c r="HD96" t="s">
        <v>1526</v>
      </c>
    </row>
    <row r="97" spans="1:214" x14ac:dyDescent="0.45">
      <c r="A97">
        <v>102</v>
      </c>
      <c r="B97">
        <f>_xlfn.IFNA(VLOOKUP(Analiza[[#This Row],[Zakończono wypełnianie]],Zakończone[],2,0),"BRAK")</f>
        <v>63</v>
      </c>
      <c r="C97">
        <f t="shared" si="2"/>
        <v>44</v>
      </c>
      <c r="D97" t="s">
        <v>999</v>
      </c>
      <c r="E97" t="s">
        <v>118</v>
      </c>
      <c r="F97" t="s">
        <v>260</v>
      </c>
      <c r="J97" t="s">
        <v>119</v>
      </c>
      <c r="K97" t="s">
        <v>1000</v>
      </c>
      <c r="L97" t="s">
        <v>1001</v>
      </c>
      <c r="M97">
        <v>18013</v>
      </c>
      <c r="N97">
        <v>0</v>
      </c>
      <c r="O97" t="s">
        <v>122</v>
      </c>
      <c r="P97" s="1" t="s">
        <v>123</v>
      </c>
      <c r="AF97" s="1" t="s">
        <v>124</v>
      </c>
      <c r="AG97" t="s">
        <v>2271</v>
      </c>
      <c r="AH97">
        <v>1996</v>
      </c>
      <c r="AI97" t="s">
        <v>148</v>
      </c>
      <c r="AJ97" t="s">
        <v>1003</v>
      </c>
      <c r="AK97" t="s">
        <v>150</v>
      </c>
      <c r="AL97" t="s">
        <v>150</v>
      </c>
      <c r="AM97" t="s">
        <v>162</v>
      </c>
      <c r="AN97" t="s">
        <v>129</v>
      </c>
      <c r="AO97" t="s">
        <v>236</v>
      </c>
      <c r="AP97">
        <v>1</v>
      </c>
      <c r="AQ97" t="s">
        <v>131</v>
      </c>
      <c r="AR97" t="s">
        <v>153</v>
      </c>
      <c r="AS97" t="s">
        <v>1004</v>
      </c>
      <c r="AT97" t="s">
        <v>1005</v>
      </c>
      <c r="AU97" t="s">
        <v>532</v>
      </c>
      <c r="AV97" t="s">
        <v>157</v>
      </c>
      <c r="AW97" t="s">
        <v>1006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177</v>
      </c>
      <c r="EP97" t="s">
        <v>178</v>
      </c>
      <c r="EQ97" t="s">
        <v>132</v>
      </c>
      <c r="ER97" t="s">
        <v>1002</v>
      </c>
      <c r="ES97" t="s">
        <v>236</v>
      </c>
      <c r="ET97" t="s">
        <v>236</v>
      </c>
      <c r="EU97" t="s">
        <v>151</v>
      </c>
      <c r="EV97" t="s">
        <v>178</v>
      </c>
      <c r="EW97" t="s">
        <v>1007</v>
      </c>
      <c r="EX97" t="s">
        <v>1008</v>
      </c>
      <c r="EY97" t="s">
        <v>173</v>
      </c>
      <c r="FO97" s="1" t="s">
        <v>123</v>
      </c>
      <c r="FP97" t="s">
        <v>132</v>
      </c>
      <c r="FR97" t="s">
        <v>132</v>
      </c>
      <c r="GW97" t="s">
        <v>1009</v>
      </c>
      <c r="GX97" t="s">
        <v>1007</v>
      </c>
      <c r="GY97" t="s">
        <v>1009</v>
      </c>
      <c r="GZ97" t="s">
        <v>186</v>
      </c>
      <c r="HA97">
        <v>1966</v>
      </c>
      <c r="HB97" t="s">
        <v>141</v>
      </c>
    </row>
    <row r="98" spans="1:214" x14ac:dyDescent="0.45">
      <c r="A98">
        <v>45</v>
      </c>
      <c r="B98">
        <f>_xlfn.IFNA(VLOOKUP(Analiza[[#This Row],[Zakończono wypełnianie]],Zakończone[],2,0),"BRAK")</f>
        <v>28</v>
      </c>
      <c r="C98">
        <f t="shared" si="2"/>
        <v>34</v>
      </c>
      <c r="D98" t="s">
        <v>550</v>
      </c>
      <c r="E98" t="s">
        <v>118</v>
      </c>
      <c r="F98" t="s">
        <v>375</v>
      </c>
      <c r="J98" t="s">
        <v>119</v>
      </c>
      <c r="K98" t="s">
        <v>551</v>
      </c>
      <c r="L98" t="s">
        <v>552</v>
      </c>
      <c r="M98">
        <v>836</v>
      </c>
      <c r="N98">
        <v>0</v>
      </c>
      <c r="O98" t="s">
        <v>122</v>
      </c>
      <c r="P98" s="1" t="s">
        <v>123</v>
      </c>
      <c r="AF98" s="1" t="s">
        <v>124</v>
      </c>
      <c r="AG98" t="s">
        <v>553</v>
      </c>
      <c r="AH98">
        <v>2019</v>
      </c>
      <c r="AI98" t="s">
        <v>148</v>
      </c>
      <c r="AJ98" t="s">
        <v>554</v>
      </c>
      <c r="AK98" t="s">
        <v>162</v>
      </c>
      <c r="AL98" t="s">
        <v>162</v>
      </c>
      <c r="AM98" t="s">
        <v>236</v>
      </c>
      <c r="AN98" t="s">
        <v>151</v>
      </c>
      <c r="AO98" t="s">
        <v>162</v>
      </c>
      <c r="AP98" t="s">
        <v>237</v>
      </c>
      <c r="AQ98" t="s">
        <v>132</v>
      </c>
      <c r="AR98" t="s">
        <v>132</v>
      </c>
      <c r="AS98" t="s">
        <v>555</v>
      </c>
      <c r="AT98" t="s">
        <v>556</v>
      </c>
      <c r="AU98" t="s">
        <v>557</v>
      </c>
      <c r="AV98" t="s">
        <v>230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FP98" t="s">
        <v>132</v>
      </c>
      <c r="GW98" t="s">
        <v>558</v>
      </c>
      <c r="GX98" t="s">
        <v>559</v>
      </c>
      <c r="GY98" t="s">
        <v>560</v>
      </c>
      <c r="GZ98" t="s">
        <v>140</v>
      </c>
      <c r="HA98">
        <v>1994</v>
      </c>
      <c r="HB98" t="s">
        <v>483</v>
      </c>
      <c r="HD98" t="s">
        <v>561</v>
      </c>
      <c r="HE98" t="s">
        <v>386</v>
      </c>
    </row>
    <row r="99" spans="1:214" x14ac:dyDescent="0.45">
      <c r="A99">
        <v>169</v>
      </c>
      <c r="B99">
        <f>_xlfn.IFNA(VLOOKUP(Analiza[[#This Row],[Zakończono wypełnianie]],Zakończone[],2,0),"BRAK")</f>
        <v>97</v>
      </c>
      <c r="C99">
        <f t="shared" ref="C99:C130" si="3">COUNTA(O99:HF99)</f>
        <v>33</v>
      </c>
      <c r="D99" t="s">
        <v>1352</v>
      </c>
      <c r="E99" t="s">
        <v>118</v>
      </c>
      <c r="J99" t="s">
        <v>119</v>
      </c>
      <c r="K99" t="s">
        <v>1470</v>
      </c>
      <c r="L99" t="s">
        <v>1471</v>
      </c>
      <c r="M99">
        <v>495</v>
      </c>
      <c r="N99">
        <v>0</v>
      </c>
      <c r="O99" t="s">
        <v>122</v>
      </c>
      <c r="P99" s="1" t="s">
        <v>123</v>
      </c>
      <c r="AF99" s="1" t="s">
        <v>124</v>
      </c>
      <c r="AG99" t="s">
        <v>1472</v>
      </c>
      <c r="AI99" t="s">
        <v>148</v>
      </c>
      <c r="AJ99" t="s">
        <v>1474</v>
      </c>
      <c r="AK99" t="s">
        <v>169</v>
      </c>
      <c r="AL99" t="s">
        <v>169</v>
      </c>
      <c r="AM99" t="s">
        <v>151</v>
      </c>
      <c r="AN99" t="s">
        <v>162</v>
      </c>
      <c r="AO99" t="s">
        <v>162</v>
      </c>
      <c r="AP99" t="s">
        <v>1475</v>
      </c>
      <c r="AQ99" t="s">
        <v>132</v>
      </c>
      <c r="AR99" t="s">
        <v>132</v>
      </c>
      <c r="AS99" t="s">
        <v>1476</v>
      </c>
      <c r="AT99" t="s">
        <v>1477</v>
      </c>
      <c r="AU99" t="s">
        <v>1473</v>
      </c>
      <c r="AV99" t="s">
        <v>157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1478</v>
      </c>
      <c r="GX99" t="s">
        <v>1478</v>
      </c>
      <c r="GY99" t="s">
        <v>1473</v>
      </c>
      <c r="GZ99" t="s">
        <v>140</v>
      </c>
      <c r="HA99" t="s">
        <v>1473</v>
      </c>
      <c r="HB99" t="s">
        <v>398</v>
      </c>
      <c r="HD99" t="s">
        <v>1479</v>
      </c>
      <c r="HE99" t="s">
        <v>1473</v>
      </c>
      <c r="HF99" t="s">
        <v>1473</v>
      </c>
    </row>
    <row r="100" spans="1:214" x14ac:dyDescent="0.45">
      <c r="A100">
        <v>30</v>
      </c>
      <c r="B100">
        <f>_xlfn.IFNA(VLOOKUP(Analiza[[#This Row],[Zakończono wypełnianie]],Zakończone[],2,0),"BRAK")</f>
        <v>21</v>
      </c>
      <c r="C100">
        <f t="shared" si="3"/>
        <v>46</v>
      </c>
      <c r="D100" t="s">
        <v>442</v>
      </c>
      <c r="E100" t="s">
        <v>118</v>
      </c>
      <c r="J100" t="s">
        <v>119</v>
      </c>
      <c r="K100" t="s">
        <v>443</v>
      </c>
      <c r="L100" t="s">
        <v>444</v>
      </c>
      <c r="M100">
        <v>6812</v>
      </c>
      <c r="N100">
        <v>0</v>
      </c>
      <c r="O100" t="s">
        <v>122</v>
      </c>
      <c r="P100" s="1" t="s">
        <v>123</v>
      </c>
      <c r="AF100" s="1" t="s">
        <v>124</v>
      </c>
      <c r="AG100" t="s">
        <v>445</v>
      </c>
      <c r="AH100">
        <v>2019</v>
      </c>
      <c r="AI100" t="s">
        <v>148</v>
      </c>
      <c r="AJ100" t="s">
        <v>446</v>
      </c>
      <c r="AK100" t="s">
        <v>150</v>
      </c>
      <c r="AL100" t="s">
        <v>150</v>
      </c>
      <c r="AM100" t="s">
        <v>169</v>
      </c>
      <c r="AN100" t="s">
        <v>169</v>
      </c>
      <c r="AO100" t="s">
        <v>132</v>
      </c>
      <c r="AP100" t="s">
        <v>237</v>
      </c>
      <c r="AQ100" t="s">
        <v>226</v>
      </c>
      <c r="AR100" t="s">
        <v>132</v>
      </c>
      <c r="AS100" t="s">
        <v>447</v>
      </c>
      <c r="AT100" t="s">
        <v>448</v>
      </c>
      <c r="AU100" t="s">
        <v>449</v>
      </c>
      <c r="AV100" t="s">
        <v>157</v>
      </c>
      <c r="AX100" s="1" t="s">
        <v>123</v>
      </c>
      <c r="CR100" s="1" t="s">
        <v>387</v>
      </c>
      <c r="CS100" t="s">
        <v>445</v>
      </c>
      <c r="CT100" t="s">
        <v>450</v>
      </c>
      <c r="CU100" t="s">
        <v>169</v>
      </c>
      <c r="CV100" t="s">
        <v>169</v>
      </c>
      <c r="CW100" t="s">
        <v>169</v>
      </c>
      <c r="CX100" t="s">
        <v>150</v>
      </c>
      <c r="CY100" t="s">
        <v>150</v>
      </c>
      <c r="CZ100" t="s">
        <v>150</v>
      </c>
      <c r="DA100" t="s">
        <v>451</v>
      </c>
      <c r="DB100" s="1" t="s">
        <v>123</v>
      </c>
      <c r="DL100" s="1" t="s">
        <v>123</v>
      </c>
      <c r="EO100" s="1" t="s">
        <v>123</v>
      </c>
      <c r="EP100" t="s">
        <v>180</v>
      </c>
      <c r="EQ100" t="s">
        <v>132</v>
      </c>
      <c r="FO100" s="1" t="s">
        <v>123</v>
      </c>
      <c r="FP100" t="s">
        <v>132</v>
      </c>
      <c r="FR100" t="s">
        <v>132</v>
      </c>
      <c r="GW100" t="s">
        <v>452</v>
      </c>
      <c r="GX100" t="s">
        <v>453</v>
      </c>
      <c r="GY100" t="s">
        <v>454</v>
      </c>
      <c r="GZ100" t="s">
        <v>140</v>
      </c>
      <c r="HA100">
        <v>1994</v>
      </c>
      <c r="HB100" t="s">
        <v>220</v>
      </c>
      <c r="HD100" t="s">
        <v>455</v>
      </c>
      <c r="HE100" t="s">
        <v>456</v>
      </c>
    </row>
    <row r="101" spans="1:214" x14ac:dyDescent="0.45">
      <c r="A101">
        <v>77</v>
      </c>
      <c r="B101">
        <f>_xlfn.IFNA(VLOOKUP(Analiza[[#This Row],[Zakończono wypełnianie]],Zakończone[],2,0),"BRAK")</f>
        <v>43</v>
      </c>
      <c r="C101">
        <f t="shared" si="3"/>
        <v>33</v>
      </c>
      <c r="D101" t="s">
        <v>773</v>
      </c>
      <c r="E101" t="s">
        <v>118</v>
      </c>
      <c r="F101" t="s">
        <v>774</v>
      </c>
      <c r="J101" t="s">
        <v>119</v>
      </c>
      <c r="K101" t="s">
        <v>791</v>
      </c>
      <c r="L101" t="s">
        <v>792</v>
      </c>
      <c r="M101">
        <v>333</v>
      </c>
      <c r="N101">
        <v>0</v>
      </c>
      <c r="O101" t="s">
        <v>122</v>
      </c>
      <c r="P101" s="1" t="s">
        <v>123</v>
      </c>
      <c r="AF101" s="1" t="s">
        <v>124</v>
      </c>
      <c r="AG101" t="s">
        <v>223</v>
      </c>
      <c r="AH101">
        <v>2012</v>
      </c>
      <c r="AI101" t="s">
        <v>148</v>
      </c>
      <c r="AJ101" t="s">
        <v>793</v>
      </c>
      <c r="AK101" t="s">
        <v>151</v>
      </c>
      <c r="AL101" t="s">
        <v>151</v>
      </c>
      <c r="AM101" t="s">
        <v>129</v>
      </c>
      <c r="AN101" t="s">
        <v>129</v>
      </c>
      <c r="AO101" t="s">
        <v>128</v>
      </c>
      <c r="AP101">
        <v>3</v>
      </c>
      <c r="AQ101" t="s">
        <v>131</v>
      </c>
      <c r="AR101" t="s">
        <v>302</v>
      </c>
      <c r="AS101" t="s">
        <v>386</v>
      </c>
      <c r="AT101" t="s">
        <v>794</v>
      </c>
      <c r="AU101" t="s">
        <v>780</v>
      </c>
      <c r="AV101" t="s">
        <v>157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FP101" t="s">
        <v>132</v>
      </c>
      <c r="GW101" t="s">
        <v>786</v>
      </c>
      <c r="GX101" t="s">
        <v>787</v>
      </c>
      <c r="GY101" t="s">
        <v>788</v>
      </c>
      <c r="GZ101" t="s">
        <v>186</v>
      </c>
      <c r="HA101">
        <v>1987</v>
      </c>
      <c r="HB101" t="s">
        <v>141</v>
      </c>
      <c r="HD101" t="s">
        <v>795</v>
      </c>
    </row>
    <row r="102" spans="1:214" x14ac:dyDescent="0.45">
      <c r="A102">
        <v>105</v>
      </c>
      <c r="B102">
        <f>_xlfn.IFNA(VLOOKUP(Analiza[[#This Row],[Zakończono wypełnianie]],Zakończone[],2,0),"BRAK")</f>
        <v>64</v>
      </c>
      <c r="C102">
        <f t="shared" si="3"/>
        <v>35</v>
      </c>
      <c r="D102" t="s">
        <v>1014</v>
      </c>
      <c r="E102" t="s">
        <v>118</v>
      </c>
      <c r="J102" t="s">
        <v>119</v>
      </c>
      <c r="K102" t="s">
        <v>1015</v>
      </c>
      <c r="L102" t="s">
        <v>1016</v>
      </c>
      <c r="M102">
        <v>1293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2003</v>
      </c>
      <c r="AI102" t="s">
        <v>148</v>
      </c>
      <c r="AJ102" t="s">
        <v>1017</v>
      </c>
      <c r="AK102" t="s">
        <v>128</v>
      </c>
      <c r="AL102" t="s">
        <v>128</v>
      </c>
      <c r="AM102" t="s">
        <v>128</v>
      </c>
      <c r="AN102" t="s">
        <v>236</v>
      </c>
      <c r="AO102" t="s">
        <v>132</v>
      </c>
      <c r="AP102" t="s">
        <v>1018</v>
      </c>
      <c r="AQ102" t="s">
        <v>131</v>
      </c>
      <c r="AR102" t="s">
        <v>131</v>
      </c>
      <c r="AT102" t="s">
        <v>1019</v>
      </c>
      <c r="AU102" t="s">
        <v>1020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EP102" t="s">
        <v>180</v>
      </c>
      <c r="EQ102" t="s">
        <v>132</v>
      </c>
      <c r="FO102" s="1" t="s">
        <v>123</v>
      </c>
      <c r="FP102" t="s">
        <v>132</v>
      </c>
      <c r="FR102" t="s">
        <v>132</v>
      </c>
      <c r="GW102" t="s">
        <v>276</v>
      </c>
      <c r="GX102" t="s">
        <v>1021</v>
      </c>
      <c r="GY102" t="s">
        <v>1022</v>
      </c>
      <c r="GZ102" t="s">
        <v>140</v>
      </c>
      <c r="HA102">
        <v>1980</v>
      </c>
      <c r="HB102" t="s">
        <v>483</v>
      </c>
      <c r="HD102" t="s">
        <v>1023</v>
      </c>
    </row>
    <row r="103" spans="1:214" x14ac:dyDescent="0.45">
      <c r="A103">
        <v>158</v>
      </c>
      <c r="B103">
        <f>_xlfn.IFNA(VLOOKUP(Analiza[[#This Row],[Zakończono wypełnianie]],Zakończone[],2,0),"BRAK")</f>
        <v>91</v>
      </c>
      <c r="C103">
        <f t="shared" si="3"/>
        <v>32</v>
      </c>
      <c r="D103" t="s">
        <v>1131</v>
      </c>
      <c r="E103" t="s">
        <v>118</v>
      </c>
      <c r="J103" t="s">
        <v>119</v>
      </c>
      <c r="K103" t="s">
        <v>1403</v>
      </c>
      <c r="L103" t="s">
        <v>1404</v>
      </c>
      <c r="M103">
        <v>325</v>
      </c>
      <c r="N103">
        <v>0</v>
      </c>
      <c r="O103" t="s">
        <v>122</v>
      </c>
      <c r="P103" s="1" t="s">
        <v>123</v>
      </c>
      <c r="AF103" s="1" t="s">
        <v>124</v>
      </c>
      <c r="AG103" t="s">
        <v>223</v>
      </c>
      <c r="AH103">
        <v>2013</v>
      </c>
      <c r="AI103" t="s">
        <v>148</v>
      </c>
      <c r="AJ103" t="s">
        <v>958</v>
      </c>
      <c r="AK103" t="s">
        <v>128</v>
      </c>
      <c r="AL103" t="s">
        <v>128</v>
      </c>
      <c r="AM103" t="s">
        <v>162</v>
      </c>
      <c r="AN103" t="s">
        <v>151</v>
      </c>
      <c r="AO103" t="s">
        <v>151</v>
      </c>
      <c r="AP103">
        <v>3</v>
      </c>
      <c r="AQ103" t="s">
        <v>131</v>
      </c>
      <c r="AR103" t="s">
        <v>153</v>
      </c>
      <c r="AS103" t="s">
        <v>1405</v>
      </c>
      <c r="AT103" t="s">
        <v>1406</v>
      </c>
      <c r="AU103" t="s">
        <v>1407</v>
      </c>
      <c r="AV103" t="s">
        <v>157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1408</v>
      </c>
      <c r="GX103" t="s">
        <v>1409</v>
      </c>
      <c r="GY103" t="s">
        <v>1410</v>
      </c>
      <c r="GZ103" t="s">
        <v>140</v>
      </c>
      <c r="HA103">
        <v>1984</v>
      </c>
      <c r="HB103" t="s">
        <v>398</v>
      </c>
      <c r="HD103" t="s">
        <v>1411</v>
      </c>
    </row>
    <row r="104" spans="1:214" x14ac:dyDescent="0.45">
      <c r="A104">
        <v>203</v>
      </c>
      <c r="B104" t="str">
        <f>_xlfn.IFNA(VLOOKUP(Analiza[[#This Row],[Zakończono wypełnianie]],Zakończone[],2,0),"BRAK")</f>
        <v>BRAK</v>
      </c>
      <c r="C104">
        <f t="shared" si="3"/>
        <v>21</v>
      </c>
      <c r="D104" t="s">
        <v>1701</v>
      </c>
      <c r="E104" t="s">
        <v>118</v>
      </c>
      <c r="J104" t="s">
        <v>286</v>
      </c>
      <c r="K104" t="s">
        <v>1702</v>
      </c>
      <c r="L104" t="s">
        <v>1702</v>
      </c>
      <c r="M104">
        <v>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1703</v>
      </c>
      <c r="AH104">
        <v>2011</v>
      </c>
      <c r="AI104" t="s">
        <v>148</v>
      </c>
      <c r="AJ104" t="s">
        <v>554</v>
      </c>
      <c r="AK104" t="s">
        <v>169</v>
      </c>
      <c r="AL104" t="s">
        <v>150</v>
      </c>
      <c r="AM104" t="s">
        <v>169</v>
      </c>
      <c r="AN104" t="s">
        <v>169</v>
      </c>
      <c r="AO104" t="s">
        <v>169</v>
      </c>
      <c r="AP104">
        <v>2</v>
      </c>
      <c r="AQ104" t="s">
        <v>131</v>
      </c>
      <c r="AR104" t="s">
        <v>153</v>
      </c>
      <c r="AS104" t="s">
        <v>1704</v>
      </c>
      <c r="AT104" t="s">
        <v>1705</v>
      </c>
      <c r="AU104" t="s">
        <v>1706</v>
      </c>
      <c r="AV104" t="s">
        <v>157</v>
      </c>
      <c r="AX104" s="1" t="s">
        <v>123</v>
      </c>
      <c r="CR104" s="1" t="s">
        <v>123</v>
      </c>
      <c r="DB104" s="1"/>
      <c r="DL104" s="1"/>
      <c r="EO104" s="1"/>
      <c r="FO104" s="1"/>
    </row>
    <row r="105" spans="1:214" x14ac:dyDescent="0.45">
      <c r="A105">
        <v>235</v>
      </c>
      <c r="B105">
        <f>_xlfn.IFNA(VLOOKUP(Analiza[[#This Row],[Zakończono wypełnianie]],Zakończone[],2,0),"BRAK")</f>
        <v>127</v>
      </c>
      <c r="C105">
        <f t="shared" si="3"/>
        <v>33</v>
      </c>
      <c r="D105" t="s">
        <v>1899</v>
      </c>
      <c r="E105" t="s">
        <v>118</v>
      </c>
      <c r="F105" t="s">
        <v>359</v>
      </c>
      <c r="J105" t="s">
        <v>119</v>
      </c>
      <c r="K105" t="s">
        <v>1900</v>
      </c>
      <c r="L105" t="s">
        <v>1901</v>
      </c>
      <c r="M105">
        <v>650</v>
      </c>
      <c r="N105">
        <v>0</v>
      </c>
      <c r="O105" t="s">
        <v>122</v>
      </c>
      <c r="P105" s="1" t="s">
        <v>123</v>
      </c>
      <c r="AF105" s="1" t="s">
        <v>124</v>
      </c>
      <c r="AG105" t="s">
        <v>223</v>
      </c>
      <c r="AH105">
        <v>2009</v>
      </c>
      <c r="AI105" t="s">
        <v>148</v>
      </c>
      <c r="AJ105" t="s">
        <v>1666</v>
      </c>
      <c r="AK105" t="s">
        <v>162</v>
      </c>
      <c r="AL105" t="s">
        <v>151</v>
      </c>
      <c r="AM105" t="s">
        <v>236</v>
      </c>
      <c r="AN105" t="s">
        <v>236</v>
      </c>
      <c r="AO105" t="s">
        <v>128</v>
      </c>
      <c r="AP105">
        <v>9</v>
      </c>
      <c r="AQ105" t="s">
        <v>131</v>
      </c>
      <c r="AR105" t="s">
        <v>153</v>
      </c>
      <c r="AS105" t="s">
        <v>1902</v>
      </c>
      <c r="AT105" t="s">
        <v>1903</v>
      </c>
      <c r="AU105" t="s">
        <v>1904</v>
      </c>
      <c r="AW105" t="s">
        <v>1905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FO105" s="1" t="s">
        <v>123</v>
      </c>
      <c r="GW105" t="s">
        <v>1906</v>
      </c>
      <c r="GX105" t="s">
        <v>1907</v>
      </c>
      <c r="GY105" t="s">
        <v>1908</v>
      </c>
      <c r="GZ105" t="s">
        <v>140</v>
      </c>
      <c r="HA105">
        <v>1985</v>
      </c>
      <c r="HB105" t="s">
        <v>141</v>
      </c>
      <c r="HD105" t="s">
        <v>142</v>
      </c>
      <c r="HE105" t="s">
        <v>1909</v>
      </c>
    </row>
    <row r="106" spans="1:214" x14ac:dyDescent="0.45">
      <c r="A106">
        <v>93</v>
      </c>
      <c r="B106">
        <f>_xlfn.IFNA(VLOOKUP(Analiza[[#This Row],[Zakończono wypełnianie]],Zakończone[],2,0),"BRAK")</f>
        <v>56</v>
      </c>
      <c r="C106">
        <f t="shared" si="3"/>
        <v>46</v>
      </c>
      <c r="D106" t="s">
        <v>938</v>
      </c>
      <c r="E106" t="s">
        <v>118</v>
      </c>
      <c r="J106" t="s">
        <v>119</v>
      </c>
      <c r="K106" t="s">
        <v>939</v>
      </c>
      <c r="L106" t="s">
        <v>940</v>
      </c>
      <c r="M106">
        <v>451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2004</v>
      </c>
      <c r="AI106" t="s">
        <v>148</v>
      </c>
      <c r="AJ106" t="s">
        <v>942</v>
      </c>
      <c r="AK106" t="s">
        <v>150</v>
      </c>
      <c r="AL106" t="s">
        <v>150</v>
      </c>
      <c r="AM106" t="s">
        <v>150</v>
      </c>
      <c r="AN106" t="s">
        <v>150</v>
      </c>
      <c r="AO106" t="s">
        <v>169</v>
      </c>
      <c r="AP106" t="s">
        <v>237</v>
      </c>
      <c r="AQ106" t="s">
        <v>302</v>
      </c>
      <c r="AR106" t="s">
        <v>943</v>
      </c>
      <c r="AS106" t="s">
        <v>944</v>
      </c>
      <c r="AT106" t="s">
        <v>945</v>
      </c>
      <c r="AU106" t="s">
        <v>946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177</v>
      </c>
      <c r="EP106" t="s">
        <v>178</v>
      </c>
      <c r="EQ106">
        <v>1</v>
      </c>
      <c r="ER106" t="s">
        <v>747</v>
      </c>
      <c r="ES106" t="s">
        <v>169</v>
      </c>
      <c r="ET106" t="s">
        <v>169</v>
      </c>
      <c r="EU106" t="s">
        <v>169</v>
      </c>
      <c r="EV106" t="s">
        <v>178</v>
      </c>
      <c r="EW106" t="s">
        <v>947</v>
      </c>
      <c r="EX106" t="s">
        <v>948</v>
      </c>
      <c r="EY106" t="s">
        <v>173</v>
      </c>
      <c r="FO106" s="1" t="s">
        <v>123</v>
      </c>
      <c r="FP106" t="s">
        <v>132</v>
      </c>
      <c r="FR106" t="s">
        <v>132</v>
      </c>
      <c r="GW106" t="s">
        <v>949</v>
      </c>
      <c r="GX106" t="s">
        <v>950</v>
      </c>
      <c r="GY106" t="s">
        <v>951</v>
      </c>
      <c r="GZ106" t="s">
        <v>186</v>
      </c>
      <c r="HA106">
        <v>1984</v>
      </c>
      <c r="HB106" t="s">
        <v>141</v>
      </c>
      <c r="HC106" t="s">
        <v>952</v>
      </c>
      <c r="HD106" t="s">
        <v>953</v>
      </c>
      <c r="HE106" t="s">
        <v>954</v>
      </c>
    </row>
    <row r="107" spans="1:214" x14ac:dyDescent="0.45">
      <c r="A107">
        <v>87</v>
      </c>
      <c r="B107">
        <f>_xlfn.IFNA(VLOOKUP(Analiza[[#This Row],[Zakończono wypełnianie]],Zakończone[],2,0),"BRAK")</f>
        <v>52</v>
      </c>
      <c r="C107">
        <f t="shared" si="3"/>
        <v>45</v>
      </c>
      <c r="D107" t="s">
        <v>873</v>
      </c>
      <c r="E107" t="s">
        <v>118</v>
      </c>
      <c r="F107" t="s">
        <v>797</v>
      </c>
      <c r="J107" t="s">
        <v>119</v>
      </c>
      <c r="K107" t="s">
        <v>888</v>
      </c>
      <c r="L107" t="s">
        <v>889</v>
      </c>
      <c r="M107">
        <v>1595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>
        <v>1975</v>
      </c>
      <c r="AI107" t="s">
        <v>126</v>
      </c>
      <c r="AJ107" t="s">
        <v>890</v>
      </c>
      <c r="AK107" t="s">
        <v>150</v>
      </c>
      <c r="AL107" t="s">
        <v>162</v>
      </c>
      <c r="AM107" t="s">
        <v>128</v>
      </c>
      <c r="AN107" t="s">
        <v>169</v>
      </c>
      <c r="AO107" t="s">
        <v>169</v>
      </c>
      <c r="AP107" t="s">
        <v>883</v>
      </c>
      <c r="AQ107" t="s">
        <v>194</v>
      </c>
      <c r="AR107" t="s">
        <v>194</v>
      </c>
      <c r="AS107" t="s">
        <v>891</v>
      </c>
      <c r="AT107" t="s">
        <v>532</v>
      </c>
      <c r="AU107" t="s">
        <v>532</v>
      </c>
      <c r="AV107" t="s">
        <v>892</v>
      </c>
      <c r="AX107" s="1" t="s">
        <v>159</v>
      </c>
      <c r="AY107">
        <v>1</v>
      </c>
      <c r="AZ107" t="s">
        <v>893</v>
      </c>
      <c r="BA107">
        <v>2002</v>
      </c>
      <c r="BB107" t="s">
        <v>126</v>
      </c>
      <c r="BC107" t="s">
        <v>801</v>
      </c>
      <c r="BD107" t="s">
        <v>150</v>
      </c>
      <c r="BE107" t="s">
        <v>150</v>
      </c>
      <c r="BF107" t="s">
        <v>150</v>
      </c>
      <c r="BG107" t="s">
        <v>236</v>
      </c>
      <c r="BH107" t="s">
        <v>128</v>
      </c>
      <c r="BI107">
        <v>3</v>
      </c>
      <c r="BK107" t="s">
        <v>157</v>
      </c>
      <c r="BN107" t="s">
        <v>173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FP107" t="s">
        <v>132</v>
      </c>
      <c r="GW107" t="s">
        <v>532</v>
      </c>
      <c r="GX107" t="s">
        <v>532</v>
      </c>
      <c r="GY107" t="s">
        <v>532</v>
      </c>
      <c r="GZ107" t="s">
        <v>186</v>
      </c>
      <c r="HA107">
        <v>1950</v>
      </c>
      <c r="HB107" t="s">
        <v>141</v>
      </c>
    </row>
    <row r="108" spans="1:214" x14ac:dyDescent="0.45">
      <c r="A108">
        <v>17</v>
      </c>
      <c r="B108">
        <f>_xlfn.IFNA(VLOOKUP(Analiza[[#This Row],[Zakończono wypełnianie]],Zakończone[],2,0),"BRAK")</f>
        <v>16</v>
      </c>
      <c r="C108">
        <f t="shared" si="3"/>
        <v>33</v>
      </c>
      <c r="D108" t="s">
        <v>358</v>
      </c>
      <c r="E108" t="s">
        <v>118</v>
      </c>
      <c r="F108" t="s">
        <v>359</v>
      </c>
      <c r="J108" t="s">
        <v>119</v>
      </c>
      <c r="K108" t="s">
        <v>360</v>
      </c>
      <c r="L108" t="s">
        <v>361</v>
      </c>
      <c r="M108">
        <v>1534</v>
      </c>
      <c r="N108">
        <v>0</v>
      </c>
      <c r="O108" t="s">
        <v>122</v>
      </c>
      <c r="P108" s="1" t="s">
        <v>123</v>
      </c>
      <c r="AF108" s="1" t="s">
        <v>124</v>
      </c>
      <c r="AG108" t="s">
        <v>223</v>
      </c>
      <c r="AH108">
        <v>2011</v>
      </c>
      <c r="AI108" t="s">
        <v>148</v>
      </c>
      <c r="AJ108" t="s">
        <v>362</v>
      </c>
      <c r="AK108" t="s">
        <v>151</v>
      </c>
      <c r="AL108" t="s">
        <v>236</v>
      </c>
      <c r="AM108" t="s">
        <v>129</v>
      </c>
      <c r="AN108" t="s">
        <v>129</v>
      </c>
      <c r="AO108" t="s">
        <v>129</v>
      </c>
      <c r="AP108">
        <v>4</v>
      </c>
      <c r="AQ108" t="s">
        <v>131</v>
      </c>
      <c r="AR108" t="s">
        <v>131</v>
      </c>
      <c r="AS108" t="s">
        <v>363</v>
      </c>
      <c r="AT108" t="s">
        <v>364</v>
      </c>
      <c r="AU108" t="s">
        <v>365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FP108" t="s">
        <v>132</v>
      </c>
      <c r="GW108" t="s">
        <v>366</v>
      </c>
      <c r="GX108" t="s">
        <v>367</v>
      </c>
      <c r="GY108" t="s">
        <v>368</v>
      </c>
      <c r="GZ108" t="s">
        <v>140</v>
      </c>
      <c r="HA108">
        <v>1987</v>
      </c>
      <c r="HB108" t="s">
        <v>141</v>
      </c>
      <c r="HD108" t="s">
        <v>369</v>
      </c>
    </row>
    <row r="109" spans="1:214" x14ac:dyDescent="0.45">
      <c r="A109">
        <v>75</v>
      </c>
      <c r="B109">
        <f>_xlfn.IFNA(VLOOKUP(Analiza[[#This Row],[Zakończono wypełnianie]],Zakończone[],2,0),"BRAK")</f>
        <v>41</v>
      </c>
      <c r="C109">
        <f t="shared" si="3"/>
        <v>51</v>
      </c>
      <c r="D109" t="s">
        <v>754</v>
      </c>
      <c r="E109" t="s">
        <v>118</v>
      </c>
      <c r="F109" t="s">
        <v>755</v>
      </c>
      <c r="J109" t="s">
        <v>119</v>
      </c>
      <c r="K109" t="s">
        <v>756</v>
      </c>
      <c r="L109" t="s">
        <v>757</v>
      </c>
      <c r="M109">
        <v>487</v>
      </c>
      <c r="N109">
        <v>0</v>
      </c>
      <c r="O109" t="s">
        <v>122</v>
      </c>
      <c r="P109" s="1" t="s">
        <v>416</v>
      </c>
      <c r="Q109" t="s">
        <v>147</v>
      </c>
      <c r="R109" t="s">
        <v>148</v>
      </c>
      <c r="S109" t="s">
        <v>758</v>
      </c>
      <c r="T109" t="s">
        <v>236</v>
      </c>
      <c r="U109" t="s">
        <v>129</v>
      </c>
      <c r="V109" t="s">
        <v>236</v>
      </c>
      <c r="W109" t="s">
        <v>718</v>
      </c>
      <c r="X109" t="s">
        <v>759</v>
      </c>
      <c r="Y109" t="s">
        <v>194</v>
      </c>
      <c r="Z109" t="s">
        <v>760</v>
      </c>
      <c r="AA109" t="s">
        <v>761</v>
      </c>
      <c r="AB109" t="s">
        <v>762</v>
      </c>
      <c r="AC109" t="s">
        <v>157</v>
      </c>
      <c r="AE109">
        <v>2</v>
      </c>
      <c r="AF109" s="1" t="s">
        <v>124</v>
      </c>
      <c r="AG109" t="s">
        <v>223</v>
      </c>
      <c r="AH109">
        <v>2012</v>
      </c>
      <c r="AI109" t="s">
        <v>148</v>
      </c>
      <c r="AJ109" t="s">
        <v>764</v>
      </c>
      <c r="AK109" t="s">
        <v>236</v>
      </c>
      <c r="AL109" t="s">
        <v>236</v>
      </c>
      <c r="AM109" t="s">
        <v>236</v>
      </c>
      <c r="AN109" t="s">
        <v>129</v>
      </c>
      <c r="AO109" t="s">
        <v>236</v>
      </c>
      <c r="AP109" t="s">
        <v>237</v>
      </c>
      <c r="AQ109" t="s">
        <v>302</v>
      </c>
      <c r="AR109" t="s">
        <v>153</v>
      </c>
      <c r="AS109" t="s">
        <v>765</v>
      </c>
      <c r="AT109" t="s">
        <v>766</v>
      </c>
      <c r="AU109" t="s">
        <v>767</v>
      </c>
      <c r="AV109" t="s">
        <v>230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EP109" t="s">
        <v>180</v>
      </c>
      <c r="EQ109" t="s">
        <v>132</v>
      </c>
      <c r="FO109" s="1" t="s">
        <v>123</v>
      </c>
      <c r="FP109" t="s">
        <v>132</v>
      </c>
      <c r="FR109" t="s">
        <v>132</v>
      </c>
      <c r="GW109" t="s">
        <v>768</v>
      </c>
      <c r="GX109" t="s">
        <v>769</v>
      </c>
      <c r="GY109" t="s">
        <v>770</v>
      </c>
      <c r="GZ109" t="s">
        <v>186</v>
      </c>
      <c r="HA109">
        <v>1990</v>
      </c>
      <c r="HB109" t="s">
        <v>141</v>
      </c>
      <c r="HD109" t="s">
        <v>771</v>
      </c>
      <c r="HE109" t="s">
        <v>772</v>
      </c>
    </row>
    <row r="110" spans="1:214" x14ac:dyDescent="0.45">
      <c r="A110">
        <v>85</v>
      </c>
      <c r="B110">
        <f>_xlfn.IFNA(VLOOKUP(Analiza[[#This Row],[Zakończono wypełnianie]],Zakończone[],2,0),"BRAK")</f>
        <v>50</v>
      </c>
      <c r="C110">
        <f t="shared" si="3"/>
        <v>34</v>
      </c>
      <c r="D110" t="s">
        <v>873</v>
      </c>
      <c r="E110" t="s">
        <v>118</v>
      </c>
      <c r="F110" t="s">
        <v>797</v>
      </c>
      <c r="J110" t="s">
        <v>119</v>
      </c>
      <c r="K110" t="s">
        <v>874</v>
      </c>
      <c r="L110" t="s">
        <v>875</v>
      </c>
      <c r="M110">
        <v>1971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2012</v>
      </c>
      <c r="AI110" t="s">
        <v>148</v>
      </c>
      <c r="AJ110" t="s">
        <v>876</v>
      </c>
      <c r="AK110" t="s">
        <v>150</v>
      </c>
      <c r="AL110" t="s">
        <v>162</v>
      </c>
      <c r="AM110" t="s">
        <v>128</v>
      </c>
      <c r="AN110" t="s">
        <v>236</v>
      </c>
      <c r="AO110" t="s">
        <v>151</v>
      </c>
      <c r="AP110">
        <v>2</v>
      </c>
      <c r="AQ110" t="s">
        <v>131</v>
      </c>
      <c r="AR110" t="s">
        <v>153</v>
      </c>
      <c r="AS110" t="s">
        <v>877</v>
      </c>
      <c r="AT110" t="s">
        <v>532</v>
      </c>
      <c r="AU110" t="s">
        <v>532</v>
      </c>
      <c r="AV110" t="s">
        <v>157</v>
      </c>
      <c r="AW110" t="s">
        <v>878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FO110" s="1" t="s">
        <v>123</v>
      </c>
      <c r="FP110" t="s">
        <v>132</v>
      </c>
      <c r="GW110" t="s">
        <v>532</v>
      </c>
      <c r="GX110" t="s">
        <v>532</v>
      </c>
      <c r="GY110" t="s">
        <v>532</v>
      </c>
      <c r="GZ110" t="s">
        <v>186</v>
      </c>
      <c r="HA110">
        <v>1988</v>
      </c>
      <c r="HB110" t="s">
        <v>246</v>
      </c>
      <c r="HE110" t="s">
        <v>879</v>
      </c>
    </row>
    <row r="111" spans="1:214" x14ac:dyDescent="0.45">
      <c r="A111">
        <v>118</v>
      </c>
      <c r="B111" t="str">
        <f>_xlfn.IFNA(VLOOKUP(Analiza[[#This Row],[Zakończono wypełnianie]],Zakończone[],2,0),"BRAK")</f>
        <v>BRAK</v>
      </c>
      <c r="C111">
        <f t="shared" si="3"/>
        <v>18</v>
      </c>
      <c r="D111" t="s">
        <v>1098</v>
      </c>
      <c r="E111" t="s">
        <v>118</v>
      </c>
      <c r="J111" t="s">
        <v>286</v>
      </c>
      <c r="K111" t="s">
        <v>1106</v>
      </c>
      <c r="L111" t="s">
        <v>1106</v>
      </c>
      <c r="M111">
        <v>0</v>
      </c>
      <c r="N111">
        <v>0</v>
      </c>
      <c r="O111" t="s">
        <v>122</v>
      </c>
      <c r="P111" s="1" t="s">
        <v>416</v>
      </c>
      <c r="Q111" t="s">
        <v>1090</v>
      </c>
      <c r="R111" t="s">
        <v>126</v>
      </c>
      <c r="S111" t="s">
        <v>844</v>
      </c>
      <c r="T111" t="s">
        <v>150</v>
      </c>
      <c r="U111" t="s">
        <v>162</v>
      </c>
      <c r="V111" t="s">
        <v>129</v>
      </c>
      <c r="W111">
        <v>12</v>
      </c>
      <c r="X111" t="s">
        <v>302</v>
      </c>
      <c r="Y111" t="s">
        <v>209</v>
      </c>
      <c r="Z111" t="s">
        <v>1108</v>
      </c>
      <c r="AA111" t="s">
        <v>1109</v>
      </c>
      <c r="AB111" t="s">
        <v>1110</v>
      </c>
      <c r="AC111" t="s">
        <v>172</v>
      </c>
      <c r="AE111">
        <v>7</v>
      </c>
      <c r="AF111" s="1" t="s">
        <v>123</v>
      </c>
      <c r="AX111" s="1" t="s">
        <v>123</v>
      </c>
      <c r="CR111" s="1"/>
      <c r="DB111" s="1"/>
      <c r="DL111" s="1"/>
      <c r="EO111" s="1"/>
      <c r="FO111" s="1"/>
    </row>
    <row r="112" spans="1:214" x14ac:dyDescent="0.45">
      <c r="A112">
        <v>114</v>
      </c>
      <c r="B112">
        <f>_xlfn.IFNA(VLOOKUP(Analiza[[#This Row],[Zakończono wypełnianie]],Zakończone[],2,0),"BRAK")</f>
        <v>68</v>
      </c>
      <c r="C112">
        <f t="shared" si="3"/>
        <v>41</v>
      </c>
      <c r="D112" t="s">
        <v>1077</v>
      </c>
      <c r="E112" t="s">
        <v>118</v>
      </c>
      <c r="J112" t="s">
        <v>119</v>
      </c>
      <c r="K112" t="s">
        <v>1078</v>
      </c>
      <c r="L112" t="s">
        <v>1079</v>
      </c>
      <c r="M112">
        <v>862</v>
      </c>
      <c r="N112">
        <v>0</v>
      </c>
      <c r="O112" t="s">
        <v>122</v>
      </c>
      <c r="P112" s="1" t="s">
        <v>123</v>
      </c>
      <c r="AF112" s="1" t="s">
        <v>124</v>
      </c>
      <c r="AG112" t="s">
        <v>223</v>
      </c>
      <c r="AH112">
        <v>2007</v>
      </c>
      <c r="AI112" t="s">
        <v>148</v>
      </c>
      <c r="AJ112" t="s">
        <v>969</v>
      </c>
      <c r="AK112" t="s">
        <v>151</v>
      </c>
      <c r="AL112" t="s">
        <v>151</v>
      </c>
      <c r="AM112" t="s">
        <v>150</v>
      </c>
      <c r="AN112" t="s">
        <v>162</v>
      </c>
      <c r="AO112" t="s">
        <v>150</v>
      </c>
      <c r="AP112" t="s">
        <v>237</v>
      </c>
      <c r="AQ112" t="s">
        <v>131</v>
      </c>
      <c r="AR112" t="s">
        <v>302</v>
      </c>
      <c r="AT112" t="s">
        <v>1080</v>
      </c>
      <c r="AU112" t="s">
        <v>1081</v>
      </c>
      <c r="AV112" t="s">
        <v>230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123</v>
      </c>
      <c r="EP112" t="s">
        <v>178</v>
      </c>
      <c r="EQ112" t="s">
        <v>132</v>
      </c>
      <c r="ER112" t="s">
        <v>1082</v>
      </c>
      <c r="ES112" t="s">
        <v>151</v>
      </c>
      <c r="ET112" t="s">
        <v>151</v>
      </c>
      <c r="EU112" t="s">
        <v>151</v>
      </c>
      <c r="EV112" t="s">
        <v>178</v>
      </c>
      <c r="EX112" t="s">
        <v>1083</v>
      </c>
      <c r="EY112" t="s">
        <v>173</v>
      </c>
      <c r="FO112" s="1" t="s">
        <v>123</v>
      </c>
      <c r="FP112" t="s">
        <v>132</v>
      </c>
      <c r="FR112" t="s">
        <v>132</v>
      </c>
      <c r="GW112" t="s">
        <v>1084</v>
      </c>
      <c r="GX112" t="s">
        <v>1085</v>
      </c>
      <c r="GY112" t="s">
        <v>1086</v>
      </c>
      <c r="GZ112" t="s">
        <v>140</v>
      </c>
      <c r="HA112">
        <v>1982</v>
      </c>
      <c r="HB112" t="s">
        <v>141</v>
      </c>
    </row>
    <row r="113" spans="1:213" x14ac:dyDescent="0.45">
      <c r="A113">
        <v>128</v>
      </c>
      <c r="B113">
        <f>_xlfn.IFNA(VLOOKUP(Analiza[[#This Row],[Zakończono wypełnianie]],Zakończone[],2,0),"BRAK")</f>
        <v>77</v>
      </c>
      <c r="C113">
        <f t="shared" si="3"/>
        <v>43</v>
      </c>
      <c r="D113" t="s">
        <v>1200</v>
      </c>
      <c r="E113" t="s">
        <v>118</v>
      </c>
      <c r="J113" t="s">
        <v>119</v>
      </c>
      <c r="K113" t="s">
        <v>1201</v>
      </c>
      <c r="L113" t="s">
        <v>1202</v>
      </c>
      <c r="M113">
        <v>658</v>
      </c>
      <c r="N113">
        <v>0</v>
      </c>
      <c r="O113" t="s">
        <v>122</v>
      </c>
      <c r="P113" s="1" t="s">
        <v>123</v>
      </c>
      <c r="AF113" s="1" t="s">
        <v>123</v>
      </c>
      <c r="AX113" s="1" t="s">
        <v>123</v>
      </c>
      <c r="CR113" s="1" t="s">
        <v>123</v>
      </c>
      <c r="DB113" s="1" t="s">
        <v>214</v>
      </c>
      <c r="DC113" t="s">
        <v>191</v>
      </c>
      <c r="DD113" t="s">
        <v>308</v>
      </c>
      <c r="DE113" t="s">
        <v>162</v>
      </c>
      <c r="DF113" t="s">
        <v>162</v>
      </c>
      <c r="DG113" t="s">
        <v>150</v>
      </c>
      <c r="DH113" t="s">
        <v>150</v>
      </c>
      <c r="DI113" t="s">
        <v>150</v>
      </c>
      <c r="DJ113" t="s">
        <v>169</v>
      </c>
      <c r="DK113" t="s">
        <v>1203</v>
      </c>
      <c r="DL113" s="1" t="s">
        <v>123</v>
      </c>
      <c r="EO113" s="1" t="s">
        <v>177</v>
      </c>
      <c r="EP113" t="s">
        <v>178</v>
      </c>
      <c r="EQ113">
        <v>2</v>
      </c>
      <c r="ER113" t="s">
        <v>191</v>
      </c>
      <c r="ES113" t="s">
        <v>169</v>
      </c>
      <c r="ET113" t="s">
        <v>169</v>
      </c>
      <c r="EU113" t="s">
        <v>169</v>
      </c>
      <c r="EV113" t="s">
        <v>178</v>
      </c>
      <c r="EW113" t="s">
        <v>1204</v>
      </c>
      <c r="EX113" t="s">
        <v>1205</v>
      </c>
      <c r="EY113" t="s">
        <v>1206</v>
      </c>
      <c r="EZ113" t="s">
        <v>223</v>
      </c>
      <c r="FA113" t="s">
        <v>128</v>
      </c>
      <c r="FB113" t="s">
        <v>236</v>
      </c>
      <c r="FC113" t="s">
        <v>129</v>
      </c>
      <c r="FD113" t="s">
        <v>178</v>
      </c>
      <c r="FE113" t="s">
        <v>960</v>
      </c>
      <c r="FF113" t="s">
        <v>1207</v>
      </c>
      <c r="FG113" t="s">
        <v>173</v>
      </c>
      <c r="FO113" s="1" t="s">
        <v>123</v>
      </c>
      <c r="GW113" t="s">
        <v>1208</v>
      </c>
      <c r="GX113" t="s">
        <v>1209</v>
      </c>
      <c r="GY113" t="s">
        <v>1210</v>
      </c>
      <c r="GZ113" t="s">
        <v>186</v>
      </c>
      <c r="HA113">
        <v>1987</v>
      </c>
      <c r="HB113" t="s">
        <v>141</v>
      </c>
      <c r="HD113" t="s">
        <v>191</v>
      </c>
    </row>
    <row r="114" spans="1:213" x14ac:dyDescent="0.45">
      <c r="A114">
        <v>127</v>
      </c>
      <c r="B114">
        <f>_xlfn.IFNA(VLOOKUP(Analiza[[#This Row],[Zakończono wypełnianie]],Zakończone[],2,0),"BRAK")</f>
        <v>76</v>
      </c>
      <c r="C114">
        <f t="shared" si="3"/>
        <v>42</v>
      </c>
      <c r="D114" t="s">
        <v>1192</v>
      </c>
      <c r="E114" t="s">
        <v>118</v>
      </c>
      <c r="J114" t="s">
        <v>119</v>
      </c>
      <c r="K114" t="s">
        <v>1193</v>
      </c>
      <c r="L114" t="s">
        <v>1194</v>
      </c>
      <c r="M114">
        <v>1676</v>
      </c>
      <c r="N114">
        <v>0</v>
      </c>
      <c r="O114" t="s">
        <v>122</v>
      </c>
      <c r="P114" s="1" t="s">
        <v>123</v>
      </c>
      <c r="AF114" s="1" t="s">
        <v>124</v>
      </c>
      <c r="AG114" t="s">
        <v>223</v>
      </c>
      <c r="AH114">
        <v>1998</v>
      </c>
      <c r="AI114" t="s">
        <v>148</v>
      </c>
      <c r="AJ114" t="s">
        <v>1195</v>
      </c>
      <c r="AK114" t="s">
        <v>162</v>
      </c>
      <c r="AL114" t="s">
        <v>151</v>
      </c>
      <c r="AM114" t="s">
        <v>151</v>
      </c>
      <c r="AN114" t="s">
        <v>236</v>
      </c>
      <c r="AO114" t="s">
        <v>151</v>
      </c>
      <c r="AP114">
        <v>0</v>
      </c>
      <c r="AQ114" t="s">
        <v>131</v>
      </c>
      <c r="AR114" t="s">
        <v>302</v>
      </c>
      <c r="AS114" t="s">
        <v>1196</v>
      </c>
      <c r="AT114" t="s">
        <v>1196</v>
      </c>
      <c r="AU114" t="s">
        <v>1197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177</v>
      </c>
      <c r="EP114" t="s">
        <v>180</v>
      </c>
      <c r="EQ114" t="s">
        <v>132</v>
      </c>
      <c r="ER114" t="s">
        <v>132</v>
      </c>
      <c r="ES114" t="s">
        <v>151</v>
      </c>
      <c r="ET114" t="s">
        <v>151</v>
      </c>
      <c r="EU114" t="s">
        <v>151</v>
      </c>
      <c r="EV114" t="s">
        <v>178</v>
      </c>
      <c r="EW114" t="s">
        <v>132</v>
      </c>
      <c r="EX114" t="s">
        <v>132</v>
      </c>
      <c r="EY114" t="s">
        <v>173</v>
      </c>
      <c r="FO114" s="1" t="s">
        <v>123</v>
      </c>
      <c r="GW114" t="s">
        <v>1198</v>
      </c>
      <c r="GX114" t="s">
        <v>1199</v>
      </c>
      <c r="GY114" t="s">
        <v>1198</v>
      </c>
      <c r="GZ114" t="s">
        <v>186</v>
      </c>
      <c r="HA114">
        <v>1974</v>
      </c>
      <c r="HB114" t="s">
        <v>141</v>
      </c>
      <c r="HC114" t="s">
        <v>313</v>
      </c>
    </row>
    <row r="115" spans="1:213" x14ac:dyDescent="0.45">
      <c r="A115">
        <v>131</v>
      </c>
      <c r="B115">
        <f>_xlfn.IFNA(VLOOKUP(Analiza[[#This Row],[Zakończono wypełnianie]],Zakończone[],2,0),"BRAK")</f>
        <v>80</v>
      </c>
      <c r="C115">
        <f t="shared" si="3"/>
        <v>35</v>
      </c>
      <c r="D115" t="s">
        <v>1238</v>
      </c>
      <c r="E115" t="s">
        <v>118</v>
      </c>
      <c r="J115" t="s">
        <v>119</v>
      </c>
      <c r="K115" t="s">
        <v>1239</v>
      </c>
      <c r="L115" t="s">
        <v>1240</v>
      </c>
      <c r="M115">
        <v>356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223</v>
      </c>
      <c r="AH115">
        <v>1997</v>
      </c>
      <c r="AI115" t="s">
        <v>148</v>
      </c>
      <c r="AJ115" t="s">
        <v>161</v>
      </c>
      <c r="AK115" t="s">
        <v>128</v>
      </c>
      <c r="AL115" t="s">
        <v>128</v>
      </c>
      <c r="AM115" t="s">
        <v>162</v>
      </c>
      <c r="AN115" t="s">
        <v>162</v>
      </c>
      <c r="AO115" t="s">
        <v>162</v>
      </c>
      <c r="AP115">
        <v>1</v>
      </c>
      <c r="AQ115" t="s">
        <v>131</v>
      </c>
      <c r="AR115" t="s">
        <v>131</v>
      </c>
      <c r="AS115" t="s">
        <v>1241</v>
      </c>
      <c r="AT115" t="s">
        <v>1242</v>
      </c>
      <c r="AU115" t="s">
        <v>1243</v>
      </c>
      <c r="AV115" t="s">
        <v>157</v>
      </c>
      <c r="AW115" t="s">
        <v>1244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EP115" t="s">
        <v>178</v>
      </c>
      <c r="EQ115" t="s">
        <v>132</v>
      </c>
      <c r="FO115" s="1" t="s">
        <v>123</v>
      </c>
      <c r="GW115" t="s">
        <v>1245</v>
      </c>
      <c r="GX115" t="s">
        <v>1246</v>
      </c>
      <c r="GY115" t="s">
        <v>1247</v>
      </c>
      <c r="GZ115" t="s">
        <v>186</v>
      </c>
      <c r="HA115">
        <v>1974</v>
      </c>
      <c r="HB115" t="s">
        <v>398</v>
      </c>
      <c r="HD115" t="s">
        <v>1248</v>
      </c>
    </row>
    <row r="116" spans="1:213" x14ac:dyDescent="0.45">
      <c r="A116">
        <v>133</v>
      </c>
      <c r="B116">
        <f>_xlfn.IFNA(VLOOKUP(Analiza[[#This Row],[Zakończono wypełnianie]],Zakończone[],2,0),"BRAK")</f>
        <v>81</v>
      </c>
      <c r="C116">
        <f t="shared" si="3"/>
        <v>41</v>
      </c>
      <c r="D116" t="s">
        <v>1251</v>
      </c>
      <c r="E116" t="s">
        <v>118</v>
      </c>
      <c r="J116" t="s">
        <v>119</v>
      </c>
      <c r="K116" t="s">
        <v>1252</v>
      </c>
      <c r="L116" t="s">
        <v>1253</v>
      </c>
      <c r="M116">
        <v>367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223</v>
      </c>
      <c r="AH116">
        <v>2006</v>
      </c>
      <c r="AI116" t="s">
        <v>148</v>
      </c>
      <c r="AJ116" t="s">
        <v>1050</v>
      </c>
      <c r="AK116" t="s">
        <v>162</v>
      </c>
      <c r="AL116" t="s">
        <v>162</v>
      </c>
      <c r="AM116" t="s">
        <v>169</v>
      </c>
      <c r="AN116" t="s">
        <v>236</v>
      </c>
      <c r="AO116" t="s">
        <v>151</v>
      </c>
      <c r="AP116">
        <v>3</v>
      </c>
      <c r="AQ116" t="s">
        <v>131</v>
      </c>
      <c r="AR116" t="s">
        <v>302</v>
      </c>
      <c r="AS116" t="s">
        <v>1254</v>
      </c>
      <c r="AT116" t="s">
        <v>1255</v>
      </c>
      <c r="AU116" t="s">
        <v>1256</v>
      </c>
      <c r="AV116" t="s">
        <v>157</v>
      </c>
      <c r="AW116" t="s">
        <v>1257</v>
      </c>
      <c r="AX116" s="1" t="s">
        <v>123</v>
      </c>
      <c r="CR116" s="1" t="s">
        <v>123</v>
      </c>
      <c r="DB116" s="1" t="s">
        <v>214</v>
      </c>
      <c r="DC116" t="s">
        <v>191</v>
      </c>
      <c r="DD116" t="s">
        <v>308</v>
      </c>
      <c r="DE116" t="s">
        <v>169</v>
      </c>
      <c r="DF116" t="s">
        <v>150</v>
      </c>
      <c r="DG116" t="s">
        <v>150</v>
      </c>
      <c r="DH116" t="s">
        <v>169</v>
      </c>
      <c r="DI116" t="s">
        <v>162</v>
      </c>
      <c r="DJ116" t="s">
        <v>162</v>
      </c>
      <c r="DK116" t="s">
        <v>1258</v>
      </c>
      <c r="DL116" s="1" t="s">
        <v>123</v>
      </c>
      <c r="EO116" s="1" t="s">
        <v>123</v>
      </c>
      <c r="FO116" s="1" t="s">
        <v>123</v>
      </c>
      <c r="GW116" t="s">
        <v>1259</v>
      </c>
      <c r="GX116" t="s">
        <v>1260</v>
      </c>
      <c r="GY116" t="s">
        <v>1261</v>
      </c>
      <c r="GZ116" t="s">
        <v>186</v>
      </c>
      <c r="HA116">
        <v>1982</v>
      </c>
      <c r="HB116" t="s">
        <v>141</v>
      </c>
    </row>
    <row r="117" spans="1:213" x14ac:dyDescent="0.45">
      <c r="A117">
        <v>151</v>
      </c>
      <c r="B117" t="str">
        <f>_xlfn.IFNA(VLOOKUP(Analiza[[#This Row],[Zakończono wypełnianie]],Zakończone[],2,0),"BRAK")</f>
        <v>BRAK</v>
      </c>
      <c r="C117">
        <f t="shared" si="3"/>
        <v>25</v>
      </c>
      <c r="D117" t="s">
        <v>1142</v>
      </c>
      <c r="E117" t="s">
        <v>118</v>
      </c>
      <c r="J117" t="s">
        <v>286</v>
      </c>
      <c r="K117" t="s">
        <v>1370</v>
      </c>
      <c r="L117" t="s">
        <v>1370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>
        <v>2017</v>
      </c>
      <c r="AI117" t="s">
        <v>148</v>
      </c>
      <c r="AJ117" t="s">
        <v>1371</v>
      </c>
      <c r="AK117" t="s">
        <v>128</v>
      </c>
      <c r="AL117" t="s">
        <v>151</v>
      </c>
      <c r="AM117" t="s">
        <v>162</v>
      </c>
      <c r="AN117" t="s">
        <v>162</v>
      </c>
      <c r="AO117" t="s">
        <v>128</v>
      </c>
      <c r="AP117" t="s">
        <v>237</v>
      </c>
      <c r="AQ117" t="s">
        <v>302</v>
      </c>
      <c r="AR117" t="s">
        <v>302</v>
      </c>
      <c r="AS117" t="s">
        <v>1372</v>
      </c>
      <c r="AT117" t="s">
        <v>1373</v>
      </c>
      <c r="AU117" t="s">
        <v>1374</v>
      </c>
      <c r="AV117" t="s">
        <v>157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3" x14ac:dyDescent="0.45">
      <c r="A118">
        <v>153</v>
      </c>
      <c r="B118">
        <f>_xlfn.IFNA(VLOOKUP(Analiza[[#This Row],[Zakończono wypełnianie]],Zakończone[],2,0),"BRAK")</f>
        <v>88</v>
      </c>
      <c r="C118">
        <f t="shared" si="3"/>
        <v>33</v>
      </c>
      <c r="D118" t="s">
        <v>1352</v>
      </c>
      <c r="E118" t="s">
        <v>118</v>
      </c>
      <c r="J118" t="s">
        <v>119</v>
      </c>
      <c r="K118" t="s">
        <v>1376</v>
      </c>
      <c r="L118" t="s">
        <v>1377</v>
      </c>
      <c r="M118">
        <v>352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>
        <v>2000</v>
      </c>
      <c r="AI118" t="s">
        <v>148</v>
      </c>
      <c r="AJ118" t="s">
        <v>161</v>
      </c>
      <c r="AK118" t="s">
        <v>162</v>
      </c>
      <c r="AL118" t="s">
        <v>162</v>
      </c>
      <c r="AM118" t="s">
        <v>150</v>
      </c>
      <c r="AN118" t="s">
        <v>129</v>
      </c>
      <c r="AO118" t="s">
        <v>128</v>
      </c>
      <c r="AP118">
        <v>5</v>
      </c>
      <c r="AQ118" t="s">
        <v>302</v>
      </c>
      <c r="AR118" t="s">
        <v>302</v>
      </c>
      <c r="AS118" t="s">
        <v>1378</v>
      </c>
      <c r="AT118" t="s">
        <v>1379</v>
      </c>
      <c r="AU118" t="s">
        <v>1380</v>
      </c>
      <c r="AV118" t="s">
        <v>172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1381</v>
      </c>
      <c r="GX118" t="s">
        <v>1382</v>
      </c>
      <c r="GY118" t="s">
        <v>1383</v>
      </c>
      <c r="GZ118" t="s">
        <v>140</v>
      </c>
      <c r="HA118">
        <v>1982</v>
      </c>
      <c r="HB118" t="s">
        <v>246</v>
      </c>
      <c r="HD118" t="s">
        <v>386</v>
      </c>
      <c r="HE118" t="s">
        <v>386</v>
      </c>
    </row>
    <row r="119" spans="1:213" x14ac:dyDescent="0.45">
      <c r="A119">
        <v>165</v>
      </c>
      <c r="B119">
        <f>_xlfn.IFNA(VLOOKUP(Analiza[[#This Row],[Zakończono wypełnianie]],Zakończone[],2,0),"BRAK")</f>
        <v>95</v>
      </c>
      <c r="C119">
        <f t="shared" si="3"/>
        <v>33</v>
      </c>
      <c r="D119" t="s">
        <v>1352</v>
      </c>
      <c r="E119" t="s">
        <v>118</v>
      </c>
      <c r="J119" t="s">
        <v>119</v>
      </c>
      <c r="K119" t="s">
        <v>1450</v>
      </c>
      <c r="L119" t="s">
        <v>1451</v>
      </c>
      <c r="M119">
        <v>402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>
        <v>2008</v>
      </c>
      <c r="AI119" t="s">
        <v>148</v>
      </c>
      <c r="AJ119" t="s">
        <v>1452</v>
      </c>
      <c r="AK119" t="s">
        <v>128</v>
      </c>
      <c r="AL119" t="s">
        <v>236</v>
      </c>
      <c r="AM119" t="s">
        <v>129</v>
      </c>
      <c r="AN119" t="s">
        <v>129</v>
      </c>
      <c r="AO119" t="s">
        <v>128</v>
      </c>
      <c r="AP119" t="s">
        <v>237</v>
      </c>
      <c r="AQ119" t="s">
        <v>131</v>
      </c>
      <c r="AR119" t="s">
        <v>131</v>
      </c>
      <c r="AS119" t="s">
        <v>1453</v>
      </c>
      <c r="AT119" t="s">
        <v>1454</v>
      </c>
      <c r="AU119" t="s">
        <v>1005</v>
      </c>
      <c r="AV119" t="s">
        <v>157</v>
      </c>
      <c r="AX119" s="1" t="s">
        <v>123</v>
      </c>
      <c r="CR119" s="1" t="s">
        <v>123</v>
      </c>
      <c r="DB119" s="1" t="s">
        <v>123</v>
      </c>
      <c r="DL119" s="1" t="s">
        <v>123</v>
      </c>
      <c r="EO119" s="1" t="s">
        <v>123</v>
      </c>
      <c r="FO119" s="1" t="s">
        <v>123</v>
      </c>
      <c r="GW119" t="s">
        <v>1455</v>
      </c>
      <c r="GX119" t="s">
        <v>1456</v>
      </c>
      <c r="GY119" t="s">
        <v>1457</v>
      </c>
      <c r="GZ119" t="s">
        <v>140</v>
      </c>
      <c r="HA119">
        <v>1984</v>
      </c>
      <c r="HB119" t="s">
        <v>220</v>
      </c>
      <c r="HD119" t="s">
        <v>386</v>
      </c>
      <c r="HE119" t="s">
        <v>386</v>
      </c>
    </row>
    <row r="120" spans="1:213" x14ac:dyDescent="0.45">
      <c r="A120">
        <v>171</v>
      </c>
      <c r="B120">
        <f>_xlfn.IFNA(VLOOKUP(Analiza[[#This Row],[Zakończono wypełnianie]],Zakończone[],2,0),"BRAK")</f>
        <v>98</v>
      </c>
      <c r="C120">
        <f t="shared" si="3"/>
        <v>30</v>
      </c>
      <c r="D120" t="s">
        <v>1336</v>
      </c>
      <c r="E120" t="s">
        <v>118</v>
      </c>
      <c r="J120" t="s">
        <v>119</v>
      </c>
      <c r="K120" t="s">
        <v>1481</v>
      </c>
      <c r="L120" t="s">
        <v>1482</v>
      </c>
      <c r="M120">
        <v>562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2014</v>
      </c>
      <c r="AI120" t="s">
        <v>148</v>
      </c>
      <c r="AJ120" t="s">
        <v>1483</v>
      </c>
      <c r="AK120" t="s">
        <v>151</v>
      </c>
      <c r="AL120" t="s">
        <v>128</v>
      </c>
      <c r="AM120" t="s">
        <v>128</v>
      </c>
      <c r="AN120" t="s">
        <v>151</v>
      </c>
      <c r="AO120" t="s">
        <v>162</v>
      </c>
      <c r="AP120" t="s">
        <v>1484</v>
      </c>
      <c r="AQ120" t="s">
        <v>153</v>
      </c>
      <c r="AR120" t="s">
        <v>153</v>
      </c>
      <c r="AT120" t="s">
        <v>1485</v>
      </c>
      <c r="AU120" t="s">
        <v>1486</v>
      </c>
      <c r="AV120" t="s">
        <v>172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FO120" s="1" t="s">
        <v>123</v>
      </c>
      <c r="GW120" t="s">
        <v>1487</v>
      </c>
      <c r="GX120" t="s">
        <v>1488</v>
      </c>
      <c r="GY120" t="s">
        <v>1489</v>
      </c>
      <c r="GZ120" t="s">
        <v>140</v>
      </c>
      <c r="HA120">
        <v>1991</v>
      </c>
      <c r="HB120" t="s">
        <v>141</v>
      </c>
    </row>
    <row r="121" spans="1:213" x14ac:dyDescent="0.45">
      <c r="A121">
        <v>175</v>
      </c>
      <c r="B121">
        <f>_xlfn.IFNA(VLOOKUP(Analiza[[#This Row],[Zakończono wypełnianie]],Zakończone[],2,0),"BRAK")</f>
        <v>99</v>
      </c>
      <c r="C121">
        <f t="shared" si="3"/>
        <v>31</v>
      </c>
      <c r="D121" t="s">
        <v>1131</v>
      </c>
      <c r="E121" t="s">
        <v>118</v>
      </c>
      <c r="J121" t="s">
        <v>119</v>
      </c>
      <c r="K121" t="s">
        <v>1493</v>
      </c>
      <c r="L121" t="s">
        <v>1494</v>
      </c>
      <c r="M121">
        <v>2185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>
        <v>2005</v>
      </c>
      <c r="AI121" t="s">
        <v>148</v>
      </c>
      <c r="AJ121" t="s">
        <v>1495</v>
      </c>
      <c r="AK121" t="s">
        <v>150</v>
      </c>
      <c r="AL121" t="s">
        <v>169</v>
      </c>
      <c r="AM121" t="s">
        <v>169</v>
      </c>
      <c r="AN121" t="s">
        <v>169</v>
      </c>
      <c r="AO121" t="s">
        <v>150</v>
      </c>
      <c r="AP121" t="s">
        <v>237</v>
      </c>
      <c r="AQ121" t="s">
        <v>131</v>
      </c>
      <c r="AR121" t="s">
        <v>302</v>
      </c>
      <c r="AT121" t="s">
        <v>1496</v>
      </c>
      <c r="AU121" t="s">
        <v>386</v>
      </c>
      <c r="AV121" t="s">
        <v>230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EP121" t="s">
        <v>178</v>
      </c>
      <c r="FO121" s="1" t="s">
        <v>123</v>
      </c>
      <c r="GW121" t="s">
        <v>1497</v>
      </c>
      <c r="GX121" t="s">
        <v>1497</v>
      </c>
      <c r="GY121" t="s">
        <v>1497</v>
      </c>
      <c r="GZ121" t="s">
        <v>186</v>
      </c>
      <c r="HA121">
        <v>1981</v>
      </c>
      <c r="HB121" t="s">
        <v>246</v>
      </c>
    </row>
    <row r="122" spans="1:213" x14ac:dyDescent="0.45">
      <c r="A122">
        <v>189</v>
      </c>
      <c r="B122">
        <f>_xlfn.IFNA(VLOOKUP(Analiza[[#This Row],[Zakończono wypełnianie]],Zakończone[],2,0),"BRAK")</f>
        <v>108</v>
      </c>
      <c r="C122">
        <f t="shared" si="3"/>
        <v>34</v>
      </c>
      <c r="D122" t="s">
        <v>1352</v>
      </c>
      <c r="E122" t="s">
        <v>118</v>
      </c>
      <c r="J122" t="s">
        <v>119</v>
      </c>
      <c r="K122" t="s">
        <v>1608</v>
      </c>
      <c r="L122" t="s">
        <v>1609</v>
      </c>
      <c r="M122">
        <v>4906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>
        <v>2009</v>
      </c>
      <c r="AI122" t="s">
        <v>148</v>
      </c>
      <c r="AJ122" t="s">
        <v>554</v>
      </c>
      <c r="AK122" t="s">
        <v>162</v>
      </c>
      <c r="AL122" t="s">
        <v>162</v>
      </c>
      <c r="AM122" t="s">
        <v>162</v>
      </c>
      <c r="AN122" t="s">
        <v>162</v>
      </c>
      <c r="AO122" t="s">
        <v>162</v>
      </c>
      <c r="AP122" t="s">
        <v>1610</v>
      </c>
      <c r="AQ122" t="s">
        <v>302</v>
      </c>
      <c r="AR122" t="s">
        <v>153</v>
      </c>
      <c r="AT122" t="s">
        <v>1611</v>
      </c>
      <c r="AU122" t="s">
        <v>1612</v>
      </c>
      <c r="AW122" t="s">
        <v>1613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EP122" t="s">
        <v>180</v>
      </c>
      <c r="EQ122" t="s">
        <v>132</v>
      </c>
      <c r="FO122" s="1" t="s">
        <v>123</v>
      </c>
      <c r="GW122" t="s">
        <v>1614</v>
      </c>
      <c r="GX122" t="s">
        <v>1247</v>
      </c>
      <c r="GY122" t="s">
        <v>1247</v>
      </c>
      <c r="GZ122" t="s">
        <v>140</v>
      </c>
      <c r="HA122">
        <v>1983</v>
      </c>
      <c r="HB122" t="s">
        <v>220</v>
      </c>
      <c r="HD122" t="s">
        <v>1615</v>
      </c>
      <c r="HE122" t="s">
        <v>1615</v>
      </c>
    </row>
    <row r="123" spans="1:213" x14ac:dyDescent="0.45">
      <c r="A123">
        <v>217</v>
      </c>
      <c r="B123">
        <f>_xlfn.IFNA(VLOOKUP(Analiza[[#This Row],[Zakończono wypełnianie]],Zakończone[],2,0),"BRAK")</f>
        <v>119</v>
      </c>
      <c r="C123">
        <f t="shared" si="3"/>
        <v>32</v>
      </c>
      <c r="D123" t="s">
        <v>1780</v>
      </c>
      <c r="E123" t="s">
        <v>118</v>
      </c>
      <c r="F123" t="s">
        <v>1781</v>
      </c>
      <c r="J123" t="s">
        <v>119</v>
      </c>
      <c r="K123" t="s">
        <v>1782</v>
      </c>
      <c r="L123" t="s">
        <v>1783</v>
      </c>
      <c r="M123">
        <v>968</v>
      </c>
      <c r="N123">
        <v>0</v>
      </c>
      <c r="O123" t="s">
        <v>122</v>
      </c>
      <c r="P123" s="1" t="s">
        <v>123</v>
      </c>
      <c r="AF123" s="1" t="s">
        <v>124</v>
      </c>
      <c r="AG123" t="s">
        <v>223</v>
      </c>
      <c r="AH123">
        <v>2011</v>
      </c>
      <c r="AI123" t="s">
        <v>148</v>
      </c>
      <c r="AJ123" t="s">
        <v>1784</v>
      </c>
      <c r="AK123" t="s">
        <v>150</v>
      </c>
      <c r="AL123" t="s">
        <v>162</v>
      </c>
      <c r="AM123" t="s">
        <v>169</v>
      </c>
      <c r="AN123" t="s">
        <v>150</v>
      </c>
      <c r="AO123" t="s">
        <v>150</v>
      </c>
      <c r="AP123">
        <v>2</v>
      </c>
      <c r="AQ123" t="s">
        <v>302</v>
      </c>
      <c r="AR123" t="s">
        <v>153</v>
      </c>
      <c r="AS123" t="s">
        <v>1785</v>
      </c>
      <c r="AT123" t="s">
        <v>1786</v>
      </c>
      <c r="AU123" t="s">
        <v>1787</v>
      </c>
      <c r="AV123" t="s">
        <v>157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FO123" s="1" t="s">
        <v>123</v>
      </c>
      <c r="GW123" t="s">
        <v>1788</v>
      </c>
      <c r="GX123" t="s">
        <v>1789</v>
      </c>
      <c r="GY123" t="s">
        <v>1790</v>
      </c>
      <c r="GZ123" t="s">
        <v>140</v>
      </c>
      <c r="HA123">
        <v>1986</v>
      </c>
      <c r="HB123" t="s">
        <v>398</v>
      </c>
      <c r="HD123" t="s">
        <v>1791</v>
      </c>
    </row>
    <row r="124" spans="1:213" x14ac:dyDescent="0.45">
      <c r="A124">
        <v>220</v>
      </c>
      <c r="B124">
        <f>_xlfn.IFNA(VLOOKUP(Analiza[[#This Row],[Zakończono wypełnianie]],Zakończone[],2,0),"BRAK")</f>
        <v>121</v>
      </c>
      <c r="C124">
        <f t="shared" si="3"/>
        <v>34</v>
      </c>
      <c r="D124" t="s">
        <v>1336</v>
      </c>
      <c r="E124" t="s">
        <v>118</v>
      </c>
      <c r="J124" t="s">
        <v>119</v>
      </c>
      <c r="K124" t="s">
        <v>1808</v>
      </c>
      <c r="L124" t="s">
        <v>1809</v>
      </c>
      <c r="M124">
        <v>2379</v>
      </c>
      <c r="N124">
        <v>0</v>
      </c>
      <c r="O124" t="s">
        <v>122</v>
      </c>
      <c r="P124" s="1" t="s">
        <v>123</v>
      </c>
      <c r="AF124" s="1" t="s">
        <v>124</v>
      </c>
      <c r="AG124" t="s">
        <v>223</v>
      </c>
      <c r="AH124">
        <v>2012</v>
      </c>
      <c r="AI124" t="s">
        <v>148</v>
      </c>
      <c r="AJ124" t="s">
        <v>1810</v>
      </c>
      <c r="AK124" t="s">
        <v>150</v>
      </c>
      <c r="AL124" t="s">
        <v>162</v>
      </c>
      <c r="AM124" t="s">
        <v>150</v>
      </c>
      <c r="AN124" t="s">
        <v>162</v>
      </c>
      <c r="AO124" t="s">
        <v>150</v>
      </c>
      <c r="AP124" t="s">
        <v>237</v>
      </c>
      <c r="AQ124" t="s">
        <v>132</v>
      </c>
      <c r="AR124" t="s">
        <v>132</v>
      </c>
      <c r="AS124" t="s">
        <v>1811</v>
      </c>
      <c r="AT124" t="s">
        <v>1812</v>
      </c>
      <c r="AU124" t="s">
        <v>1813</v>
      </c>
      <c r="AV124" t="s">
        <v>230</v>
      </c>
      <c r="AW124" t="s">
        <v>1814</v>
      </c>
      <c r="AX124" s="1" t="s">
        <v>123</v>
      </c>
      <c r="CR124" s="1" t="s">
        <v>123</v>
      </c>
      <c r="DB124" s="1" t="s">
        <v>123</v>
      </c>
      <c r="DL124" s="1" t="s">
        <v>123</v>
      </c>
      <c r="EO124" s="1" t="s">
        <v>123</v>
      </c>
      <c r="FO124" s="1" t="s">
        <v>123</v>
      </c>
      <c r="GW124" t="s">
        <v>1815</v>
      </c>
      <c r="GX124" t="s">
        <v>1816</v>
      </c>
      <c r="GY124" t="s">
        <v>1817</v>
      </c>
      <c r="GZ124" t="s">
        <v>140</v>
      </c>
      <c r="HA124">
        <v>1986</v>
      </c>
      <c r="HB124" t="s">
        <v>246</v>
      </c>
      <c r="HD124" t="s">
        <v>1818</v>
      </c>
      <c r="HE124" t="s">
        <v>1819</v>
      </c>
    </row>
    <row r="125" spans="1:213" x14ac:dyDescent="0.45">
      <c r="A125">
        <v>223</v>
      </c>
      <c r="B125">
        <f>_xlfn.IFNA(VLOOKUP(Analiza[[#This Row],[Zakończono wypełnianie]],Zakończone[],2,0),"BRAK")</f>
        <v>122</v>
      </c>
      <c r="C125">
        <f t="shared" si="3"/>
        <v>41</v>
      </c>
      <c r="D125" t="s">
        <v>1827</v>
      </c>
      <c r="E125" t="s">
        <v>118</v>
      </c>
      <c r="J125" t="s">
        <v>119</v>
      </c>
      <c r="K125" t="s">
        <v>1828</v>
      </c>
      <c r="L125" t="s">
        <v>1829</v>
      </c>
      <c r="M125">
        <v>673</v>
      </c>
      <c r="N125">
        <v>0</v>
      </c>
      <c r="O125" t="s">
        <v>122</v>
      </c>
      <c r="P125" s="1" t="s">
        <v>123</v>
      </c>
      <c r="AF125" s="1" t="s">
        <v>124</v>
      </c>
      <c r="AG125" t="s">
        <v>223</v>
      </c>
      <c r="AH125">
        <v>2005</v>
      </c>
      <c r="AI125" t="s">
        <v>148</v>
      </c>
      <c r="AJ125" t="s">
        <v>1831</v>
      </c>
      <c r="AK125" t="s">
        <v>162</v>
      </c>
      <c r="AL125" t="s">
        <v>169</v>
      </c>
      <c r="AM125" t="s">
        <v>169</v>
      </c>
      <c r="AN125" t="s">
        <v>128</v>
      </c>
      <c r="AO125" t="s">
        <v>162</v>
      </c>
      <c r="AP125" t="s">
        <v>237</v>
      </c>
      <c r="AQ125" t="s">
        <v>302</v>
      </c>
      <c r="AR125" t="s">
        <v>153</v>
      </c>
      <c r="AS125" t="s">
        <v>1832</v>
      </c>
      <c r="AT125" t="s">
        <v>1833</v>
      </c>
      <c r="AU125" t="s">
        <v>1834</v>
      </c>
      <c r="AW125" t="s">
        <v>158</v>
      </c>
      <c r="AX125" s="1" t="s">
        <v>123</v>
      </c>
      <c r="CR125" s="1" t="s">
        <v>123</v>
      </c>
      <c r="DB125" s="1" t="s">
        <v>214</v>
      </c>
      <c r="DC125" t="s">
        <v>191</v>
      </c>
      <c r="DD125" t="s">
        <v>2277</v>
      </c>
      <c r="DE125" t="s">
        <v>150</v>
      </c>
      <c r="DF125" t="s">
        <v>150</v>
      </c>
      <c r="DG125" t="s">
        <v>151</v>
      </c>
      <c r="DH125" t="s">
        <v>150</v>
      </c>
      <c r="DI125" t="s">
        <v>169</v>
      </c>
      <c r="DJ125" t="s">
        <v>169</v>
      </c>
      <c r="DK125" t="s">
        <v>1836</v>
      </c>
      <c r="DL125" s="1" t="s">
        <v>123</v>
      </c>
      <c r="EO125" s="1" t="s">
        <v>123</v>
      </c>
      <c r="FO125" s="1" t="s">
        <v>123</v>
      </c>
      <c r="GW125" t="s">
        <v>1837</v>
      </c>
      <c r="GX125" t="s">
        <v>1838</v>
      </c>
      <c r="GY125" t="s">
        <v>1839</v>
      </c>
      <c r="GZ125" t="s">
        <v>140</v>
      </c>
      <c r="HA125">
        <v>1981</v>
      </c>
      <c r="HB125" t="s">
        <v>141</v>
      </c>
      <c r="HD125" t="s">
        <v>1840</v>
      </c>
    </row>
    <row r="126" spans="1:213" x14ac:dyDescent="0.45">
      <c r="A126">
        <v>227</v>
      </c>
      <c r="B126">
        <f>_xlfn.IFNA(VLOOKUP(Analiza[[#This Row],[Zakończono wypełnianie]],Zakończone[],2,0),"BRAK")</f>
        <v>123</v>
      </c>
      <c r="C126">
        <f t="shared" si="3"/>
        <v>33</v>
      </c>
      <c r="D126" t="s">
        <v>1845</v>
      </c>
      <c r="E126" t="s">
        <v>118</v>
      </c>
      <c r="J126" t="s">
        <v>119</v>
      </c>
      <c r="K126" t="s">
        <v>1846</v>
      </c>
      <c r="L126" t="s">
        <v>1847</v>
      </c>
      <c r="M126">
        <v>790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2018</v>
      </c>
      <c r="AI126" t="s">
        <v>148</v>
      </c>
      <c r="AJ126" t="s">
        <v>461</v>
      </c>
      <c r="AK126" t="s">
        <v>162</v>
      </c>
      <c r="AL126" t="s">
        <v>162</v>
      </c>
      <c r="AM126" t="s">
        <v>150</v>
      </c>
      <c r="AN126" t="s">
        <v>169</v>
      </c>
      <c r="AO126" t="s">
        <v>132</v>
      </c>
      <c r="AP126" t="s">
        <v>1848</v>
      </c>
      <c r="AQ126" t="s">
        <v>302</v>
      </c>
      <c r="AR126" t="s">
        <v>132</v>
      </c>
      <c r="AS126" t="s">
        <v>1849</v>
      </c>
      <c r="AT126" t="s">
        <v>1850</v>
      </c>
      <c r="AU126" t="s">
        <v>1851</v>
      </c>
      <c r="AV126" t="s">
        <v>157</v>
      </c>
      <c r="AX126" s="1" t="s">
        <v>123</v>
      </c>
      <c r="CR126" s="1" t="s">
        <v>123</v>
      </c>
      <c r="DB126" s="1" t="s">
        <v>123</v>
      </c>
      <c r="DL126" s="1" t="s">
        <v>123</v>
      </c>
      <c r="EO126" s="1" t="s">
        <v>123</v>
      </c>
      <c r="FO126" s="1" t="s">
        <v>123</v>
      </c>
      <c r="GW126" t="s">
        <v>1852</v>
      </c>
      <c r="GX126" t="s">
        <v>1853</v>
      </c>
      <c r="GY126" t="s">
        <v>1854</v>
      </c>
      <c r="GZ126" t="s">
        <v>140</v>
      </c>
      <c r="HA126">
        <v>1994</v>
      </c>
      <c r="HB126" t="s">
        <v>141</v>
      </c>
      <c r="HC126" t="s">
        <v>1855</v>
      </c>
      <c r="HD126" t="s">
        <v>1856</v>
      </c>
    </row>
    <row r="127" spans="1:213" x14ac:dyDescent="0.45">
      <c r="A127">
        <v>219</v>
      </c>
      <c r="B127" t="str">
        <f>_xlfn.IFNA(VLOOKUP(Analiza[[#This Row],[Zakończono wypełnianie]],Zakończone[],2,0),"BRAK")</f>
        <v>BRAK</v>
      </c>
      <c r="C127">
        <f t="shared" si="3"/>
        <v>20</v>
      </c>
      <c r="D127" t="s">
        <v>1802</v>
      </c>
      <c r="E127" t="s">
        <v>118</v>
      </c>
      <c r="F127" t="s">
        <v>359</v>
      </c>
      <c r="J127" t="s">
        <v>286</v>
      </c>
      <c r="K127" t="s">
        <v>1803</v>
      </c>
      <c r="L127" t="s">
        <v>1803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191</v>
      </c>
      <c r="AH127">
        <v>2016</v>
      </c>
      <c r="AI127" t="s">
        <v>126</v>
      </c>
      <c r="AJ127" t="s">
        <v>1795</v>
      </c>
      <c r="AK127" t="s">
        <v>236</v>
      </c>
      <c r="AL127" t="s">
        <v>236</v>
      </c>
      <c r="AM127" t="s">
        <v>151</v>
      </c>
      <c r="AN127" t="s">
        <v>129</v>
      </c>
      <c r="AO127" t="s">
        <v>132</v>
      </c>
      <c r="AP127" t="s">
        <v>1804</v>
      </c>
      <c r="AQ127" t="s">
        <v>131</v>
      </c>
      <c r="AR127" t="s">
        <v>132</v>
      </c>
      <c r="AS127" t="s">
        <v>1805</v>
      </c>
      <c r="AT127" t="s">
        <v>1806</v>
      </c>
      <c r="AU127" t="s">
        <v>1807</v>
      </c>
      <c r="AV127" t="s">
        <v>157</v>
      </c>
      <c r="AX127" s="1" t="s">
        <v>123</v>
      </c>
      <c r="CR127" s="1"/>
      <c r="DB127" s="1"/>
      <c r="DL127" s="1"/>
      <c r="EO127" s="1"/>
      <c r="FO127" s="1"/>
    </row>
    <row r="128" spans="1:213" x14ac:dyDescent="0.45">
      <c r="A128">
        <v>240</v>
      </c>
      <c r="B128" t="str">
        <f>_xlfn.IFNA(VLOOKUP(Analiza[[#This Row],[Zakończono wypełnianie]],Zakończone[],2,0),"BRAK")</f>
        <v>BRAK</v>
      </c>
      <c r="C128">
        <f t="shared" si="3"/>
        <v>20</v>
      </c>
      <c r="D128" t="s">
        <v>1943</v>
      </c>
      <c r="E128" t="s">
        <v>118</v>
      </c>
      <c r="J128" t="s">
        <v>286</v>
      </c>
      <c r="K128" t="s">
        <v>1944</v>
      </c>
      <c r="L128" t="s">
        <v>1944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191</v>
      </c>
      <c r="AH128">
        <v>1967</v>
      </c>
      <c r="AI128" t="s">
        <v>126</v>
      </c>
      <c r="AJ128" t="s">
        <v>1945</v>
      </c>
      <c r="AK128" t="s">
        <v>150</v>
      </c>
      <c r="AL128" t="s">
        <v>150</v>
      </c>
      <c r="AM128" t="s">
        <v>132</v>
      </c>
      <c r="AN128" t="s">
        <v>150</v>
      </c>
      <c r="AO128" t="s">
        <v>150</v>
      </c>
      <c r="AP128">
        <v>1</v>
      </c>
      <c r="AQ128" t="s">
        <v>302</v>
      </c>
      <c r="AR128" t="s">
        <v>153</v>
      </c>
      <c r="AS128" t="s">
        <v>1946</v>
      </c>
      <c r="AT128" t="s">
        <v>1947</v>
      </c>
      <c r="AU128" t="s">
        <v>1948</v>
      </c>
      <c r="AV128" t="s">
        <v>157</v>
      </c>
      <c r="AX128" s="1" t="s">
        <v>123</v>
      </c>
      <c r="CR128" s="1"/>
      <c r="DB128" s="1"/>
      <c r="DL128" s="1"/>
      <c r="EO128" s="1"/>
      <c r="FO128" s="1"/>
    </row>
    <row r="129" spans="1:213" x14ac:dyDescent="0.45">
      <c r="A129">
        <v>206</v>
      </c>
      <c r="B129" t="str">
        <f>_xlfn.IFNA(VLOOKUP(Analiza[[#This Row],[Zakończono wypełnianie]],Zakończone[],2,0),"BRAK")</f>
        <v>BRAK</v>
      </c>
      <c r="C129">
        <f t="shared" si="3"/>
        <v>30</v>
      </c>
      <c r="D129" t="s">
        <v>1722</v>
      </c>
      <c r="E129" t="s">
        <v>118</v>
      </c>
      <c r="F129" t="s">
        <v>1647</v>
      </c>
      <c r="J129" t="s">
        <v>286</v>
      </c>
      <c r="K129" t="s">
        <v>1723</v>
      </c>
      <c r="L129" t="s">
        <v>1723</v>
      </c>
      <c r="M129">
        <v>0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1724</v>
      </c>
      <c r="AH129">
        <v>2005</v>
      </c>
      <c r="AI129" t="s">
        <v>148</v>
      </c>
      <c r="AJ129" t="s">
        <v>1725</v>
      </c>
      <c r="AK129" t="s">
        <v>150</v>
      </c>
      <c r="AL129" t="s">
        <v>162</v>
      </c>
      <c r="AM129" t="s">
        <v>162</v>
      </c>
      <c r="AN129" t="s">
        <v>162</v>
      </c>
      <c r="AO129" t="s">
        <v>162</v>
      </c>
      <c r="AP129">
        <v>2</v>
      </c>
      <c r="AQ129" t="s">
        <v>131</v>
      </c>
      <c r="AR129" t="s">
        <v>302</v>
      </c>
      <c r="AS129" t="s">
        <v>1726</v>
      </c>
      <c r="AT129" t="s">
        <v>1727</v>
      </c>
      <c r="AU129" t="s">
        <v>1728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Z129" t="s">
        <v>140</v>
      </c>
      <c r="HA129">
        <v>1981</v>
      </c>
      <c r="HB129" t="s">
        <v>483</v>
      </c>
      <c r="HD129" t="s">
        <v>142</v>
      </c>
      <c r="HE129" t="s">
        <v>180</v>
      </c>
    </row>
    <row r="130" spans="1:213" x14ac:dyDescent="0.45">
      <c r="A130">
        <v>243</v>
      </c>
      <c r="B130">
        <f>_xlfn.IFNA(VLOOKUP(Analiza[[#This Row],[Zakończono wypełnianie]],Zakończone[],2,0),"BRAK")</f>
        <v>130</v>
      </c>
      <c r="C130">
        <f t="shared" si="3"/>
        <v>33</v>
      </c>
      <c r="D130" t="s">
        <v>1951</v>
      </c>
      <c r="E130" t="s">
        <v>118</v>
      </c>
      <c r="J130" t="s">
        <v>119</v>
      </c>
      <c r="K130" t="s">
        <v>1952</v>
      </c>
      <c r="L130" t="s">
        <v>1953</v>
      </c>
      <c r="M130">
        <v>942</v>
      </c>
      <c r="N130">
        <v>0</v>
      </c>
      <c r="O130" t="s">
        <v>122</v>
      </c>
      <c r="P130" s="1" t="s">
        <v>123</v>
      </c>
      <c r="AF130" s="1" t="s">
        <v>124</v>
      </c>
      <c r="AG130" t="s">
        <v>223</v>
      </c>
      <c r="AH130">
        <v>2012</v>
      </c>
      <c r="AI130" t="s">
        <v>148</v>
      </c>
      <c r="AJ130" t="s">
        <v>161</v>
      </c>
      <c r="AK130" t="s">
        <v>128</v>
      </c>
      <c r="AL130" t="s">
        <v>162</v>
      </c>
      <c r="AM130" t="s">
        <v>128</v>
      </c>
      <c r="AN130" t="s">
        <v>128</v>
      </c>
      <c r="AO130" t="s">
        <v>236</v>
      </c>
      <c r="AP130" t="s">
        <v>530</v>
      </c>
      <c r="AQ130" t="s">
        <v>302</v>
      </c>
      <c r="AR130" t="s">
        <v>131</v>
      </c>
      <c r="AS130" t="s">
        <v>1955</v>
      </c>
      <c r="AT130" t="s">
        <v>1956</v>
      </c>
      <c r="AU130" t="s">
        <v>1957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W130" t="s">
        <v>1958</v>
      </c>
      <c r="GX130" t="s">
        <v>1959</v>
      </c>
      <c r="GY130" t="s">
        <v>1960</v>
      </c>
      <c r="GZ130" t="s">
        <v>140</v>
      </c>
      <c r="HA130">
        <v>1986</v>
      </c>
      <c r="HB130" t="s">
        <v>1630</v>
      </c>
      <c r="HD130" t="s">
        <v>1961</v>
      </c>
      <c r="HE130" t="s">
        <v>142</v>
      </c>
    </row>
    <row r="131" spans="1:213" x14ac:dyDescent="0.45">
      <c r="A131">
        <v>34</v>
      </c>
      <c r="B131">
        <f>_xlfn.IFNA(VLOOKUP(Analiza[[#This Row],[Zakończono wypełnianie]],Zakończone[],2,0),"BRAK")</f>
        <v>24</v>
      </c>
      <c r="C131">
        <f t="shared" ref="C131:C159" si="4">COUNTA(O131:HF131)</f>
        <v>36</v>
      </c>
      <c r="D131" t="s">
        <v>484</v>
      </c>
      <c r="E131" t="s">
        <v>118</v>
      </c>
      <c r="F131" t="s">
        <v>359</v>
      </c>
      <c r="J131" t="s">
        <v>119</v>
      </c>
      <c r="K131" t="s">
        <v>485</v>
      </c>
      <c r="L131" t="s">
        <v>486</v>
      </c>
      <c r="M131">
        <v>709</v>
      </c>
      <c r="N131">
        <v>0</v>
      </c>
      <c r="O131" t="s">
        <v>122</v>
      </c>
      <c r="P131" s="1" t="s">
        <v>123</v>
      </c>
      <c r="AF131" s="1" t="s">
        <v>124</v>
      </c>
      <c r="AG131" t="s">
        <v>445</v>
      </c>
      <c r="AH131">
        <v>2018</v>
      </c>
      <c r="AI131" t="s">
        <v>148</v>
      </c>
      <c r="AJ131" t="s">
        <v>487</v>
      </c>
      <c r="AK131" t="s">
        <v>162</v>
      </c>
      <c r="AL131" t="s">
        <v>162</v>
      </c>
      <c r="AM131" t="s">
        <v>151</v>
      </c>
      <c r="AN131" t="s">
        <v>129</v>
      </c>
      <c r="AO131" t="s">
        <v>151</v>
      </c>
      <c r="AP131">
        <v>2</v>
      </c>
      <c r="AQ131" t="s">
        <v>131</v>
      </c>
      <c r="AR131" t="s">
        <v>153</v>
      </c>
      <c r="AS131" t="s">
        <v>488</v>
      </c>
      <c r="AT131" t="s">
        <v>489</v>
      </c>
      <c r="AU131" t="s">
        <v>490</v>
      </c>
      <c r="AV131" t="s">
        <v>157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EP131" t="s">
        <v>180</v>
      </c>
      <c r="FO131" s="1" t="s">
        <v>123</v>
      </c>
      <c r="FP131" t="s">
        <v>132</v>
      </c>
      <c r="FR131" t="s">
        <v>132</v>
      </c>
      <c r="GW131" t="s">
        <v>491</v>
      </c>
      <c r="GX131" t="s">
        <v>492</v>
      </c>
      <c r="GY131" t="s">
        <v>493</v>
      </c>
      <c r="GZ131" t="s">
        <v>186</v>
      </c>
      <c r="HA131">
        <v>1994</v>
      </c>
      <c r="HB131" t="s">
        <v>483</v>
      </c>
      <c r="HD131" t="s">
        <v>494</v>
      </c>
      <c r="HE131" t="s">
        <v>495</v>
      </c>
    </row>
    <row r="132" spans="1:213" x14ac:dyDescent="0.45">
      <c r="A132">
        <v>154</v>
      </c>
      <c r="B132">
        <f>_xlfn.IFNA(VLOOKUP(Analiza[[#This Row],[Zakończono wypełnianie]],Zakończone[],2,0),"BRAK")</f>
        <v>89</v>
      </c>
      <c r="C132">
        <f t="shared" si="4"/>
        <v>17</v>
      </c>
      <c r="D132" t="s">
        <v>1142</v>
      </c>
      <c r="E132" t="s">
        <v>118</v>
      </c>
      <c r="J132" t="s">
        <v>119</v>
      </c>
      <c r="K132" t="s">
        <v>1384</v>
      </c>
      <c r="L132" t="s">
        <v>1385</v>
      </c>
      <c r="M132">
        <v>167</v>
      </c>
      <c r="N132">
        <v>0</v>
      </c>
      <c r="O132" t="s">
        <v>122</v>
      </c>
      <c r="P132" s="1" t="s">
        <v>123</v>
      </c>
      <c r="AF132" s="1" t="s">
        <v>123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1386</v>
      </c>
      <c r="GX132" t="s">
        <v>1387</v>
      </c>
      <c r="GY132" t="s">
        <v>1388</v>
      </c>
      <c r="GZ132" t="s">
        <v>186</v>
      </c>
      <c r="HA132">
        <v>1987</v>
      </c>
      <c r="HB132" t="s">
        <v>141</v>
      </c>
      <c r="HD132" t="s">
        <v>532</v>
      </c>
      <c r="HE132" t="s">
        <v>1389</v>
      </c>
    </row>
    <row r="133" spans="1:213" x14ac:dyDescent="0.45">
      <c r="A133">
        <v>155</v>
      </c>
      <c r="B133" t="str">
        <f>_xlfn.IFNA(VLOOKUP(Analiza[[#This Row],[Zakończono wypełnianie]],Zakończone[],2,0),"BRAK")</f>
        <v>BRAK</v>
      </c>
      <c r="C133">
        <f t="shared" si="4"/>
        <v>9</v>
      </c>
      <c r="D133" t="s">
        <v>1131</v>
      </c>
      <c r="E133" t="s">
        <v>118</v>
      </c>
      <c r="J133" t="s">
        <v>286</v>
      </c>
      <c r="K133" t="s">
        <v>1390</v>
      </c>
      <c r="L133" t="s">
        <v>1390</v>
      </c>
      <c r="M133">
        <v>0</v>
      </c>
      <c r="N133">
        <v>0</v>
      </c>
      <c r="O133" t="s">
        <v>122</v>
      </c>
      <c r="P133" s="1" t="s">
        <v>123</v>
      </c>
      <c r="AF133" s="1" t="s">
        <v>123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</row>
    <row r="134" spans="1:213" x14ac:dyDescent="0.45">
      <c r="A134">
        <v>37</v>
      </c>
      <c r="B134">
        <f>_xlfn.IFNA(VLOOKUP(Analiza[[#This Row],[Zakończono wypełnianie]],Zakończone[],2,0),"BRAK")</f>
        <v>25</v>
      </c>
      <c r="C134">
        <f t="shared" si="4"/>
        <v>37</v>
      </c>
      <c r="D134" t="s">
        <v>500</v>
      </c>
      <c r="E134" t="s">
        <v>118</v>
      </c>
      <c r="F134" t="s">
        <v>375</v>
      </c>
      <c r="J134" t="s">
        <v>119</v>
      </c>
      <c r="K134" t="s">
        <v>499</v>
      </c>
      <c r="L134" t="s">
        <v>501</v>
      </c>
      <c r="M134">
        <v>394</v>
      </c>
      <c r="N134">
        <v>0</v>
      </c>
      <c r="O134" t="s">
        <v>122</v>
      </c>
      <c r="P134" s="1" t="s">
        <v>123</v>
      </c>
      <c r="AF134" s="1" t="s">
        <v>124</v>
      </c>
      <c r="AG134" t="s">
        <v>445</v>
      </c>
      <c r="AH134">
        <v>2019</v>
      </c>
      <c r="AI134" t="s">
        <v>148</v>
      </c>
      <c r="AJ134" t="s">
        <v>502</v>
      </c>
      <c r="AK134" t="s">
        <v>162</v>
      </c>
      <c r="AL134" t="s">
        <v>162</v>
      </c>
      <c r="AM134" t="s">
        <v>162</v>
      </c>
      <c r="AN134" t="s">
        <v>150</v>
      </c>
      <c r="AO134" t="s">
        <v>132</v>
      </c>
      <c r="AP134">
        <v>0</v>
      </c>
      <c r="AQ134" t="s">
        <v>153</v>
      </c>
      <c r="AR134" t="s">
        <v>132</v>
      </c>
      <c r="AS134" t="s">
        <v>503</v>
      </c>
      <c r="AT134" t="s">
        <v>504</v>
      </c>
      <c r="AU134" t="s">
        <v>505</v>
      </c>
      <c r="AV134" t="s">
        <v>157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EP134" t="s">
        <v>180</v>
      </c>
      <c r="EQ134" t="s">
        <v>132</v>
      </c>
      <c r="FO134" s="1" t="s">
        <v>123</v>
      </c>
      <c r="FP134" t="s">
        <v>132</v>
      </c>
      <c r="FR134" t="s">
        <v>132</v>
      </c>
      <c r="GW134" t="s">
        <v>506</v>
      </c>
      <c r="GX134" t="s">
        <v>507</v>
      </c>
      <c r="GY134" t="s">
        <v>508</v>
      </c>
      <c r="GZ134" t="s">
        <v>140</v>
      </c>
      <c r="HA134">
        <v>1994</v>
      </c>
      <c r="HB134" t="s">
        <v>220</v>
      </c>
      <c r="HD134" t="s">
        <v>509</v>
      </c>
      <c r="HE134" t="s">
        <v>510</v>
      </c>
    </row>
    <row r="135" spans="1:213" x14ac:dyDescent="0.45">
      <c r="A135">
        <v>38</v>
      </c>
      <c r="B135">
        <f>_xlfn.IFNA(VLOOKUP(Analiza[[#This Row],[Zakończono wypełnianie]],Zakończone[],2,0),"BRAK")</f>
        <v>26</v>
      </c>
      <c r="C135">
        <f t="shared" si="4"/>
        <v>44</v>
      </c>
      <c r="D135" t="s">
        <v>511</v>
      </c>
      <c r="E135" t="s">
        <v>118</v>
      </c>
      <c r="F135" t="s">
        <v>375</v>
      </c>
      <c r="J135" t="s">
        <v>119</v>
      </c>
      <c r="K135" t="s">
        <v>512</v>
      </c>
      <c r="L135" t="s">
        <v>513</v>
      </c>
      <c r="M135">
        <v>424</v>
      </c>
      <c r="N135">
        <v>0</v>
      </c>
      <c r="O135" t="s">
        <v>122</v>
      </c>
      <c r="P135" s="1" t="s">
        <v>123</v>
      </c>
      <c r="AF135" s="1" t="s">
        <v>124</v>
      </c>
      <c r="AG135" t="s">
        <v>445</v>
      </c>
      <c r="AH135">
        <v>2018</v>
      </c>
      <c r="AI135" t="s">
        <v>148</v>
      </c>
      <c r="AJ135" t="s">
        <v>514</v>
      </c>
      <c r="AK135" t="s">
        <v>150</v>
      </c>
      <c r="AL135" t="s">
        <v>169</v>
      </c>
      <c r="AM135" t="s">
        <v>169</v>
      </c>
      <c r="AN135" t="s">
        <v>150</v>
      </c>
      <c r="AO135" t="s">
        <v>132</v>
      </c>
      <c r="AP135" t="s">
        <v>515</v>
      </c>
      <c r="AQ135" t="s">
        <v>302</v>
      </c>
      <c r="AR135" t="s">
        <v>132</v>
      </c>
      <c r="AS135" t="s">
        <v>516</v>
      </c>
      <c r="AT135" t="s">
        <v>517</v>
      </c>
      <c r="AU135" t="s">
        <v>142</v>
      </c>
      <c r="AV135" t="s">
        <v>157</v>
      </c>
      <c r="AX135" s="1" t="s">
        <v>123</v>
      </c>
      <c r="CR135" s="1" t="s">
        <v>123</v>
      </c>
      <c r="DB135" s="1" t="s">
        <v>214</v>
      </c>
      <c r="DC135" t="s">
        <v>445</v>
      </c>
      <c r="DD135" t="s">
        <v>518</v>
      </c>
      <c r="DE135" t="s">
        <v>169</v>
      </c>
      <c r="DF135" t="s">
        <v>150</v>
      </c>
      <c r="DG135" t="s">
        <v>162</v>
      </c>
      <c r="DH135" t="s">
        <v>150</v>
      </c>
      <c r="DI135" t="s">
        <v>150</v>
      </c>
      <c r="DJ135" t="s">
        <v>151</v>
      </c>
      <c r="DL135" s="1" t="s">
        <v>123</v>
      </c>
      <c r="EO135" s="1" t="s">
        <v>123</v>
      </c>
      <c r="EP135" t="s">
        <v>180</v>
      </c>
      <c r="EQ135" t="s">
        <v>132</v>
      </c>
      <c r="FO135" s="1" t="s">
        <v>123</v>
      </c>
      <c r="FP135" t="s">
        <v>132</v>
      </c>
      <c r="FR135" t="s">
        <v>132</v>
      </c>
      <c r="GW135" t="s">
        <v>519</v>
      </c>
      <c r="GX135" t="s">
        <v>520</v>
      </c>
      <c r="GY135" t="s">
        <v>142</v>
      </c>
      <c r="GZ135" t="s">
        <v>186</v>
      </c>
      <c r="HA135">
        <v>1994</v>
      </c>
      <c r="HB135" t="s">
        <v>141</v>
      </c>
      <c r="HE135" t="s">
        <v>521</v>
      </c>
    </row>
    <row r="136" spans="1:213" x14ac:dyDescent="0.45">
      <c r="A136">
        <v>200</v>
      </c>
      <c r="B136" t="str">
        <f>_xlfn.IFNA(VLOOKUP(Analiza[[#This Row],[Zakończono wypełnianie]],Zakończone[],2,0),"BRAK")</f>
        <v>BRAK</v>
      </c>
      <c r="C136">
        <f t="shared" si="4"/>
        <v>21</v>
      </c>
      <c r="D136" t="s">
        <v>1684</v>
      </c>
      <c r="E136" t="s">
        <v>118</v>
      </c>
      <c r="F136" t="s">
        <v>1647</v>
      </c>
      <c r="J136" t="s">
        <v>286</v>
      </c>
      <c r="K136" t="s">
        <v>1685</v>
      </c>
      <c r="L136" t="s">
        <v>1685</v>
      </c>
      <c r="M136">
        <v>0</v>
      </c>
      <c r="N136">
        <v>0</v>
      </c>
      <c r="O136" t="s">
        <v>122</v>
      </c>
      <c r="P136" s="1" t="s">
        <v>123</v>
      </c>
      <c r="AF136" s="1" t="s">
        <v>124</v>
      </c>
      <c r="AG136" t="s">
        <v>223</v>
      </c>
      <c r="AH136">
        <v>2000</v>
      </c>
      <c r="AI136" t="s">
        <v>148</v>
      </c>
      <c r="AJ136" t="s">
        <v>1687</v>
      </c>
      <c r="AK136" t="s">
        <v>151</v>
      </c>
      <c r="AL136" t="s">
        <v>151</v>
      </c>
      <c r="AM136" t="s">
        <v>162</v>
      </c>
      <c r="AN136" t="s">
        <v>129</v>
      </c>
      <c r="AO136" t="s">
        <v>129</v>
      </c>
      <c r="AP136" t="s">
        <v>1688</v>
      </c>
      <c r="AQ136" t="s">
        <v>302</v>
      </c>
      <c r="AR136" t="s">
        <v>153</v>
      </c>
      <c r="AS136" t="s">
        <v>1689</v>
      </c>
      <c r="AT136" t="s">
        <v>1690</v>
      </c>
      <c r="AU136" t="s">
        <v>1691</v>
      </c>
      <c r="AV136" t="s">
        <v>157</v>
      </c>
      <c r="AX136" s="1" t="s">
        <v>123</v>
      </c>
      <c r="CR136" s="1" t="s">
        <v>123</v>
      </c>
      <c r="DB136" s="1"/>
      <c r="DL136" s="1"/>
      <c r="EO136" s="1"/>
      <c r="FO136" s="1"/>
    </row>
    <row r="137" spans="1:213" x14ac:dyDescent="0.45">
      <c r="A137">
        <v>60</v>
      </c>
      <c r="B137">
        <f>_xlfn.IFNA(VLOOKUP(Analiza[[#This Row],[Zakończono wypełnianie]],Zakończone[],2,0),"BRAK")</f>
        <v>35</v>
      </c>
      <c r="C137">
        <f t="shared" si="4"/>
        <v>40</v>
      </c>
      <c r="D137" t="s">
        <v>656</v>
      </c>
      <c r="E137" t="s">
        <v>118</v>
      </c>
      <c r="F137" t="s">
        <v>359</v>
      </c>
      <c r="J137" t="s">
        <v>119</v>
      </c>
      <c r="K137" t="s">
        <v>657</v>
      </c>
      <c r="L137" t="s">
        <v>658</v>
      </c>
      <c r="M137">
        <v>770</v>
      </c>
      <c r="N137">
        <v>0</v>
      </c>
      <c r="O137" t="s">
        <v>122</v>
      </c>
      <c r="P137" s="1" t="s">
        <v>123</v>
      </c>
      <c r="AF137" s="1" t="s">
        <v>124</v>
      </c>
      <c r="AG137" t="s">
        <v>445</v>
      </c>
      <c r="AH137" t="s">
        <v>659</v>
      </c>
      <c r="AI137" t="s">
        <v>148</v>
      </c>
      <c r="AJ137" t="s">
        <v>660</v>
      </c>
      <c r="AK137" t="s">
        <v>169</v>
      </c>
      <c r="AL137" t="s">
        <v>169</v>
      </c>
      <c r="AM137" t="s">
        <v>169</v>
      </c>
      <c r="AN137" t="s">
        <v>150</v>
      </c>
      <c r="AO137" t="s">
        <v>132</v>
      </c>
      <c r="AP137" t="s">
        <v>661</v>
      </c>
      <c r="AQ137" t="s">
        <v>302</v>
      </c>
      <c r="AR137" t="s">
        <v>132</v>
      </c>
      <c r="AT137" t="s">
        <v>662</v>
      </c>
      <c r="AU137" t="s">
        <v>663</v>
      </c>
      <c r="AV137" t="s">
        <v>157</v>
      </c>
      <c r="AW137" t="s">
        <v>664</v>
      </c>
      <c r="AX137" s="1" t="s">
        <v>123</v>
      </c>
      <c r="CR137" s="1" t="s">
        <v>123</v>
      </c>
      <c r="DB137" s="1" t="s">
        <v>214</v>
      </c>
      <c r="DC137" t="s">
        <v>445</v>
      </c>
      <c r="DD137" t="s">
        <v>518</v>
      </c>
      <c r="DE137" t="s">
        <v>169</v>
      </c>
      <c r="DF137" t="s">
        <v>169</v>
      </c>
      <c r="DG137" t="s">
        <v>169</v>
      </c>
      <c r="DH137" t="s">
        <v>169</v>
      </c>
      <c r="DI137" t="s">
        <v>169</v>
      </c>
      <c r="DJ137" t="s">
        <v>150</v>
      </c>
      <c r="DL137" s="1" t="s">
        <v>123</v>
      </c>
      <c r="EO137" s="1" t="s">
        <v>123</v>
      </c>
      <c r="FO137" s="1" t="s">
        <v>123</v>
      </c>
      <c r="FP137" t="s">
        <v>132</v>
      </c>
      <c r="GW137" t="s">
        <v>665</v>
      </c>
      <c r="GX137" t="s">
        <v>666</v>
      </c>
      <c r="GY137" t="s">
        <v>667</v>
      </c>
      <c r="GZ137" t="s">
        <v>140</v>
      </c>
      <c r="HA137">
        <v>1989</v>
      </c>
      <c r="HB137" t="s">
        <v>141</v>
      </c>
    </row>
    <row r="138" spans="1:213" x14ac:dyDescent="0.45">
      <c r="A138">
        <v>61</v>
      </c>
      <c r="B138">
        <f>_xlfn.IFNA(VLOOKUP(Analiza[[#This Row],[Zakończono wypełnianie]],Zakończone[],2,0),"BRAK")</f>
        <v>36</v>
      </c>
      <c r="C138">
        <f t="shared" si="4"/>
        <v>35</v>
      </c>
      <c r="D138" t="s">
        <v>668</v>
      </c>
      <c r="E138" t="s">
        <v>118</v>
      </c>
      <c r="F138" t="s">
        <v>359</v>
      </c>
      <c r="J138" t="s">
        <v>119</v>
      </c>
      <c r="K138" t="s">
        <v>669</v>
      </c>
      <c r="L138" t="s">
        <v>670</v>
      </c>
      <c r="M138">
        <v>463</v>
      </c>
      <c r="N138">
        <v>0</v>
      </c>
      <c r="O138" t="s">
        <v>122</v>
      </c>
      <c r="P138" s="1" t="s">
        <v>123</v>
      </c>
      <c r="AF138" s="1" t="s">
        <v>124</v>
      </c>
      <c r="AG138" t="s">
        <v>445</v>
      </c>
      <c r="AH138">
        <v>2019</v>
      </c>
      <c r="AI138" t="s">
        <v>148</v>
      </c>
      <c r="AJ138" t="s">
        <v>601</v>
      </c>
      <c r="AK138" t="s">
        <v>162</v>
      </c>
      <c r="AL138" t="s">
        <v>162</v>
      </c>
      <c r="AM138" t="s">
        <v>129</v>
      </c>
      <c r="AN138" t="s">
        <v>129</v>
      </c>
      <c r="AO138" t="s">
        <v>129</v>
      </c>
      <c r="AP138">
        <v>4</v>
      </c>
      <c r="AQ138" t="s">
        <v>152</v>
      </c>
      <c r="AR138" t="s">
        <v>131</v>
      </c>
      <c r="AS138" t="s">
        <v>671</v>
      </c>
      <c r="AT138" t="s">
        <v>672</v>
      </c>
      <c r="AU138" t="s">
        <v>673</v>
      </c>
      <c r="AV138" t="s">
        <v>157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EP138" t="s">
        <v>180</v>
      </c>
      <c r="EQ138" t="s">
        <v>132</v>
      </c>
      <c r="FO138" s="1" t="s">
        <v>123</v>
      </c>
      <c r="FP138" t="s">
        <v>132</v>
      </c>
      <c r="FR138" t="s">
        <v>132</v>
      </c>
      <c r="GW138" t="s">
        <v>674</v>
      </c>
      <c r="GX138" t="s">
        <v>675</v>
      </c>
      <c r="GY138" t="s">
        <v>676</v>
      </c>
      <c r="GZ138" t="s">
        <v>140</v>
      </c>
      <c r="HA138">
        <v>1994</v>
      </c>
      <c r="HB138" t="s">
        <v>483</v>
      </c>
    </row>
    <row r="139" spans="1:213" x14ac:dyDescent="0.45">
      <c r="A139">
        <v>66</v>
      </c>
      <c r="B139" t="str">
        <f>_xlfn.IFNA(VLOOKUP(Analiza[[#This Row],[Zakończono wypełnianie]],Zakończone[],2,0),"BRAK")</f>
        <v>BRAK</v>
      </c>
      <c r="C139">
        <f t="shared" si="4"/>
        <v>25</v>
      </c>
      <c r="D139" t="s">
        <v>694</v>
      </c>
      <c r="E139" t="s">
        <v>118</v>
      </c>
      <c r="F139" t="s">
        <v>359</v>
      </c>
      <c r="J139" t="s">
        <v>286</v>
      </c>
      <c r="K139" t="s">
        <v>695</v>
      </c>
      <c r="L139" t="s">
        <v>695</v>
      </c>
      <c r="M139">
        <v>0</v>
      </c>
      <c r="N139">
        <v>0</v>
      </c>
      <c r="O139" t="s">
        <v>122</v>
      </c>
      <c r="P139" s="1" t="s">
        <v>123</v>
      </c>
      <c r="AF139" s="1" t="s">
        <v>124</v>
      </c>
      <c r="AG139" t="s">
        <v>445</v>
      </c>
      <c r="AH139">
        <v>2018</v>
      </c>
      <c r="AI139" t="s">
        <v>148</v>
      </c>
      <c r="AJ139" t="s">
        <v>461</v>
      </c>
      <c r="AK139" t="s">
        <v>169</v>
      </c>
      <c r="AL139" t="s">
        <v>169</v>
      </c>
      <c r="AM139" t="s">
        <v>151</v>
      </c>
      <c r="AN139" t="s">
        <v>129</v>
      </c>
      <c r="AO139" t="s">
        <v>129</v>
      </c>
      <c r="AP139">
        <v>3</v>
      </c>
      <c r="AQ139" t="s">
        <v>131</v>
      </c>
      <c r="AR139" t="s">
        <v>302</v>
      </c>
      <c r="AT139" t="s">
        <v>696</v>
      </c>
      <c r="AU139" t="s">
        <v>697</v>
      </c>
      <c r="AV139" t="s">
        <v>157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177</v>
      </c>
      <c r="EP139" t="s">
        <v>180</v>
      </c>
      <c r="EQ139" t="s">
        <v>132</v>
      </c>
      <c r="FO139" s="1"/>
    </row>
    <row r="140" spans="1:213" x14ac:dyDescent="0.45">
      <c r="A140">
        <v>52</v>
      </c>
      <c r="B140">
        <f>_xlfn.IFNA(VLOOKUP(Analiza[[#This Row],[Zakończono wypełnianie]],Zakończone[],2,0),"BRAK")</f>
        <v>31</v>
      </c>
      <c r="C140">
        <f t="shared" si="4"/>
        <v>36</v>
      </c>
      <c r="D140" t="s">
        <v>598</v>
      </c>
      <c r="E140" t="s">
        <v>118</v>
      </c>
      <c r="F140" t="s">
        <v>359</v>
      </c>
      <c r="J140" t="s">
        <v>119</v>
      </c>
      <c r="K140" t="s">
        <v>599</v>
      </c>
      <c r="L140" t="s">
        <v>600</v>
      </c>
      <c r="M140">
        <v>61362</v>
      </c>
      <c r="N140">
        <v>0</v>
      </c>
      <c r="O140" t="s">
        <v>122</v>
      </c>
      <c r="P140" s="1" t="s">
        <v>123</v>
      </c>
      <c r="AF140" s="1" t="s">
        <v>124</v>
      </c>
      <c r="AG140" t="s">
        <v>445</v>
      </c>
      <c r="AH140">
        <v>2018</v>
      </c>
      <c r="AI140" t="s">
        <v>148</v>
      </c>
      <c r="AJ140" t="s">
        <v>601</v>
      </c>
      <c r="AK140" t="s">
        <v>150</v>
      </c>
      <c r="AL140" t="s">
        <v>162</v>
      </c>
      <c r="AM140" t="s">
        <v>128</v>
      </c>
      <c r="AN140" t="s">
        <v>129</v>
      </c>
      <c r="AO140" t="s">
        <v>132</v>
      </c>
      <c r="AP140" t="s">
        <v>602</v>
      </c>
      <c r="AQ140" t="s">
        <v>131</v>
      </c>
      <c r="AR140" t="s">
        <v>132</v>
      </c>
      <c r="AT140" t="s">
        <v>603</v>
      </c>
      <c r="AU140" t="s">
        <v>604</v>
      </c>
      <c r="AV140" t="s">
        <v>157</v>
      </c>
      <c r="AX140" s="1" t="s">
        <v>123</v>
      </c>
      <c r="CR140" s="1" t="s">
        <v>123</v>
      </c>
      <c r="DB140" s="1" t="s">
        <v>123</v>
      </c>
      <c r="DL140" s="1" t="s">
        <v>123</v>
      </c>
      <c r="EO140" s="1" t="s">
        <v>123</v>
      </c>
      <c r="EP140" t="s">
        <v>180</v>
      </c>
      <c r="EQ140" t="s">
        <v>132</v>
      </c>
      <c r="FO140" s="1" t="s">
        <v>123</v>
      </c>
      <c r="FP140" t="s">
        <v>132</v>
      </c>
      <c r="FR140" t="s">
        <v>132</v>
      </c>
      <c r="GW140" t="s">
        <v>605</v>
      </c>
      <c r="GX140" t="s">
        <v>606</v>
      </c>
      <c r="GY140" t="s">
        <v>607</v>
      </c>
      <c r="GZ140" t="s">
        <v>140</v>
      </c>
      <c r="HA140">
        <v>1994</v>
      </c>
      <c r="HB140" t="s">
        <v>483</v>
      </c>
      <c r="HD140" t="s">
        <v>608</v>
      </c>
      <c r="HE140" t="s">
        <v>609</v>
      </c>
    </row>
    <row r="141" spans="1:213" x14ac:dyDescent="0.45">
      <c r="A141">
        <v>63</v>
      </c>
      <c r="B141">
        <f>_xlfn.IFNA(VLOOKUP(Analiza[[#This Row],[Zakończono wypełnianie]],Zakończone[],2,0),"BRAK")</f>
        <v>37</v>
      </c>
      <c r="C141">
        <f t="shared" si="4"/>
        <v>37</v>
      </c>
      <c r="D141" t="s">
        <v>679</v>
      </c>
      <c r="E141" t="s">
        <v>118</v>
      </c>
      <c r="F141" t="s">
        <v>359</v>
      </c>
      <c r="J141" t="s">
        <v>119</v>
      </c>
      <c r="K141" t="s">
        <v>680</v>
      </c>
      <c r="L141" t="s">
        <v>681</v>
      </c>
      <c r="M141">
        <v>770</v>
      </c>
      <c r="N141">
        <v>0</v>
      </c>
      <c r="O141" t="s">
        <v>122</v>
      </c>
      <c r="P141" s="1" t="s">
        <v>123</v>
      </c>
      <c r="AF141" s="1" t="s">
        <v>124</v>
      </c>
      <c r="AG141" t="s">
        <v>682</v>
      </c>
      <c r="AH141">
        <v>2017</v>
      </c>
      <c r="AI141" t="s">
        <v>148</v>
      </c>
      <c r="AJ141" t="s">
        <v>601</v>
      </c>
      <c r="AK141" t="s">
        <v>169</v>
      </c>
      <c r="AL141" t="s">
        <v>169</v>
      </c>
      <c r="AM141" t="s">
        <v>150</v>
      </c>
      <c r="AN141" t="s">
        <v>236</v>
      </c>
      <c r="AO141" t="s">
        <v>169</v>
      </c>
      <c r="AP141" t="s">
        <v>683</v>
      </c>
      <c r="AQ141" t="s">
        <v>131</v>
      </c>
      <c r="AR141" t="s">
        <v>153</v>
      </c>
      <c r="AS141" t="s">
        <v>684</v>
      </c>
      <c r="AT141" t="s">
        <v>685</v>
      </c>
      <c r="AU141" t="s">
        <v>686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EP141" t="s">
        <v>180</v>
      </c>
      <c r="EQ141" t="s">
        <v>132</v>
      </c>
      <c r="FO141" s="1" t="s">
        <v>123</v>
      </c>
      <c r="FP141" t="s">
        <v>132</v>
      </c>
      <c r="FR141" t="s">
        <v>132</v>
      </c>
      <c r="GW141" t="s">
        <v>687</v>
      </c>
      <c r="GX141" t="s">
        <v>688</v>
      </c>
      <c r="GY141" t="s">
        <v>689</v>
      </c>
      <c r="GZ141" t="s">
        <v>140</v>
      </c>
      <c r="HA141">
        <v>1994</v>
      </c>
      <c r="HB141" t="s">
        <v>246</v>
      </c>
      <c r="HD141" t="s">
        <v>142</v>
      </c>
      <c r="HE141" t="s">
        <v>142</v>
      </c>
    </row>
    <row r="142" spans="1:213" x14ac:dyDescent="0.45">
      <c r="A142">
        <v>22</v>
      </c>
      <c r="B142">
        <f>_xlfn.IFNA(VLOOKUP(Analiza[[#This Row],[Zakończono wypełnianie]],Zakończone[],2,0),"BRAK")</f>
        <v>19</v>
      </c>
      <c r="C142">
        <f t="shared" si="4"/>
        <v>36</v>
      </c>
      <c r="D142" t="s">
        <v>399</v>
      </c>
      <c r="E142" t="s">
        <v>118</v>
      </c>
      <c r="F142" t="s">
        <v>400</v>
      </c>
      <c r="J142" t="s">
        <v>119</v>
      </c>
      <c r="K142" t="s">
        <v>401</v>
      </c>
      <c r="L142" t="s">
        <v>402</v>
      </c>
      <c r="M142">
        <v>1075</v>
      </c>
      <c r="N142">
        <v>0</v>
      </c>
      <c r="O142" t="s">
        <v>122</v>
      </c>
      <c r="P142" s="1" t="s">
        <v>123</v>
      </c>
      <c r="AF142" s="1" t="s">
        <v>124</v>
      </c>
      <c r="AG142" t="s">
        <v>2272</v>
      </c>
      <c r="AH142">
        <v>2010</v>
      </c>
      <c r="AI142" t="s">
        <v>148</v>
      </c>
      <c r="AJ142" t="s">
        <v>404</v>
      </c>
      <c r="AK142" t="s">
        <v>151</v>
      </c>
      <c r="AL142" t="s">
        <v>150</v>
      </c>
      <c r="AM142" t="s">
        <v>162</v>
      </c>
      <c r="AN142" t="s">
        <v>150</v>
      </c>
      <c r="AO142" t="s">
        <v>150</v>
      </c>
      <c r="AP142" t="s">
        <v>405</v>
      </c>
      <c r="AQ142" t="s">
        <v>131</v>
      </c>
      <c r="AR142" t="s">
        <v>302</v>
      </c>
      <c r="AS142" t="s">
        <v>406</v>
      </c>
      <c r="AT142" t="s">
        <v>407</v>
      </c>
      <c r="AU142" t="s">
        <v>408</v>
      </c>
      <c r="AV142" t="s">
        <v>230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EP142" t="s">
        <v>180</v>
      </c>
      <c r="EQ142" t="s">
        <v>132</v>
      </c>
      <c r="FO142" s="1" t="s">
        <v>123</v>
      </c>
      <c r="FP142" t="s">
        <v>132</v>
      </c>
      <c r="FR142" t="s">
        <v>132</v>
      </c>
      <c r="GW142" t="s">
        <v>409</v>
      </c>
      <c r="GX142" t="s">
        <v>410</v>
      </c>
      <c r="GY142" t="s">
        <v>411</v>
      </c>
      <c r="GZ142" t="s">
        <v>140</v>
      </c>
      <c r="HA142">
        <v>1985</v>
      </c>
      <c r="HB142" t="s">
        <v>398</v>
      </c>
      <c r="HD142" t="s">
        <v>412</v>
      </c>
    </row>
    <row r="143" spans="1:213" x14ac:dyDescent="0.45">
      <c r="A143">
        <v>46</v>
      </c>
      <c r="B143" t="str">
        <f>_xlfn.IFNA(VLOOKUP(Analiza[[#This Row],[Zakończono wypełnianie]],Zakończone[],2,0),"BRAK")</f>
        <v>BRAK</v>
      </c>
      <c r="C143">
        <f t="shared" si="4"/>
        <v>16</v>
      </c>
      <c r="D143" t="s">
        <v>562</v>
      </c>
      <c r="E143" t="s">
        <v>118</v>
      </c>
      <c r="F143" t="s">
        <v>359</v>
      </c>
      <c r="J143" t="s">
        <v>286</v>
      </c>
      <c r="K143" t="s">
        <v>563</v>
      </c>
      <c r="L143" t="s">
        <v>563</v>
      </c>
      <c r="M143">
        <v>0</v>
      </c>
      <c r="N143">
        <v>0</v>
      </c>
      <c r="O143" t="s">
        <v>122</v>
      </c>
      <c r="P143" s="1" t="s">
        <v>123</v>
      </c>
      <c r="AF143" s="1" t="s">
        <v>124</v>
      </c>
      <c r="AG143" t="s">
        <v>564</v>
      </c>
      <c r="AH143">
        <v>2010</v>
      </c>
      <c r="AI143" t="s">
        <v>148</v>
      </c>
      <c r="AJ143" t="s">
        <v>565</v>
      </c>
      <c r="AK143" t="s">
        <v>129</v>
      </c>
      <c r="AL143" t="s">
        <v>236</v>
      </c>
      <c r="AM143" t="s">
        <v>129</v>
      </c>
      <c r="AN143" t="s">
        <v>129</v>
      </c>
      <c r="AO143" t="s">
        <v>129</v>
      </c>
      <c r="AP143" t="s">
        <v>566</v>
      </c>
      <c r="AS143" t="s">
        <v>567</v>
      </c>
      <c r="AT143" t="s">
        <v>568</v>
      </c>
      <c r="AW143" t="s">
        <v>569</v>
      </c>
      <c r="AX143" s="1"/>
      <c r="CR143" s="1"/>
      <c r="DB143" s="1"/>
      <c r="DL143" s="1"/>
      <c r="EO143" s="1"/>
      <c r="FO143" s="1"/>
    </row>
    <row r="144" spans="1:213" x14ac:dyDescent="0.45">
      <c r="A144">
        <v>80</v>
      </c>
      <c r="B144">
        <f>_xlfn.IFNA(VLOOKUP(Analiza[[#This Row],[Zakończono wypełnianie]],Zakończone[],2,0),"BRAK")</f>
        <v>45</v>
      </c>
      <c r="C144">
        <f t="shared" si="4"/>
        <v>35</v>
      </c>
      <c r="D144" t="s">
        <v>370</v>
      </c>
      <c r="E144" t="s">
        <v>118</v>
      </c>
      <c r="F144" t="s">
        <v>774</v>
      </c>
      <c r="J144" t="s">
        <v>119</v>
      </c>
      <c r="K144" t="s">
        <v>811</v>
      </c>
      <c r="L144" t="s">
        <v>812</v>
      </c>
      <c r="M144">
        <v>1671</v>
      </c>
      <c r="N144">
        <v>0</v>
      </c>
      <c r="O144" t="s">
        <v>122</v>
      </c>
      <c r="P144" s="1" t="s">
        <v>123</v>
      </c>
      <c r="AF144" s="1" t="s">
        <v>124</v>
      </c>
      <c r="AG144" t="s">
        <v>813</v>
      </c>
      <c r="AH144">
        <v>1956</v>
      </c>
      <c r="AI144" t="s">
        <v>148</v>
      </c>
      <c r="AJ144" t="s">
        <v>601</v>
      </c>
      <c r="AK144" t="s">
        <v>162</v>
      </c>
      <c r="AL144" t="s">
        <v>162</v>
      </c>
      <c r="AM144" t="s">
        <v>150</v>
      </c>
      <c r="AN144" t="s">
        <v>236</v>
      </c>
      <c r="AO144" t="s">
        <v>236</v>
      </c>
      <c r="AP144" t="s">
        <v>814</v>
      </c>
      <c r="AQ144" t="s">
        <v>131</v>
      </c>
      <c r="AR144" t="s">
        <v>131</v>
      </c>
      <c r="AT144" t="s">
        <v>815</v>
      </c>
      <c r="AU144" t="s">
        <v>816</v>
      </c>
      <c r="AV144" t="s">
        <v>172</v>
      </c>
      <c r="AW144" t="s">
        <v>817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123</v>
      </c>
      <c r="EP144" t="s">
        <v>180</v>
      </c>
      <c r="EQ144" t="s">
        <v>132</v>
      </c>
      <c r="FO144" s="1" t="s">
        <v>123</v>
      </c>
      <c r="FP144" t="s">
        <v>132</v>
      </c>
      <c r="FR144" t="s">
        <v>132</v>
      </c>
      <c r="GW144" t="s">
        <v>818</v>
      </c>
      <c r="GX144" t="s">
        <v>819</v>
      </c>
      <c r="GY144" t="s">
        <v>820</v>
      </c>
      <c r="GZ144" t="s">
        <v>140</v>
      </c>
      <c r="HA144">
        <v>1933</v>
      </c>
      <c r="HB144" t="s">
        <v>220</v>
      </c>
    </row>
    <row r="145" spans="1:214" x14ac:dyDescent="0.45">
      <c r="A145">
        <v>81</v>
      </c>
      <c r="B145">
        <f>_xlfn.IFNA(VLOOKUP(Analiza[[#This Row],[Zakończono wypełnianie]],Zakończone[],2,0),"BRAK")</f>
        <v>46</v>
      </c>
      <c r="C145">
        <f t="shared" si="4"/>
        <v>31</v>
      </c>
      <c r="D145" t="s">
        <v>370</v>
      </c>
      <c r="E145" t="s">
        <v>118</v>
      </c>
      <c r="F145" t="s">
        <v>774</v>
      </c>
      <c r="J145" t="s">
        <v>119</v>
      </c>
      <c r="K145" t="s">
        <v>821</v>
      </c>
      <c r="L145" t="s">
        <v>822</v>
      </c>
      <c r="M145">
        <v>3447</v>
      </c>
      <c r="N145">
        <v>0</v>
      </c>
      <c r="O145" t="s">
        <v>122</v>
      </c>
      <c r="P145" s="1" t="s">
        <v>123</v>
      </c>
      <c r="AF145" s="1" t="s">
        <v>124</v>
      </c>
      <c r="AG145" t="s">
        <v>813</v>
      </c>
      <c r="AH145">
        <v>1960</v>
      </c>
      <c r="AI145" t="s">
        <v>148</v>
      </c>
      <c r="AJ145" t="s">
        <v>823</v>
      </c>
      <c r="AK145" t="s">
        <v>150</v>
      </c>
      <c r="AL145" t="s">
        <v>150</v>
      </c>
      <c r="AM145" t="s">
        <v>151</v>
      </c>
      <c r="AN145" t="s">
        <v>236</v>
      </c>
      <c r="AO145" t="s">
        <v>236</v>
      </c>
      <c r="AP145" t="s">
        <v>814</v>
      </c>
      <c r="AQ145" t="s">
        <v>131</v>
      </c>
      <c r="AR145" t="s">
        <v>131</v>
      </c>
      <c r="AT145" t="s">
        <v>824</v>
      </c>
      <c r="AU145" t="s">
        <v>825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FP145" t="s">
        <v>132</v>
      </c>
      <c r="GW145" t="s">
        <v>826</v>
      </c>
      <c r="GX145" t="s">
        <v>824</v>
      </c>
      <c r="GY145" t="s">
        <v>827</v>
      </c>
      <c r="GZ145" t="s">
        <v>186</v>
      </c>
      <c r="HA145">
        <v>1934</v>
      </c>
      <c r="HB145" t="s">
        <v>220</v>
      </c>
    </row>
    <row r="146" spans="1:214" x14ac:dyDescent="0.45">
      <c r="A146">
        <v>147</v>
      </c>
      <c r="B146" t="str">
        <f>_xlfn.IFNA(VLOOKUP(Analiza[[#This Row],[Zakończono wypełnianie]],Zakończone[],2,0),"BRAK")</f>
        <v>BRAK</v>
      </c>
      <c r="C146">
        <f t="shared" si="4"/>
        <v>25</v>
      </c>
      <c r="D146" t="s">
        <v>1352</v>
      </c>
      <c r="E146" t="s">
        <v>118</v>
      </c>
      <c r="J146" t="s">
        <v>286</v>
      </c>
      <c r="K146" t="s">
        <v>1353</v>
      </c>
      <c r="L146" t="s">
        <v>1353</v>
      </c>
      <c r="M146">
        <v>0</v>
      </c>
      <c r="N146">
        <v>0</v>
      </c>
      <c r="O146" t="s">
        <v>122</v>
      </c>
      <c r="P146" s="1" t="s">
        <v>123</v>
      </c>
      <c r="AF146" s="1" t="s">
        <v>124</v>
      </c>
      <c r="AG146" t="s">
        <v>813</v>
      </c>
      <c r="AH146">
        <v>2008</v>
      </c>
      <c r="AI146" t="s">
        <v>148</v>
      </c>
      <c r="AJ146" t="s">
        <v>1354</v>
      </c>
      <c r="AK146" t="s">
        <v>162</v>
      </c>
      <c r="AL146" t="s">
        <v>151</v>
      </c>
      <c r="AM146" t="s">
        <v>151</v>
      </c>
      <c r="AN146" t="s">
        <v>236</v>
      </c>
      <c r="AO146" t="s">
        <v>151</v>
      </c>
      <c r="AP146" t="s">
        <v>237</v>
      </c>
      <c r="AQ146" t="s">
        <v>131</v>
      </c>
      <c r="AR146" t="s">
        <v>302</v>
      </c>
      <c r="AT146" t="s">
        <v>1355</v>
      </c>
      <c r="AU146" t="s">
        <v>1356</v>
      </c>
      <c r="AW146" t="s">
        <v>1357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177</v>
      </c>
      <c r="EP146" t="s">
        <v>178</v>
      </c>
      <c r="EQ146" t="s">
        <v>132</v>
      </c>
      <c r="FO146" s="1"/>
    </row>
    <row r="147" spans="1:214" x14ac:dyDescent="0.45">
      <c r="A147">
        <v>205</v>
      </c>
      <c r="B147">
        <f>_xlfn.IFNA(VLOOKUP(Analiza[[#This Row],[Zakończono wypełnianie]],Zakończone[],2,0),"BRAK")</f>
        <v>114</v>
      </c>
      <c r="C147">
        <f t="shared" si="4"/>
        <v>33</v>
      </c>
      <c r="D147" t="s">
        <v>1709</v>
      </c>
      <c r="E147" t="s">
        <v>118</v>
      </c>
      <c r="J147" t="s">
        <v>119</v>
      </c>
      <c r="K147" t="s">
        <v>1710</v>
      </c>
      <c r="L147" t="s">
        <v>1711</v>
      </c>
      <c r="M147">
        <v>588</v>
      </c>
      <c r="N147">
        <v>0</v>
      </c>
      <c r="O147" t="s">
        <v>122</v>
      </c>
      <c r="P147" s="1" t="s">
        <v>123</v>
      </c>
      <c r="AF147" s="1" t="s">
        <v>124</v>
      </c>
      <c r="AG147" t="s">
        <v>1712</v>
      </c>
      <c r="AH147">
        <v>2012</v>
      </c>
      <c r="AI147" t="s">
        <v>148</v>
      </c>
      <c r="AJ147" t="s">
        <v>1713</v>
      </c>
      <c r="AK147" t="s">
        <v>162</v>
      </c>
      <c r="AL147" t="s">
        <v>162</v>
      </c>
      <c r="AM147" t="s">
        <v>169</v>
      </c>
      <c r="AN147" t="s">
        <v>129</v>
      </c>
      <c r="AO147" t="s">
        <v>129</v>
      </c>
      <c r="AP147" t="s">
        <v>1714</v>
      </c>
      <c r="AQ147" t="s">
        <v>131</v>
      </c>
      <c r="AR147" t="s">
        <v>131</v>
      </c>
      <c r="AS147" t="s">
        <v>1715</v>
      </c>
      <c r="AT147" t="s">
        <v>1716</v>
      </c>
      <c r="AU147" t="s">
        <v>1717</v>
      </c>
      <c r="AV147" t="s">
        <v>157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1718</v>
      </c>
      <c r="GX147" t="s">
        <v>1719</v>
      </c>
      <c r="GY147" t="s">
        <v>1720</v>
      </c>
      <c r="GZ147" t="s">
        <v>140</v>
      </c>
      <c r="HA147">
        <v>1985</v>
      </c>
      <c r="HB147" t="s">
        <v>246</v>
      </c>
      <c r="HD147" t="s">
        <v>1721</v>
      </c>
      <c r="HE147" t="s">
        <v>532</v>
      </c>
    </row>
    <row r="148" spans="1:214" x14ac:dyDescent="0.45">
      <c r="A148">
        <v>193</v>
      </c>
      <c r="B148">
        <f>_xlfn.IFNA(VLOOKUP(Analiza[[#This Row],[Zakończono wypełnianie]],Zakończone[],2,0),"BRAK")</f>
        <v>110</v>
      </c>
      <c r="C148">
        <f t="shared" si="4"/>
        <v>33</v>
      </c>
      <c r="D148" t="s">
        <v>1131</v>
      </c>
      <c r="E148" t="s">
        <v>118</v>
      </c>
      <c r="J148" t="s">
        <v>119</v>
      </c>
      <c r="K148" t="s">
        <v>1634</v>
      </c>
      <c r="L148" t="s">
        <v>1635</v>
      </c>
      <c r="M148">
        <v>545</v>
      </c>
      <c r="N148">
        <v>0</v>
      </c>
      <c r="O148" t="s">
        <v>122</v>
      </c>
      <c r="P148" s="1" t="s">
        <v>123</v>
      </c>
      <c r="AF148" s="1" t="s">
        <v>124</v>
      </c>
      <c r="AG148" t="s">
        <v>1636</v>
      </c>
      <c r="AH148">
        <v>2001</v>
      </c>
      <c r="AI148" t="s">
        <v>148</v>
      </c>
      <c r="AJ148" t="s">
        <v>1637</v>
      </c>
      <c r="AK148" t="s">
        <v>150</v>
      </c>
      <c r="AL148" t="s">
        <v>150</v>
      </c>
      <c r="AM148" t="s">
        <v>169</v>
      </c>
      <c r="AN148" t="s">
        <v>150</v>
      </c>
      <c r="AO148" t="s">
        <v>169</v>
      </c>
      <c r="AP148" t="s">
        <v>1638</v>
      </c>
      <c r="AQ148" t="s">
        <v>152</v>
      </c>
      <c r="AR148" t="s">
        <v>153</v>
      </c>
      <c r="AS148" t="s">
        <v>1639</v>
      </c>
      <c r="AT148" t="s">
        <v>1640</v>
      </c>
      <c r="AU148" t="s">
        <v>386</v>
      </c>
      <c r="AV148" t="s">
        <v>157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1641</v>
      </c>
      <c r="GX148" t="s">
        <v>1642</v>
      </c>
      <c r="GY148" t="s">
        <v>1643</v>
      </c>
      <c r="GZ148" t="s">
        <v>140</v>
      </c>
      <c r="HA148">
        <v>1977</v>
      </c>
      <c r="HB148" t="s">
        <v>141</v>
      </c>
      <c r="HC148" t="s">
        <v>1644</v>
      </c>
      <c r="HD148" t="s">
        <v>1645</v>
      </c>
    </row>
    <row r="149" spans="1:214" x14ac:dyDescent="0.45">
      <c r="A149">
        <v>97</v>
      </c>
      <c r="B149">
        <f>_xlfn.IFNA(VLOOKUP(Analiza[[#This Row],[Zakończono wypełnianie]],Zakończone[],2,0),"BRAK")</f>
        <v>60</v>
      </c>
      <c r="C149">
        <f t="shared" si="4"/>
        <v>37</v>
      </c>
      <c r="D149" t="s">
        <v>370</v>
      </c>
      <c r="E149" t="s">
        <v>118</v>
      </c>
      <c r="F149" t="s">
        <v>774</v>
      </c>
      <c r="J149" t="s">
        <v>119</v>
      </c>
      <c r="K149" t="s">
        <v>973</v>
      </c>
      <c r="L149" t="s">
        <v>974</v>
      </c>
      <c r="M149">
        <v>1963</v>
      </c>
      <c r="N149">
        <v>0</v>
      </c>
      <c r="O149" t="s">
        <v>122</v>
      </c>
      <c r="P149" s="1" t="s">
        <v>123</v>
      </c>
      <c r="AF149" s="1" t="s">
        <v>124</v>
      </c>
      <c r="AG149" t="s">
        <v>975</v>
      </c>
      <c r="AH149">
        <v>1996</v>
      </c>
      <c r="AI149" t="s">
        <v>148</v>
      </c>
      <c r="AJ149" t="s">
        <v>601</v>
      </c>
      <c r="AK149" t="s">
        <v>128</v>
      </c>
      <c r="AL149" t="s">
        <v>151</v>
      </c>
      <c r="AM149" t="s">
        <v>169</v>
      </c>
      <c r="AN149" t="s">
        <v>129</v>
      </c>
      <c r="AO149" t="s">
        <v>129</v>
      </c>
      <c r="AP149" t="s">
        <v>976</v>
      </c>
      <c r="AQ149" t="s">
        <v>131</v>
      </c>
      <c r="AR149" t="s">
        <v>131</v>
      </c>
      <c r="AS149" t="s">
        <v>802</v>
      </c>
      <c r="AT149" t="s">
        <v>824</v>
      </c>
      <c r="AU149" t="s">
        <v>977</v>
      </c>
      <c r="AV149" t="s">
        <v>230</v>
      </c>
      <c r="AX149" s="1" t="s">
        <v>123</v>
      </c>
      <c r="CR149" s="1" t="s">
        <v>123</v>
      </c>
      <c r="DB149" s="1" t="s">
        <v>123</v>
      </c>
      <c r="DL149" s="1" t="s">
        <v>123</v>
      </c>
      <c r="EO149" s="1" t="s">
        <v>123</v>
      </c>
      <c r="EP149" t="s">
        <v>178</v>
      </c>
      <c r="EQ149" t="s">
        <v>132</v>
      </c>
      <c r="FO149" s="1" t="s">
        <v>123</v>
      </c>
      <c r="FP149" t="s">
        <v>132</v>
      </c>
      <c r="FR149" t="s">
        <v>132</v>
      </c>
      <c r="GW149" t="s">
        <v>978</v>
      </c>
      <c r="GX149" t="s">
        <v>819</v>
      </c>
      <c r="GY149" t="s">
        <v>979</v>
      </c>
      <c r="GZ149" t="s">
        <v>140</v>
      </c>
      <c r="HA149">
        <v>1962</v>
      </c>
      <c r="HB149" t="s">
        <v>220</v>
      </c>
      <c r="HD149" t="s">
        <v>980</v>
      </c>
      <c r="HE149" t="s">
        <v>386</v>
      </c>
    </row>
    <row r="150" spans="1:214" x14ac:dyDescent="0.45">
      <c r="A150">
        <v>67</v>
      </c>
      <c r="B150">
        <f>_xlfn.IFNA(VLOOKUP(Analiza[[#This Row],[Zakończono wypełnianie]],Zakończone[],2,0),"BRAK")</f>
        <v>38</v>
      </c>
      <c r="C150">
        <f t="shared" si="4"/>
        <v>35</v>
      </c>
      <c r="D150" t="s">
        <v>698</v>
      </c>
      <c r="E150" t="s">
        <v>118</v>
      </c>
      <c r="F150" t="s">
        <v>359</v>
      </c>
      <c r="J150" t="s">
        <v>119</v>
      </c>
      <c r="K150" t="s">
        <v>699</v>
      </c>
      <c r="L150" t="s">
        <v>700</v>
      </c>
      <c r="M150">
        <v>1910</v>
      </c>
      <c r="N150">
        <v>0</v>
      </c>
      <c r="O150" t="s">
        <v>122</v>
      </c>
      <c r="P150" s="1" t="s">
        <v>123</v>
      </c>
      <c r="AF150" s="1" t="s">
        <v>124</v>
      </c>
      <c r="AG150" t="s">
        <v>701</v>
      </c>
      <c r="AH150">
        <v>2020</v>
      </c>
      <c r="AI150" t="s">
        <v>148</v>
      </c>
      <c r="AJ150" t="s">
        <v>702</v>
      </c>
      <c r="AK150" t="s">
        <v>162</v>
      </c>
      <c r="AL150" t="s">
        <v>162</v>
      </c>
      <c r="AM150" t="s">
        <v>236</v>
      </c>
      <c r="AN150" t="s">
        <v>236</v>
      </c>
      <c r="AO150" t="s">
        <v>132</v>
      </c>
      <c r="AP150" t="s">
        <v>703</v>
      </c>
      <c r="AQ150" t="s">
        <v>131</v>
      </c>
      <c r="AR150" t="s">
        <v>132</v>
      </c>
      <c r="AS150" t="s">
        <v>704</v>
      </c>
      <c r="AT150" t="s">
        <v>705</v>
      </c>
      <c r="AU150" t="s">
        <v>706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EP150" t="s">
        <v>180</v>
      </c>
      <c r="EQ150" t="s">
        <v>132</v>
      </c>
      <c r="FO150" s="1" t="s">
        <v>123</v>
      </c>
      <c r="FP150" t="s">
        <v>132</v>
      </c>
      <c r="FR150" t="s">
        <v>132</v>
      </c>
      <c r="GW150" t="s">
        <v>707</v>
      </c>
      <c r="GX150" t="s">
        <v>708</v>
      </c>
      <c r="GY150" t="s">
        <v>709</v>
      </c>
      <c r="GZ150" t="s">
        <v>140</v>
      </c>
      <c r="HA150">
        <v>1994</v>
      </c>
      <c r="HB150" t="s">
        <v>220</v>
      </c>
    </row>
    <row r="151" spans="1:214" x14ac:dyDescent="0.45">
      <c r="A151">
        <v>78</v>
      </c>
      <c r="B151">
        <f>_xlfn.IFNA(VLOOKUP(Analiza[[#This Row],[Zakończono wypełnianie]],Zakończone[],2,0),"BRAK")</f>
        <v>44</v>
      </c>
      <c r="C151">
        <f t="shared" si="4"/>
        <v>34</v>
      </c>
      <c r="D151" t="s">
        <v>796</v>
      </c>
      <c r="E151" t="s">
        <v>118</v>
      </c>
      <c r="F151" t="s">
        <v>797</v>
      </c>
      <c r="J151" t="s">
        <v>119</v>
      </c>
      <c r="K151" t="s">
        <v>798</v>
      </c>
      <c r="L151" t="s">
        <v>799</v>
      </c>
      <c r="M151">
        <v>2364</v>
      </c>
      <c r="N151">
        <v>0</v>
      </c>
      <c r="O151" t="s">
        <v>122</v>
      </c>
      <c r="P151" s="1" t="s">
        <v>123</v>
      </c>
      <c r="AF151" s="1" t="s">
        <v>124</v>
      </c>
      <c r="AG151" t="s">
        <v>800</v>
      </c>
      <c r="AH151">
        <v>2002</v>
      </c>
      <c r="AI151" t="s">
        <v>126</v>
      </c>
      <c r="AJ151" t="s">
        <v>801</v>
      </c>
      <c r="AK151" t="s">
        <v>150</v>
      </c>
      <c r="AL151" t="s">
        <v>162</v>
      </c>
      <c r="AM151" t="s">
        <v>151</v>
      </c>
      <c r="AN151" t="s">
        <v>129</v>
      </c>
      <c r="AO151" t="s">
        <v>236</v>
      </c>
      <c r="AP151">
        <v>3</v>
      </c>
      <c r="AQ151" t="s">
        <v>152</v>
      </c>
      <c r="AR151" t="s">
        <v>152</v>
      </c>
      <c r="AS151" t="s">
        <v>802</v>
      </c>
      <c r="AT151" t="s">
        <v>803</v>
      </c>
      <c r="AU151" t="s">
        <v>804</v>
      </c>
      <c r="AV151" t="s">
        <v>157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  <c r="FP151" t="s">
        <v>132</v>
      </c>
      <c r="GW151" t="s">
        <v>805</v>
      </c>
      <c r="GX151" t="s">
        <v>806</v>
      </c>
      <c r="GY151" t="s">
        <v>807</v>
      </c>
      <c r="GZ151" t="s">
        <v>140</v>
      </c>
      <c r="HA151">
        <v>1978</v>
      </c>
      <c r="HB151" t="s">
        <v>141</v>
      </c>
      <c r="HD151" t="s">
        <v>386</v>
      </c>
      <c r="HE151" t="s">
        <v>386</v>
      </c>
    </row>
    <row r="152" spans="1:214" x14ac:dyDescent="0.45">
      <c r="A152">
        <v>202</v>
      </c>
      <c r="B152" t="str">
        <f>_xlfn.IFNA(VLOOKUP(Analiza[[#This Row],[Zakończono wypełnianie]],Zakończone[],2,0),"BRAK")</f>
        <v>BRAK</v>
      </c>
      <c r="C152">
        <f t="shared" si="4"/>
        <v>21</v>
      </c>
      <c r="D152" t="s">
        <v>1694</v>
      </c>
      <c r="E152" t="s">
        <v>118</v>
      </c>
      <c r="J152" t="s">
        <v>286</v>
      </c>
      <c r="K152" t="s">
        <v>1695</v>
      </c>
      <c r="L152" t="s">
        <v>1695</v>
      </c>
      <c r="M152">
        <v>0</v>
      </c>
      <c r="N152">
        <v>0</v>
      </c>
      <c r="O152" t="s">
        <v>122</v>
      </c>
      <c r="P152" s="1" t="s">
        <v>123</v>
      </c>
      <c r="AF152" s="1" t="s">
        <v>124</v>
      </c>
      <c r="AG152" t="s">
        <v>1090</v>
      </c>
      <c r="AH152">
        <v>1990</v>
      </c>
      <c r="AI152" t="s">
        <v>126</v>
      </c>
      <c r="AJ152" t="s">
        <v>1696</v>
      </c>
      <c r="AK152" t="s">
        <v>150</v>
      </c>
      <c r="AL152" t="s">
        <v>162</v>
      </c>
      <c r="AM152" t="s">
        <v>169</v>
      </c>
      <c r="AN152" t="s">
        <v>169</v>
      </c>
      <c r="AO152" t="s">
        <v>169</v>
      </c>
      <c r="AP152" t="s">
        <v>237</v>
      </c>
      <c r="AQ152" t="s">
        <v>194</v>
      </c>
      <c r="AR152" t="s">
        <v>194</v>
      </c>
      <c r="AS152" t="s">
        <v>1697</v>
      </c>
      <c r="AT152" t="s">
        <v>1698</v>
      </c>
      <c r="AU152" t="s">
        <v>1699</v>
      </c>
      <c r="AV152" t="s">
        <v>172</v>
      </c>
      <c r="AW152" t="s">
        <v>1700</v>
      </c>
      <c r="AX152" s="1" t="s">
        <v>123</v>
      </c>
      <c r="CR152" s="1"/>
      <c r="DB152" s="1"/>
      <c r="DL152" s="1"/>
      <c r="EO152" s="1"/>
      <c r="FO152" s="1"/>
    </row>
    <row r="153" spans="1:214" x14ac:dyDescent="0.45">
      <c r="A153">
        <v>149</v>
      </c>
      <c r="B153">
        <f>_xlfn.IFNA(VLOOKUP(Analiza[[#This Row],[Zakończono wypełnianie]],Zakończone[],2,0),"BRAK")</f>
        <v>87</v>
      </c>
      <c r="C153">
        <f t="shared" si="4"/>
        <v>32</v>
      </c>
      <c r="D153" t="s">
        <v>1352</v>
      </c>
      <c r="E153" t="s">
        <v>118</v>
      </c>
      <c r="J153" t="s">
        <v>119</v>
      </c>
      <c r="K153" t="s">
        <v>1359</v>
      </c>
      <c r="L153" t="s">
        <v>1360</v>
      </c>
      <c r="M153">
        <v>8266</v>
      </c>
      <c r="N153">
        <v>0</v>
      </c>
      <c r="O153" t="s">
        <v>122</v>
      </c>
      <c r="P153" s="1" t="s">
        <v>123</v>
      </c>
      <c r="AF153" s="1" t="s">
        <v>124</v>
      </c>
      <c r="AG153" t="s">
        <v>160</v>
      </c>
      <c r="AH153">
        <v>2010</v>
      </c>
      <c r="AI153" t="s">
        <v>148</v>
      </c>
      <c r="AJ153" t="s">
        <v>1361</v>
      </c>
      <c r="AK153" t="s">
        <v>236</v>
      </c>
      <c r="AL153" t="s">
        <v>150</v>
      </c>
      <c r="AM153" t="s">
        <v>129</v>
      </c>
      <c r="AN153" t="s">
        <v>129</v>
      </c>
      <c r="AO153" t="s">
        <v>129</v>
      </c>
      <c r="AP153" t="s">
        <v>1362</v>
      </c>
      <c r="AQ153" t="s">
        <v>153</v>
      </c>
      <c r="AR153" t="s">
        <v>153</v>
      </c>
      <c r="AS153" t="s">
        <v>1363</v>
      </c>
      <c r="AT153" t="s">
        <v>1364</v>
      </c>
      <c r="AU153" t="s">
        <v>1365</v>
      </c>
      <c r="AV153" t="s">
        <v>157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1366</v>
      </c>
      <c r="GX153" t="s">
        <v>1367</v>
      </c>
      <c r="GY153" t="s">
        <v>532</v>
      </c>
      <c r="GZ153" t="s">
        <v>140</v>
      </c>
      <c r="HA153">
        <v>1986</v>
      </c>
      <c r="HB153" t="s">
        <v>398</v>
      </c>
      <c r="HD153" t="s">
        <v>1368</v>
      </c>
    </row>
    <row r="154" spans="1:214" x14ac:dyDescent="0.45">
      <c r="A154">
        <v>244</v>
      </c>
      <c r="B154" t="str">
        <f>_xlfn.IFNA(VLOOKUP(Analiza[[#This Row],[Zakończono wypełnianie]],Zakończone[],2,0),"BRAK")</f>
        <v>BRAK</v>
      </c>
      <c r="C154">
        <f t="shared" si="4"/>
        <v>24</v>
      </c>
      <c r="D154" t="s">
        <v>1336</v>
      </c>
      <c r="E154" t="s">
        <v>118</v>
      </c>
      <c r="J154" t="s">
        <v>286</v>
      </c>
      <c r="K154" t="s">
        <v>1962</v>
      </c>
      <c r="L154" t="s">
        <v>1962</v>
      </c>
      <c r="M154">
        <v>0</v>
      </c>
      <c r="N154">
        <v>0</v>
      </c>
      <c r="O154" t="s">
        <v>122</v>
      </c>
      <c r="P154" s="1" t="s">
        <v>123</v>
      </c>
      <c r="AF154" s="1" t="s">
        <v>124</v>
      </c>
      <c r="AG154" t="s">
        <v>1963</v>
      </c>
      <c r="AH154">
        <v>2006</v>
      </c>
      <c r="AI154" t="s">
        <v>126</v>
      </c>
      <c r="AJ154" t="s">
        <v>192</v>
      </c>
      <c r="AK154" t="s">
        <v>150</v>
      </c>
      <c r="AL154" t="s">
        <v>150</v>
      </c>
      <c r="AM154" t="s">
        <v>162</v>
      </c>
      <c r="AN154" t="s">
        <v>150</v>
      </c>
      <c r="AO154" t="s">
        <v>150</v>
      </c>
      <c r="AP154" t="s">
        <v>237</v>
      </c>
      <c r="AQ154" t="s">
        <v>226</v>
      </c>
      <c r="AR154" t="s">
        <v>759</v>
      </c>
      <c r="AT154" t="s">
        <v>1964</v>
      </c>
      <c r="AU154" t="s">
        <v>1539</v>
      </c>
      <c r="AV154" t="s">
        <v>230</v>
      </c>
      <c r="AX154" s="1" t="s">
        <v>123</v>
      </c>
      <c r="CR154" s="1" t="s">
        <v>123</v>
      </c>
      <c r="DB154" s="1" t="s">
        <v>123</v>
      </c>
      <c r="DL154" s="1" t="s">
        <v>123</v>
      </c>
      <c r="EO154" s="1" t="s">
        <v>123</v>
      </c>
      <c r="FO154" s="1" t="s">
        <v>123</v>
      </c>
    </row>
    <row r="155" spans="1:214" x14ac:dyDescent="0.45">
      <c r="A155">
        <v>164</v>
      </c>
      <c r="B155">
        <f>_xlfn.IFNA(VLOOKUP(Analiza[[#This Row],[Zakończono wypełnianie]],Zakończone[],2,0),"BRAK")</f>
        <v>94</v>
      </c>
      <c r="C155">
        <f t="shared" si="4"/>
        <v>34</v>
      </c>
      <c r="D155" t="s">
        <v>1436</v>
      </c>
      <c r="E155" t="s">
        <v>118</v>
      </c>
      <c r="J155" t="s">
        <v>119</v>
      </c>
      <c r="K155" t="s">
        <v>1437</v>
      </c>
      <c r="L155" t="s">
        <v>1438</v>
      </c>
      <c r="M155">
        <v>880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1439</v>
      </c>
      <c r="AH155">
        <v>2019</v>
      </c>
      <c r="AI155" t="s">
        <v>148</v>
      </c>
      <c r="AJ155" t="s">
        <v>1440</v>
      </c>
      <c r="AK155" t="s">
        <v>128</v>
      </c>
      <c r="AL155" t="s">
        <v>128</v>
      </c>
      <c r="AM155" t="s">
        <v>150</v>
      </c>
      <c r="AN155" t="s">
        <v>169</v>
      </c>
      <c r="AO155" t="s">
        <v>169</v>
      </c>
      <c r="AP155" t="s">
        <v>1441</v>
      </c>
      <c r="AQ155" t="s">
        <v>302</v>
      </c>
      <c r="AR155" t="s">
        <v>226</v>
      </c>
      <c r="AS155" t="s">
        <v>1442</v>
      </c>
      <c r="AT155" t="s">
        <v>1443</v>
      </c>
      <c r="AU155" t="s">
        <v>1444</v>
      </c>
      <c r="AV155" t="s">
        <v>230</v>
      </c>
      <c r="AX155" s="1" t="s">
        <v>123</v>
      </c>
      <c r="CR155" s="1" t="s">
        <v>123</v>
      </c>
      <c r="DB155" s="1" t="s">
        <v>123</v>
      </c>
      <c r="DL155" s="1" t="s">
        <v>123</v>
      </c>
      <c r="EO155" s="1" t="s">
        <v>123</v>
      </c>
      <c r="EP155" t="s">
        <v>178</v>
      </c>
      <c r="FO155" s="1" t="s">
        <v>123</v>
      </c>
      <c r="GW155" t="s">
        <v>1445</v>
      </c>
      <c r="GX155" t="s">
        <v>1446</v>
      </c>
      <c r="GY155" t="s">
        <v>1447</v>
      </c>
      <c r="GZ155" t="s">
        <v>140</v>
      </c>
      <c r="HA155">
        <v>1990</v>
      </c>
      <c r="HB155" t="s">
        <v>398</v>
      </c>
      <c r="HD155" t="s">
        <v>1448</v>
      </c>
      <c r="HE155" t="s">
        <v>1449</v>
      </c>
    </row>
    <row r="156" spans="1:214" x14ac:dyDescent="0.45">
      <c r="A156">
        <v>123</v>
      </c>
      <c r="B156">
        <f>_xlfn.IFNA(VLOOKUP(Analiza[[#This Row],[Zakończono wypełnianie]],Zakończone[],2,0),"BRAK")</f>
        <v>72</v>
      </c>
      <c r="C156">
        <f t="shared" si="4"/>
        <v>32</v>
      </c>
      <c r="D156" t="s">
        <v>1142</v>
      </c>
      <c r="E156" t="s">
        <v>118</v>
      </c>
      <c r="J156" t="s">
        <v>119</v>
      </c>
      <c r="K156" t="s">
        <v>1143</v>
      </c>
      <c r="L156" t="s">
        <v>1144</v>
      </c>
      <c r="M156">
        <v>258</v>
      </c>
      <c r="N156">
        <v>0</v>
      </c>
      <c r="O156" t="s">
        <v>122</v>
      </c>
      <c r="P156" s="1" t="s">
        <v>123</v>
      </c>
      <c r="AF156" s="1" t="s">
        <v>124</v>
      </c>
      <c r="AG156" t="s">
        <v>1439</v>
      </c>
      <c r="AH156">
        <v>2016</v>
      </c>
      <c r="AI156" t="s">
        <v>126</v>
      </c>
      <c r="AJ156" t="s">
        <v>1146</v>
      </c>
      <c r="AK156" t="s">
        <v>150</v>
      </c>
      <c r="AL156" t="s">
        <v>150</v>
      </c>
      <c r="AM156" t="s">
        <v>169</v>
      </c>
      <c r="AN156" t="s">
        <v>169</v>
      </c>
      <c r="AO156" t="s">
        <v>169</v>
      </c>
      <c r="AP156">
        <v>3</v>
      </c>
      <c r="AQ156" t="s">
        <v>302</v>
      </c>
      <c r="AR156" t="s">
        <v>943</v>
      </c>
      <c r="AT156" t="s">
        <v>1147</v>
      </c>
      <c r="AU156" t="s">
        <v>1148</v>
      </c>
      <c r="AV156" t="s">
        <v>892</v>
      </c>
      <c r="AX156" s="1" t="s">
        <v>123</v>
      </c>
      <c r="CR156" s="1" t="s">
        <v>123</v>
      </c>
      <c r="DB156" s="1" t="s">
        <v>123</v>
      </c>
      <c r="DL156" s="1" t="s">
        <v>123</v>
      </c>
      <c r="EO156" s="1" t="s">
        <v>123</v>
      </c>
      <c r="EP156" t="s">
        <v>178</v>
      </c>
      <c r="EQ156">
        <v>1</v>
      </c>
      <c r="FO156" s="1" t="s">
        <v>123</v>
      </c>
      <c r="GW156" t="s">
        <v>1149</v>
      </c>
      <c r="GX156" t="s">
        <v>1149</v>
      </c>
      <c r="GY156" t="s">
        <v>1150</v>
      </c>
      <c r="GZ156" t="s">
        <v>186</v>
      </c>
      <c r="HA156">
        <v>1986</v>
      </c>
      <c r="HB156" t="s">
        <v>398</v>
      </c>
    </row>
    <row r="157" spans="1:214" x14ac:dyDescent="0.45">
      <c r="A157">
        <v>113</v>
      </c>
      <c r="B157">
        <f>_xlfn.IFNA(VLOOKUP(Analiza[[#This Row],[Zakończono wypełnianie]],Zakończone[],2,0),"BRAK")</f>
        <v>67</v>
      </c>
      <c r="C157">
        <f t="shared" si="4"/>
        <v>32</v>
      </c>
      <c r="D157" t="s">
        <v>1065</v>
      </c>
      <c r="E157" t="s">
        <v>118</v>
      </c>
      <c r="J157" t="s">
        <v>119</v>
      </c>
      <c r="K157" t="s">
        <v>1066</v>
      </c>
      <c r="L157" t="s">
        <v>1067</v>
      </c>
      <c r="M157">
        <v>2803</v>
      </c>
      <c r="N157">
        <v>0</v>
      </c>
      <c r="O157" t="s">
        <v>122</v>
      </c>
      <c r="P157" s="1" t="s">
        <v>123</v>
      </c>
      <c r="AF157" s="1" t="s">
        <v>124</v>
      </c>
      <c r="AG157" t="s">
        <v>1439</v>
      </c>
      <c r="AH157">
        <v>2019</v>
      </c>
      <c r="AI157" t="s">
        <v>148</v>
      </c>
      <c r="AJ157" t="s">
        <v>1069</v>
      </c>
      <c r="AK157" t="s">
        <v>128</v>
      </c>
      <c r="AL157" t="s">
        <v>151</v>
      </c>
      <c r="AM157" t="s">
        <v>128</v>
      </c>
      <c r="AN157" t="s">
        <v>129</v>
      </c>
      <c r="AO157" t="s">
        <v>132</v>
      </c>
      <c r="AP157" t="s">
        <v>1070</v>
      </c>
      <c r="AQ157" t="s">
        <v>153</v>
      </c>
      <c r="AR157" t="s">
        <v>132</v>
      </c>
      <c r="AT157" t="s">
        <v>1071</v>
      </c>
      <c r="AU157" t="s">
        <v>1072</v>
      </c>
      <c r="AV157" t="s">
        <v>892</v>
      </c>
      <c r="AX157" s="1" t="s">
        <v>123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FP157" t="s">
        <v>132</v>
      </c>
      <c r="GW157" t="s">
        <v>1073</v>
      </c>
      <c r="GX157" t="s">
        <v>1074</v>
      </c>
      <c r="GY157" t="s">
        <v>1075</v>
      </c>
      <c r="GZ157" t="s">
        <v>140</v>
      </c>
      <c r="HA157">
        <v>1991</v>
      </c>
      <c r="HB157" t="s">
        <v>398</v>
      </c>
      <c r="HE157" t="s">
        <v>1076</v>
      </c>
    </row>
    <row r="158" spans="1:214" x14ac:dyDescent="0.45">
      <c r="A158">
        <v>112</v>
      </c>
      <c r="B158" t="str">
        <f>_xlfn.IFNA(VLOOKUP(Analiza[[#This Row],[Zakończono wypełnianie]],Zakończone[],2,0),"BRAK")</f>
        <v>BRAK</v>
      </c>
      <c r="C158">
        <f t="shared" si="4"/>
        <v>25</v>
      </c>
      <c r="D158" t="s">
        <v>1059</v>
      </c>
      <c r="E158" t="s">
        <v>118</v>
      </c>
      <c r="J158" t="s">
        <v>286</v>
      </c>
      <c r="K158" t="s">
        <v>1060</v>
      </c>
      <c r="L158" t="s">
        <v>1060</v>
      </c>
      <c r="M158">
        <v>0</v>
      </c>
      <c r="N158">
        <v>0</v>
      </c>
      <c r="O158" t="s">
        <v>122</v>
      </c>
      <c r="P158" s="1" t="s">
        <v>123</v>
      </c>
      <c r="AF158" s="1" t="s">
        <v>124</v>
      </c>
      <c r="AG158" t="s">
        <v>1061</v>
      </c>
      <c r="AH158">
        <v>2009</v>
      </c>
      <c r="AI158" t="s">
        <v>148</v>
      </c>
      <c r="AJ158" t="s">
        <v>1062</v>
      </c>
      <c r="AK158" t="s">
        <v>169</v>
      </c>
      <c r="AL158" t="s">
        <v>169</v>
      </c>
      <c r="AM158" t="s">
        <v>151</v>
      </c>
      <c r="AN158" t="s">
        <v>150</v>
      </c>
      <c r="AO158" t="s">
        <v>169</v>
      </c>
      <c r="AP158" t="s">
        <v>237</v>
      </c>
      <c r="AQ158" t="s">
        <v>131</v>
      </c>
      <c r="AR158" t="s">
        <v>302</v>
      </c>
      <c r="AT158" t="s">
        <v>1063</v>
      </c>
      <c r="AU158" t="s">
        <v>1064</v>
      </c>
      <c r="AV158" t="s">
        <v>230</v>
      </c>
      <c r="AX158" s="1" t="s">
        <v>123</v>
      </c>
      <c r="CR158" s="1" t="s">
        <v>123</v>
      </c>
      <c r="DB158" s="1" t="s">
        <v>123</v>
      </c>
      <c r="DL158" s="1" t="s">
        <v>123</v>
      </c>
      <c r="EO158" s="1" t="s">
        <v>123</v>
      </c>
      <c r="FO158" s="1" t="s">
        <v>123</v>
      </c>
      <c r="FP158" t="s">
        <v>132</v>
      </c>
    </row>
    <row r="159" spans="1:214" x14ac:dyDescent="0.45">
      <c r="A159">
        <v>253</v>
      </c>
      <c r="B159" t="str">
        <f>_xlfn.IFNA(VLOOKUP(Analiza[[#This Row],[Zakończono wypełnianie]],Zakończone[],2,0),"BRAK")</f>
        <v>BRAK</v>
      </c>
      <c r="C159">
        <f t="shared" si="4"/>
        <v>17</v>
      </c>
      <c r="D159" t="s">
        <v>2000</v>
      </c>
      <c r="E159" t="s">
        <v>118</v>
      </c>
      <c r="F159" t="s">
        <v>359</v>
      </c>
      <c r="J159" t="s">
        <v>286</v>
      </c>
      <c r="K159" t="s">
        <v>2001</v>
      </c>
      <c r="L159" t="s">
        <v>2001</v>
      </c>
      <c r="M159">
        <v>0</v>
      </c>
      <c r="N159">
        <v>0</v>
      </c>
      <c r="O159" t="s">
        <v>122</v>
      </c>
      <c r="P159" s="1" t="s">
        <v>416</v>
      </c>
      <c r="Q159" t="s">
        <v>2002</v>
      </c>
      <c r="R159" t="s">
        <v>148</v>
      </c>
      <c r="S159" t="s">
        <v>2003</v>
      </c>
      <c r="T159" t="s">
        <v>236</v>
      </c>
      <c r="U159" t="s">
        <v>236</v>
      </c>
      <c r="V159" t="s">
        <v>236</v>
      </c>
      <c r="W159" t="s">
        <v>2004</v>
      </c>
      <c r="X159" t="s">
        <v>302</v>
      </c>
      <c r="Y159" t="s">
        <v>153</v>
      </c>
      <c r="Z159" t="s">
        <v>2005</v>
      </c>
      <c r="AA159" t="s">
        <v>2006</v>
      </c>
      <c r="AB159" t="s">
        <v>2007</v>
      </c>
      <c r="AC159" t="s">
        <v>172</v>
      </c>
      <c r="AE159">
        <v>6</v>
      </c>
      <c r="AF159" s="1" t="s">
        <v>124</v>
      </c>
      <c r="AX159" s="1"/>
      <c r="CR159" s="1"/>
      <c r="DB159" s="1"/>
      <c r="DL159" s="1"/>
      <c r="EO159" s="1"/>
      <c r="FO159" s="1"/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6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6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6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9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68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0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9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dcterms:created xsi:type="dcterms:W3CDTF">2022-08-15T09:02:52Z</dcterms:created>
  <dcterms:modified xsi:type="dcterms:W3CDTF">2022-12-30T16:53:34Z</dcterms:modified>
  <cp:category>wyniki indywidualne</cp:category>
</cp:coreProperties>
</file>